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70" windowWidth="25095" windowHeight="12330" tabRatio="831"/>
  </bookViews>
  <sheets>
    <sheet name="项目总体评估 " sheetId="1" r:id="rId1"/>
    <sheet name="UI_工作量评估" sheetId="2" r:id="rId2"/>
    <sheet name=".NET_工作量评估" sheetId="11" r:id="rId3"/>
    <sheet name="U3D_工作量评估" sheetId="3" r:id="rId4"/>
    <sheet name="建模_工作量评估" sheetId="4" r:id="rId5"/>
    <sheet name="场景_工作量评估" sheetId="5" r:id="rId6"/>
    <sheet name="动画_工作量评估" sheetId="6" r:id="rId7"/>
    <sheet name="特效_工作量评估" sheetId="7" r:id="rId8"/>
    <sheet name="基础信息" sheetId="8" r:id="rId9"/>
    <sheet name="技术复杂度评估表" sheetId="9" r:id="rId10"/>
    <sheet name="附录-节假日" sheetId="10" r:id="rId11"/>
    <sheet name="分析" sheetId="12" r:id="rId12"/>
  </sheets>
  <externalReferences>
    <externalReference r:id="rId13"/>
    <externalReference r:id="rId14"/>
  </externalReferences>
  <definedNames>
    <definedName name="_xlnm._FilterDatabase" localSheetId="3" hidden="1">U3D_工作量评估!$B$3:$V$22</definedName>
    <definedName name="_xlnm._FilterDatabase" localSheetId="1" hidden="1">UI_工作量评估!$B$3:$X$11</definedName>
    <definedName name="_xlnm._FilterDatabase" localSheetId="5" hidden="1">场景_工作量评估!$B$3:$V$9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难易程度">基础信息!$B$2:$B$5</definedName>
    <definedName name="是否复用">基础信息!$D$3:$D$5</definedName>
    <definedName name="优先级">基础信息!$C$3:$C$5</definedName>
  </definedNames>
  <calcPr calcId="144525"/>
</workbook>
</file>

<file path=xl/calcChain.xml><?xml version="1.0" encoding="utf-8"?>
<calcChain xmlns="http://schemas.openxmlformats.org/spreadsheetml/2006/main">
  <c r="F4" i="1" l="1"/>
  <c r="D63" i="1" l="1"/>
  <c r="E39" i="1"/>
  <c r="J39" i="1"/>
  <c r="J38" i="1"/>
  <c r="E38" i="1"/>
  <c r="L38" i="1"/>
  <c r="G38" i="1"/>
  <c r="S5" i="2"/>
  <c r="T5" i="2"/>
  <c r="S6" i="2"/>
  <c r="T6" i="2"/>
  <c r="S7" i="2"/>
  <c r="T7" i="2"/>
  <c r="S8" i="2"/>
  <c r="T8" i="2"/>
  <c r="T9" i="2"/>
  <c r="F12" i="1"/>
  <c r="F14" i="1"/>
  <c r="F17" i="1"/>
  <c r="F18" i="1"/>
  <c r="F15" i="1"/>
  <c r="F16" i="1"/>
  <c r="F32" i="1"/>
  <c r="F10" i="1"/>
  <c r="V5" i="2"/>
  <c r="W5" i="2"/>
  <c r="V6" i="2"/>
  <c r="W6" i="2"/>
  <c r="V7" i="2"/>
  <c r="W7" i="2"/>
  <c r="V8" i="2"/>
  <c r="W8" i="2"/>
  <c r="W9" i="2"/>
  <c r="H12" i="1"/>
  <c r="H14" i="1"/>
  <c r="H15" i="1"/>
  <c r="H16" i="1"/>
  <c r="H17" i="1"/>
  <c r="H18" i="1"/>
  <c r="H32" i="1"/>
  <c r="H24" i="1"/>
  <c r="H26" i="1"/>
  <c r="H27" i="1"/>
  <c r="H28" i="1"/>
  <c r="H29" i="1"/>
  <c r="H63" i="1"/>
  <c r="H8" i="1"/>
  <c r="H10" i="1"/>
  <c r="H11" i="1"/>
  <c r="H20" i="1"/>
  <c r="H21" i="1"/>
  <c r="H22" i="1"/>
  <c r="H23" i="1"/>
  <c r="H25" i="1"/>
  <c r="H30" i="1"/>
  <c r="H65" i="1"/>
  <c r="G63" i="1"/>
  <c r="G65" i="1"/>
  <c r="F63" i="1"/>
  <c r="F65" i="1"/>
  <c r="E63" i="1"/>
  <c r="E65" i="1"/>
  <c r="D65" i="1"/>
  <c r="C63" i="1"/>
  <c r="C65" i="1"/>
  <c r="U19" i="4"/>
  <c r="R19" i="4"/>
  <c r="I40" i="6"/>
  <c r="T30" i="6"/>
  <c r="Q30" i="6"/>
  <c r="N30" i="6"/>
  <c r="M30" i="6"/>
  <c r="L30" i="6"/>
  <c r="T29" i="6"/>
  <c r="Q29" i="6"/>
  <c r="N29" i="6"/>
  <c r="M29" i="6"/>
  <c r="L29" i="6"/>
  <c r="T28" i="6"/>
  <c r="Q28" i="6"/>
  <c r="N28" i="6"/>
  <c r="M28" i="6"/>
  <c r="L28" i="6"/>
  <c r="T27" i="6"/>
  <c r="Q27" i="6"/>
  <c r="N27" i="6"/>
  <c r="M27" i="6"/>
  <c r="L27" i="6"/>
  <c r="T26" i="6"/>
  <c r="Q26" i="6"/>
  <c r="N26" i="6"/>
  <c r="M26" i="6"/>
  <c r="L26" i="6"/>
  <c r="T25" i="6"/>
  <c r="Q25" i="6"/>
  <c r="N25" i="6"/>
  <c r="M25" i="6"/>
  <c r="R25" i="6"/>
  <c r="L25" i="6"/>
  <c r="T24" i="6"/>
  <c r="Q24" i="6"/>
  <c r="N24" i="6"/>
  <c r="M24" i="6"/>
  <c r="R24" i="6"/>
  <c r="U24" i="6"/>
  <c r="L24" i="6"/>
  <c r="T23" i="6"/>
  <c r="Q23" i="6"/>
  <c r="N23" i="6"/>
  <c r="M23" i="6"/>
  <c r="L23" i="6"/>
  <c r="T22" i="6"/>
  <c r="Q22" i="6"/>
  <c r="N22" i="6"/>
  <c r="M22" i="6"/>
  <c r="L22" i="6"/>
  <c r="T21" i="6"/>
  <c r="Q21" i="6"/>
  <c r="N21" i="6"/>
  <c r="M21" i="6"/>
  <c r="R21" i="6"/>
  <c r="L21" i="6"/>
  <c r="T20" i="6"/>
  <c r="Q20" i="6"/>
  <c r="N20" i="6"/>
  <c r="M20" i="6"/>
  <c r="R20" i="6"/>
  <c r="L20" i="6"/>
  <c r="T31" i="6"/>
  <c r="Q31" i="6"/>
  <c r="N31" i="6"/>
  <c r="M31" i="6"/>
  <c r="L31" i="6"/>
  <c r="T19" i="6"/>
  <c r="Q19" i="6"/>
  <c r="N19" i="6"/>
  <c r="M19" i="6"/>
  <c r="L19" i="6"/>
  <c r="T18" i="6"/>
  <c r="Q18" i="6"/>
  <c r="N18" i="6"/>
  <c r="M18" i="6"/>
  <c r="R18" i="6"/>
  <c r="L18" i="6"/>
  <c r="T17" i="6"/>
  <c r="Q17" i="6"/>
  <c r="N17" i="6"/>
  <c r="M17" i="6"/>
  <c r="R17" i="6"/>
  <c r="L17" i="6"/>
  <c r="T16" i="6"/>
  <c r="Q16" i="6"/>
  <c r="N16" i="6"/>
  <c r="M16" i="6"/>
  <c r="L16" i="6"/>
  <c r="T15" i="6"/>
  <c r="Q15" i="6"/>
  <c r="N15" i="6"/>
  <c r="M15" i="6"/>
  <c r="L15" i="6"/>
  <c r="T14" i="6"/>
  <c r="Q14" i="6"/>
  <c r="N14" i="6"/>
  <c r="M14" i="6"/>
  <c r="L14" i="6"/>
  <c r="T13" i="6"/>
  <c r="Q13" i="6"/>
  <c r="N13" i="6"/>
  <c r="M13" i="6"/>
  <c r="R13" i="6"/>
  <c r="L13" i="6"/>
  <c r="T12" i="6"/>
  <c r="Q12" i="6"/>
  <c r="N12" i="6"/>
  <c r="M12" i="6"/>
  <c r="L12" i="6"/>
  <c r="T11" i="6"/>
  <c r="Q11" i="6"/>
  <c r="N11" i="6"/>
  <c r="M11" i="6"/>
  <c r="L11" i="6"/>
  <c r="U25" i="6"/>
  <c r="O22" i="6"/>
  <c r="P22" i="6"/>
  <c r="U21" i="6"/>
  <c r="U18" i="6"/>
  <c r="O16" i="6"/>
  <c r="P16" i="6"/>
  <c r="O18" i="6"/>
  <c r="P18" i="6"/>
  <c r="R27" i="6"/>
  <c r="U27" i="6"/>
  <c r="O24" i="6"/>
  <c r="P24" i="6"/>
  <c r="R28" i="6"/>
  <c r="U28" i="6"/>
  <c r="U13" i="6"/>
  <c r="U20" i="6"/>
  <c r="O23" i="6"/>
  <c r="P23" i="6"/>
  <c r="O29" i="6"/>
  <c r="P29" i="6"/>
  <c r="R14" i="6"/>
  <c r="U14" i="6"/>
  <c r="O20" i="6"/>
  <c r="P20" i="6"/>
  <c r="O31" i="6"/>
  <c r="P31" i="6"/>
  <c r="O21" i="6"/>
  <c r="P21" i="6"/>
  <c r="R23" i="6"/>
  <c r="U23" i="6"/>
  <c r="O27" i="6"/>
  <c r="P27" i="6"/>
  <c r="O30" i="6"/>
  <c r="P30" i="6"/>
  <c r="O12" i="6"/>
  <c r="P12" i="6"/>
  <c r="O14" i="6"/>
  <c r="P14" i="6"/>
  <c r="O15" i="6"/>
  <c r="P15" i="6"/>
  <c r="O17" i="6"/>
  <c r="P17" i="6"/>
  <c r="O26" i="6"/>
  <c r="P26" i="6"/>
  <c r="O28" i="6"/>
  <c r="P28" i="6"/>
  <c r="R29" i="6"/>
  <c r="U29" i="6"/>
  <c r="O19" i="6"/>
  <c r="P19" i="6"/>
  <c r="O25" i="6"/>
  <c r="P25" i="6"/>
  <c r="R11" i="6"/>
  <c r="U11" i="6"/>
  <c r="O13" i="6"/>
  <c r="P13" i="6"/>
  <c r="R22" i="6"/>
  <c r="U22" i="6"/>
  <c r="R26" i="6"/>
  <c r="U26" i="6"/>
  <c r="R30" i="6"/>
  <c r="U30" i="6"/>
  <c r="U17" i="6"/>
  <c r="R15" i="6"/>
  <c r="U15" i="6"/>
  <c r="R19" i="6"/>
  <c r="U19" i="6"/>
  <c r="O11" i="6"/>
  <c r="P11" i="6"/>
  <c r="R12" i="6"/>
  <c r="U12" i="6"/>
  <c r="R16" i="6"/>
  <c r="U16" i="6"/>
  <c r="R31" i="6"/>
  <c r="U31" i="6"/>
  <c r="T16" i="4"/>
  <c r="Q16" i="4"/>
  <c r="N16" i="4"/>
  <c r="M16" i="4"/>
  <c r="L16" i="4"/>
  <c r="T15" i="4"/>
  <c r="Q15" i="4"/>
  <c r="N15" i="4"/>
  <c r="M15" i="4"/>
  <c r="L15" i="4"/>
  <c r="T14" i="4"/>
  <c r="Q14" i="4"/>
  <c r="N14" i="4"/>
  <c r="M14" i="4"/>
  <c r="R14" i="4"/>
  <c r="L14" i="4"/>
  <c r="T13" i="4"/>
  <c r="Q13" i="4"/>
  <c r="N13" i="4"/>
  <c r="M13" i="4"/>
  <c r="O13" i="4"/>
  <c r="P13" i="4"/>
  <c r="L13" i="4"/>
  <c r="T12" i="4"/>
  <c r="Q12" i="4"/>
  <c r="N12" i="4"/>
  <c r="M12" i="4"/>
  <c r="L12" i="4"/>
  <c r="T11" i="4"/>
  <c r="Q11" i="4"/>
  <c r="N11" i="4"/>
  <c r="M11" i="4"/>
  <c r="L11" i="4"/>
  <c r="T10" i="4"/>
  <c r="Q10" i="4"/>
  <c r="N10" i="4"/>
  <c r="M10" i="4"/>
  <c r="O10" i="4"/>
  <c r="P10" i="4"/>
  <c r="L10" i="4"/>
  <c r="R12" i="4"/>
  <c r="U12" i="4"/>
  <c r="R16" i="4"/>
  <c r="U16" i="4"/>
  <c r="R11" i="4"/>
  <c r="U11" i="4"/>
  <c r="O12" i="4"/>
  <c r="P12" i="4"/>
  <c r="O15" i="4"/>
  <c r="P15" i="4"/>
  <c r="O11" i="4"/>
  <c r="P11" i="4"/>
  <c r="U14" i="4"/>
  <c r="O16" i="4"/>
  <c r="P16" i="4"/>
  <c r="R10" i="4"/>
  <c r="U10" i="4"/>
  <c r="O14" i="4"/>
  <c r="P14" i="4"/>
  <c r="R15" i="4"/>
  <c r="U15" i="4"/>
  <c r="R13" i="4"/>
  <c r="U13" i="4"/>
  <c r="T33" i="6"/>
  <c r="Q33" i="6"/>
  <c r="N33" i="6"/>
  <c r="M33" i="6"/>
  <c r="L33" i="6"/>
  <c r="T32" i="6"/>
  <c r="Q32" i="6"/>
  <c r="N32" i="6"/>
  <c r="M32" i="6"/>
  <c r="L32" i="6"/>
  <c r="T10" i="6"/>
  <c r="Q10" i="6"/>
  <c r="N10" i="6"/>
  <c r="M10" i="6"/>
  <c r="L10" i="6"/>
  <c r="T9" i="6"/>
  <c r="Q9" i="6"/>
  <c r="N9" i="6"/>
  <c r="M9" i="6"/>
  <c r="L9" i="6"/>
  <c r="T8" i="6"/>
  <c r="Q8" i="6"/>
  <c r="N8" i="6"/>
  <c r="M8" i="6"/>
  <c r="L8" i="6"/>
  <c r="T7" i="6"/>
  <c r="Q7" i="6"/>
  <c r="N7" i="6"/>
  <c r="M7" i="6"/>
  <c r="L7" i="6"/>
  <c r="T6" i="6"/>
  <c r="Q6" i="6"/>
  <c r="N6" i="6"/>
  <c r="M6" i="6"/>
  <c r="L6" i="6"/>
  <c r="T5" i="6"/>
  <c r="Q5" i="6"/>
  <c r="N5" i="6"/>
  <c r="M5" i="6"/>
  <c r="L5" i="6"/>
  <c r="T37" i="6"/>
  <c r="Q37" i="6"/>
  <c r="N37" i="6"/>
  <c r="M37" i="6"/>
  <c r="O37" i="6"/>
  <c r="P37" i="6"/>
  <c r="L37" i="6"/>
  <c r="T36" i="6"/>
  <c r="Q36" i="6"/>
  <c r="N36" i="6"/>
  <c r="M36" i="6"/>
  <c r="L36" i="6"/>
  <c r="T35" i="6"/>
  <c r="Q35" i="6"/>
  <c r="N35" i="6"/>
  <c r="M35" i="6"/>
  <c r="L35" i="6"/>
  <c r="T34" i="6"/>
  <c r="Q34" i="6"/>
  <c r="N34" i="6"/>
  <c r="M34" i="6"/>
  <c r="L34" i="6"/>
  <c r="R33" i="6"/>
  <c r="U33" i="6"/>
  <c r="R8" i="6"/>
  <c r="U8" i="6"/>
  <c r="O5" i="6"/>
  <c r="P5" i="6"/>
  <c r="O9" i="6"/>
  <c r="P9" i="6"/>
  <c r="R7" i="6"/>
  <c r="O10" i="6"/>
  <c r="P10" i="6"/>
  <c r="R6" i="6"/>
  <c r="U6" i="6"/>
  <c r="O8" i="6"/>
  <c r="P8" i="6"/>
  <c r="O33" i="6"/>
  <c r="P33" i="6"/>
  <c r="O6" i="6"/>
  <c r="P6" i="6"/>
  <c r="O36" i="6"/>
  <c r="P36" i="6"/>
  <c r="R10" i="6"/>
  <c r="U10" i="6"/>
  <c r="U7" i="6"/>
  <c r="R35" i="6"/>
  <c r="U35" i="6"/>
  <c r="R32" i="6"/>
  <c r="U32" i="6"/>
  <c r="R37" i="6"/>
  <c r="U37" i="6"/>
  <c r="O7" i="6"/>
  <c r="P7" i="6"/>
  <c r="O32" i="6"/>
  <c r="P32" i="6"/>
  <c r="R34" i="6"/>
  <c r="U34" i="6"/>
  <c r="R5" i="6"/>
  <c r="R9" i="6"/>
  <c r="U9" i="6"/>
  <c r="O34" i="6"/>
  <c r="P34" i="6"/>
  <c r="O35" i="6"/>
  <c r="P35" i="6"/>
  <c r="R36" i="6"/>
  <c r="U36" i="6"/>
  <c r="E5" i="12"/>
  <c r="U5" i="6"/>
  <c r="I20" i="3"/>
  <c r="T7" i="3"/>
  <c r="Q7" i="3"/>
  <c r="N7" i="3"/>
  <c r="M7" i="3"/>
  <c r="L7" i="3"/>
  <c r="T6" i="3"/>
  <c r="Q6" i="3"/>
  <c r="N6" i="3"/>
  <c r="M6" i="3"/>
  <c r="L6" i="3"/>
  <c r="T19" i="3"/>
  <c r="Q19" i="3"/>
  <c r="N19" i="3"/>
  <c r="M19" i="3"/>
  <c r="L19" i="3"/>
  <c r="T18" i="3"/>
  <c r="Q18" i="3"/>
  <c r="N18" i="3"/>
  <c r="M18" i="3"/>
  <c r="L18" i="3"/>
  <c r="G17" i="12"/>
  <c r="I17" i="12"/>
  <c r="I16" i="12"/>
  <c r="G16" i="12"/>
  <c r="H5" i="12"/>
  <c r="C17" i="12"/>
  <c r="E17" i="12"/>
  <c r="E1" i="9"/>
  <c r="F11" i="7"/>
  <c r="E11" i="7"/>
  <c r="G10" i="7"/>
  <c r="F10" i="7"/>
  <c r="E10" i="7"/>
  <c r="K9" i="7"/>
  <c r="J9" i="7"/>
  <c r="I9" i="7"/>
  <c r="H9" i="7"/>
  <c r="G9" i="7"/>
  <c r="F9" i="7"/>
  <c r="E9" i="7"/>
  <c r="T8" i="7"/>
  <c r="R8" i="7"/>
  <c r="U8" i="7"/>
  <c r="Q8" i="7"/>
  <c r="O8" i="7"/>
  <c r="P8" i="7"/>
  <c r="N8" i="7"/>
  <c r="M8" i="7"/>
  <c r="L8" i="7"/>
  <c r="T7" i="7"/>
  <c r="Q7" i="7"/>
  <c r="P7" i="7"/>
  <c r="O7" i="7"/>
  <c r="N7" i="7"/>
  <c r="M7" i="7"/>
  <c r="R7" i="7"/>
  <c r="U7" i="7"/>
  <c r="L7" i="7"/>
  <c r="T6" i="7"/>
  <c r="Q6" i="7"/>
  <c r="R6" i="7"/>
  <c r="U6" i="7"/>
  <c r="P6" i="7"/>
  <c r="O6" i="7"/>
  <c r="N6" i="7"/>
  <c r="M6" i="7"/>
  <c r="L6" i="7"/>
  <c r="T5" i="7"/>
  <c r="Q5" i="7"/>
  <c r="N5" i="7"/>
  <c r="N9" i="7"/>
  <c r="M5" i="7"/>
  <c r="M9" i="7"/>
  <c r="L5" i="7"/>
  <c r="F42" i="6"/>
  <c r="E42" i="6"/>
  <c r="G41" i="6"/>
  <c r="F41" i="6"/>
  <c r="E41" i="6"/>
  <c r="K40" i="6"/>
  <c r="J40" i="6"/>
  <c r="H40" i="6"/>
  <c r="G40" i="6"/>
  <c r="F40" i="6"/>
  <c r="E40" i="6"/>
  <c r="T39" i="6"/>
  <c r="Q39" i="6"/>
  <c r="N39" i="6"/>
  <c r="M39" i="6"/>
  <c r="L39" i="6"/>
  <c r="T38" i="6"/>
  <c r="Q38" i="6"/>
  <c r="N38" i="6"/>
  <c r="M38" i="6"/>
  <c r="L38" i="6"/>
  <c r="F9" i="5"/>
  <c r="E9" i="5"/>
  <c r="G8" i="5"/>
  <c r="F8" i="5"/>
  <c r="E8" i="5"/>
  <c r="K7" i="5"/>
  <c r="J7" i="5"/>
  <c r="I7" i="5"/>
  <c r="H7" i="5"/>
  <c r="G7" i="5"/>
  <c r="F7" i="5"/>
  <c r="E7" i="5"/>
  <c r="T6" i="5"/>
  <c r="Q6" i="5"/>
  <c r="N6" i="5"/>
  <c r="M6" i="5"/>
  <c r="O6" i="5"/>
  <c r="P6" i="5"/>
  <c r="L6" i="5"/>
  <c r="T5" i="5"/>
  <c r="T7" i="5"/>
  <c r="Q5" i="5"/>
  <c r="N5" i="5"/>
  <c r="N7" i="5"/>
  <c r="M5" i="5"/>
  <c r="M7" i="5"/>
  <c r="L5" i="5"/>
  <c r="F21" i="4"/>
  <c r="E21" i="4"/>
  <c r="G20" i="4"/>
  <c r="F20" i="4"/>
  <c r="E20" i="4"/>
  <c r="K19" i="4"/>
  <c r="J19" i="4"/>
  <c r="I19" i="4"/>
  <c r="H19" i="4"/>
  <c r="G19" i="4"/>
  <c r="F19" i="4"/>
  <c r="E19" i="4"/>
  <c r="T18" i="4"/>
  <c r="Q18" i="4"/>
  <c r="N18" i="4"/>
  <c r="M18" i="4"/>
  <c r="L18" i="4"/>
  <c r="T17" i="4"/>
  <c r="Q17" i="4"/>
  <c r="N17" i="4"/>
  <c r="M17" i="4"/>
  <c r="L17" i="4"/>
  <c r="T9" i="4"/>
  <c r="Q9" i="4"/>
  <c r="N9" i="4"/>
  <c r="M9" i="4"/>
  <c r="L9" i="4"/>
  <c r="T8" i="4"/>
  <c r="Q8" i="4"/>
  <c r="N8" i="4"/>
  <c r="M8" i="4"/>
  <c r="L8" i="4"/>
  <c r="T7" i="4"/>
  <c r="Q7" i="4"/>
  <c r="N7" i="4"/>
  <c r="M7" i="4"/>
  <c r="L7" i="4"/>
  <c r="T6" i="4"/>
  <c r="Q6" i="4"/>
  <c r="N6" i="4"/>
  <c r="M6" i="4"/>
  <c r="L6" i="4"/>
  <c r="T5" i="4"/>
  <c r="Q5" i="4"/>
  <c r="N5" i="4"/>
  <c r="M5" i="4"/>
  <c r="L5" i="4"/>
  <c r="F22" i="3"/>
  <c r="E22" i="3"/>
  <c r="G21" i="3"/>
  <c r="F21" i="3"/>
  <c r="E21" i="3"/>
  <c r="K20" i="3"/>
  <c r="J20" i="3"/>
  <c r="H20" i="3"/>
  <c r="G20" i="3"/>
  <c r="F20" i="3"/>
  <c r="E20" i="3"/>
  <c r="T17" i="3"/>
  <c r="Q17" i="3"/>
  <c r="N17" i="3"/>
  <c r="M17" i="3"/>
  <c r="L17" i="3"/>
  <c r="T16" i="3"/>
  <c r="Q16" i="3"/>
  <c r="N16" i="3"/>
  <c r="M16" i="3"/>
  <c r="L16" i="3"/>
  <c r="T15" i="3"/>
  <c r="Q15" i="3"/>
  <c r="N15" i="3"/>
  <c r="M15" i="3"/>
  <c r="L15" i="3"/>
  <c r="T14" i="3"/>
  <c r="Q14" i="3"/>
  <c r="N14" i="3"/>
  <c r="M14" i="3"/>
  <c r="L14" i="3"/>
  <c r="T13" i="3"/>
  <c r="Q13" i="3"/>
  <c r="N13" i="3"/>
  <c r="M13" i="3"/>
  <c r="L13" i="3"/>
  <c r="T12" i="3"/>
  <c r="Q12" i="3"/>
  <c r="N12" i="3"/>
  <c r="M12" i="3"/>
  <c r="L12" i="3"/>
  <c r="T11" i="3"/>
  <c r="Q11" i="3"/>
  <c r="N11" i="3"/>
  <c r="M11" i="3"/>
  <c r="L11" i="3"/>
  <c r="T10" i="3"/>
  <c r="Q10" i="3"/>
  <c r="N10" i="3"/>
  <c r="M10" i="3"/>
  <c r="L10" i="3"/>
  <c r="T9" i="3"/>
  <c r="Q9" i="3"/>
  <c r="N9" i="3"/>
  <c r="M9" i="3"/>
  <c r="L9" i="3"/>
  <c r="T8" i="3"/>
  <c r="Q8" i="3"/>
  <c r="N8" i="3"/>
  <c r="M8" i="3"/>
  <c r="L8" i="3"/>
  <c r="T5" i="3"/>
  <c r="Q5" i="3"/>
  <c r="N5" i="3"/>
  <c r="M5" i="3"/>
  <c r="L5" i="3"/>
  <c r="F33" i="11"/>
  <c r="E33" i="11"/>
  <c r="G32" i="11"/>
  <c r="F32" i="11"/>
  <c r="E32" i="11"/>
  <c r="K31" i="11"/>
  <c r="J31" i="11"/>
  <c r="I31" i="11"/>
  <c r="H31" i="11"/>
  <c r="G31" i="11"/>
  <c r="F31" i="11"/>
  <c r="E31" i="11"/>
  <c r="T30" i="11"/>
  <c r="Q30" i="11"/>
  <c r="N30" i="11"/>
  <c r="M30" i="11"/>
  <c r="O30" i="11"/>
  <c r="P30" i="11"/>
  <c r="L30" i="11"/>
  <c r="T29" i="11"/>
  <c r="Q29" i="11"/>
  <c r="O29" i="11"/>
  <c r="P29" i="11"/>
  <c r="N29" i="11"/>
  <c r="M29" i="11"/>
  <c r="L29" i="11"/>
  <c r="T28" i="11"/>
  <c r="Q28" i="11"/>
  <c r="O28" i="11"/>
  <c r="P28" i="11"/>
  <c r="N28" i="11"/>
  <c r="M28" i="11"/>
  <c r="L28" i="11"/>
  <c r="T27" i="11"/>
  <c r="Q27" i="11"/>
  <c r="N27" i="11"/>
  <c r="M27" i="11"/>
  <c r="O27" i="11"/>
  <c r="P27" i="11"/>
  <c r="L27" i="11"/>
  <c r="T26" i="11"/>
  <c r="Q26" i="11"/>
  <c r="R26" i="11"/>
  <c r="N26" i="11"/>
  <c r="M26" i="11"/>
  <c r="O26" i="11"/>
  <c r="P26" i="11"/>
  <c r="L26" i="11"/>
  <c r="T25" i="11"/>
  <c r="Q25" i="11"/>
  <c r="R25" i="11"/>
  <c r="N25" i="11"/>
  <c r="M25" i="11"/>
  <c r="O25" i="11"/>
  <c r="P25" i="11"/>
  <c r="L25" i="11"/>
  <c r="T24" i="11"/>
  <c r="Q24" i="11"/>
  <c r="R24" i="11"/>
  <c r="N24" i="11"/>
  <c r="M24" i="11"/>
  <c r="O24" i="11"/>
  <c r="P24" i="11"/>
  <c r="L24" i="11"/>
  <c r="T23" i="11"/>
  <c r="Q23" i="11"/>
  <c r="R23" i="11"/>
  <c r="O23" i="11"/>
  <c r="P23" i="11"/>
  <c r="N23" i="11"/>
  <c r="M23" i="11"/>
  <c r="L23" i="11"/>
  <c r="T22" i="11"/>
  <c r="Q22" i="11"/>
  <c r="R22" i="11"/>
  <c r="O22" i="11"/>
  <c r="P22" i="11"/>
  <c r="N22" i="11"/>
  <c r="M22" i="11"/>
  <c r="L22" i="11"/>
  <c r="T21" i="11"/>
  <c r="Q21" i="11"/>
  <c r="N21" i="11"/>
  <c r="M21" i="11"/>
  <c r="O21" i="11"/>
  <c r="P21" i="11"/>
  <c r="L21" i="11"/>
  <c r="T20" i="11"/>
  <c r="Q20" i="11"/>
  <c r="O20" i="11"/>
  <c r="P20" i="11"/>
  <c r="N20" i="11"/>
  <c r="M20" i="11"/>
  <c r="L20" i="11"/>
  <c r="T19" i="11"/>
  <c r="Q19" i="11"/>
  <c r="O19" i="11"/>
  <c r="P19" i="11"/>
  <c r="N19" i="11"/>
  <c r="M19" i="11"/>
  <c r="L19" i="11"/>
  <c r="T18" i="11"/>
  <c r="Q18" i="11"/>
  <c r="N18" i="11"/>
  <c r="M18" i="11"/>
  <c r="O18" i="11"/>
  <c r="P18" i="11"/>
  <c r="L18" i="11"/>
  <c r="T17" i="11"/>
  <c r="Q17" i="11"/>
  <c r="R17" i="11"/>
  <c r="N17" i="11"/>
  <c r="M17" i="11"/>
  <c r="O17" i="11"/>
  <c r="P17" i="11"/>
  <c r="L17" i="11"/>
  <c r="T16" i="11"/>
  <c r="Q16" i="11"/>
  <c r="R16" i="11"/>
  <c r="N16" i="11"/>
  <c r="M16" i="11"/>
  <c r="O16" i="11"/>
  <c r="P16" i="11"/>
  <c r="L16" i="11"/>
  <c r="T15" i="11"/>
  <c r="Q15" i="11"/>
  <c r="R15" i="11"/>
  <c r="O15" i="11"/>
  <c r="P15" i="11"/>
  <c r="N15" i="11"/>
  <c r="M15" i="11"/>
  <c r="L15" i="11"/>
  <c r="T14" i="11"/>
  <c r="Q14" i="11"/>
  <c r="R14" i="11"/>
  <c r="O14" i="11"/>
  <c r="P14" i="11"/>
  <c r="N14" i="11"/>
  <c r="M14" i="11"/>
  <c r="L14" i="11"/>
  <c r="T13" i="11"/>
  <c r="Q13" i="11"/>
  <c r="N13" i="11"/>
  <c r="M13" i="11"/>
  <c r="O13" i="11"/>
  <c r="P13" i="11"/>
  <c r="L13" i="11"/>
  <c r="T12" i="11"/>
  <c r="Q12" i="11"/>
  <c r="O12" i="11"/>
  <c r="P12" i="11"/>
  <c r="N12" i="11"/>
  <c r="M12" i="11"/>
  <c r="L12" i="11"/>
  <c r="T11" i="11"/>
  <c r="Q11" i="11"/>
  <c r="O11" i="11"/>
  <c r="P11" i="11"/>
  <c r="N11" i="11"/>
  <c r="M11" i="11"/>
  <c r="L11" i="11"/>
  <c r="T10" i="11"/>
  <c r="Q10" i="11"/>
  <c r="N10" i="11"/>
  <c r="M10" i="11"/>
  <c r="O10" i="11"/>
  <c r="P10" i="11"/>
  <c r="L10" i="11"/>
  <c r="T9" i="11"/>
  <c r="Q9" i="11"/>
  <c r="R9" i="11"/>
  <c r="N9" i="11"/>
  <c r="M9" i="11"/>
  <c r="O9" i="11"/>
  <c r="P9" i="11"/>
  <c r="L9" i="11"/>
  <c r="T8" i="11"/>
  <c r="Q8" i="11"/>
  <c r="R8" i="11"/>
  <c r="N8" i="11"/>
  <c r="M8" i="11"/>
  <c r="O8" i="11"/>
  <c r="P8" i="11"/>
  <c r="L8" i="11"/>
  <c r="T7" i="11"/>
  <c r="Q7" i="11"/>
  <c r="R7" i="11"/>
  <c r="O7" i="11"/>
  <c r="P7" i="11"/>
  <c r="N7" i="11"/>
  <c r="M7" i="11"/>
  <c r="L7" i="11"/>
  <c r="T6" i="11"/>
  <c r="Q6" i="11"/>
  <c r="R6" i="11"/>
  <c r="O6" i="11"/>
  <c r="P6" i="11"/>
  <c r="N6" i="11"/>
  <c r="M6" i="11"/>
  <c r="L6" i="11"/>
  <c r="T5" i="11"/>
  <c r="Q5" i="11"/>
  <c r="N5" i="11"/>
  <c r="N31" i="11"/>
  <c r="M5" i="11"/>
  <c r="O5" i="11"/>
  <c r="P5" i="11"/>
  <c r="L5" i="11"/>
  <c r="L31" i="11"/>
  <c r="F11" i="2"/>
  <c r="E11" i="2"/>
  <c r="G10" i="2"/>
  <c r="F10" i="2"/>
  <c r="E10" i="2"/>
  <c r="U9" i="2"/>
  <c r="M9" i="2"/>
  <c r="L9" i="2"/>
  <c r="K9" i="2"/>
  <c r="J9" i="2"/>
  <c r="I9" i="2"/>
  <c r="H9" i="2"/>
  <c r="G9" i="2"/>
  <c r="F9" i="2"/>
  <c r="E9" i="2"/>
  <c r="P8" i="2"/>
  <c r="O8" i="2"/>
  <c r="Q8" i="2"/>
  <c r="R8" i="2"/>
  <c r="N8" i="2"/>
  <c r="P7" i="2"/>
  <c r="O7" i="2"/>
  <c r="Q7" i="2"/>
  <c r="R7" i="2"/>
  <c r="N7" i="2"/>
  <c r="P6" i="2"/>
  <c r="O6" i="2"/>
  <c r="N6" i="2"/>
  <c r="P5" i="2"/>
  <c r="O5" i="2"/>
  <c r="N5" i="2"/>
  <c r="J50" i="1"/>
  <c r="L50" i="1"/>
  <c r="E50" i="1"/>
  <c r="G50" i="1"/>
  <c r="J44" i="1"/>
  <c r="L44" i="1"/>
  <c r="E44" i="1"/>
  <c r="G44" i="1"/>
  <c r="J40" i="1"/>
  <c r="L40" i="1"/>
  <c r="E40" i="1"/>
  <c r="G40" i="1"/>
  <c r="I25" i="1"/>
  <c r="I30" i="1"/>
  <c r="G25" i="1"/>
  <c r="G30" i="1"/>
  <c r="L4" i="1"/>
  <c r="N40" i="6"/>
  <c r="M40" i="6"/>
  <c r="L40" i="6"/>
  <c r="U24" i="11"/>
  <c r="U6" i="11"/>
  <c r="U22" i="11"/>
  <c r="U26" i="11"/>
  <c r="U14" i="11"/>
  <c r="U17" i="11"/>
  <c r="R30" i="11"/>
  <c r="U30" i="11"/>
  <c r="R5" i="5"/>
  <c r="N9" i="2"/>
  <c r="R5" i="11"/>
  <c r="R21" i="11"/>
  <c r="U21" i="11"/>
  <c r="R12" i="11"/>
  <c r="U12" i="11"/>
  <c r="R20" i="11"/>
  <c r="U20" i="11"/>
  <c r="R29" i="11"/>
  <c r="U29" i="11"/>
  <c r="C16" i="12"/>
  <c r="E16" i="12"/>
  <c r="P9" i="2"/>
  <c r="R11" i="11"/>
  <c r="U11" i="11"/>
  <c r="R19" i="11"/>
  <c r="U19" i="11"/>
  <c r="R28" i="11"/>
  <c r="U28" i="11"/>
  <c r="M31" i="11"/>
  <c r="L9" i="7"/>
  <c r="R13" i="11"/>
  <c r="R10" i="11"/>
  <c r="U10" i="11"/>
  <c r="R18" i="11"/>
  <c r="U18" i="11"/>
  <c r="R27" i="11"/>
  <c r="U27" i="11"/>
  <c r="L7" i="5"/>
  <c r="Q6" i="2"/>
  <c r="R6" i="2"/>
  <c r="R5" i="2"/>
  <c r="R9" i="2"/>
  <c r="U7" i="11"/>
  <c r="U23" i="11"/>
  <c r="T9" i="7"/>
  <c r="T40" i="6"/>
  <c r="R38" i="6"/>
  <c r="O38" i="6"/>
  <c r="P38" i="6"/>
  <c r="O39" i="6"/>
  <c r="P39" i="6"/>
  <c r="O8" i="4"/>
  <c r="P8" i="4"/>
  <c r="O9" i="4"/>
  <c r="P9" i="4"/>
  <c r="R6" i="4"/>
  <c r="U6" i="4"/>
  <c r="R17" i="4"/>
  <c r="U17" i="4"/>
  <c r="O7" i="4"/>
  <c r="P7" i="4"/>
  <c r="O18" i="4"/>
  <c r="P18" i="4"/>
  <c r="R7" i="4"/>
  <c r="U7" i="4"/>
  <c r="L19" i="4"/>
  <c r="O6" i="4"/>
  <c r="P6" i="4"/>
  <c r="O17" i="4"/>
  <c r="P17" i="4"/>
  <c r="R18" i="4"/>
  <c r="U18" i="4"/>
  <c r="M19" i="4"/>
  <c r="N19" i="4"/>
  <c r="T19" i="4"/>
  <c r="Q5" i="2"/>
  <c r="O9" i="2"/>
  <c r="O7" i="3"/>
  <c r="P7" i="3"/>
  <c r="P32" i="11"/>
  <c r="U16" i="11"/>
  <c r="O6" i="3"/>
  <c r="P6" i="3"/>
  <c r="U25" i="11"/>
  <c r="V9" i="2"/>
  <c r="T31" i="11"/>
  <c r="U9" i="11"/>
  <c r="U15" i="11"/>
  <c r="U8" i="11"/>
  <c r="U13" i="11"/>
  <c r="R31" i="11"/>
  <c r="U5" i="11"/>
  <c r="U31" i="11"/>
  <c r="P31" i="11"/>
  <c r="R9" i="3"/>
  <c r="U9" i="3"/>
  <c r="R7" i="3"/>
  <c r="U7" i="3"/>
  <c r="R19" i="3"/>
  <c r="U19" i="3"/>
  <c r="R11" i="3"/>
  <c r="U11" i="3"/>
  <c r="R15" i="3"/>
  <c r="U15" i="3"/>
  <c r="O9" i="3"/>
  <c r="P9" i="3"/>
  <c r="R18" i="3"/>
  <c r="U18" i="3"/>
  <c r="R5" i="3"/>
  <c r="U5" i="3"/>
  <c r="R6" i="3"/>
  <c r="U6" i="3"/>
  <c r="O5" i="3"/>
  <c r="P5" i="3"/>
  <c r="T20" i="3"/>
  <c r="O18" i="3"/>
  <c r="P18" i="3"/>
  <c r="O19" i="3"/>
  <c r="P19" i="3"/>
  <c r="R8" i="3"/>
  <c r="U8" i="3"/>
  <c r="R12" i="3"/>
  <c r="U12" i="3"/>
  <c r="R13" i="3"/>
  <c r="U13" i="3"/>
  <c r="O15" i="3"/>
  <c r="P15" i="3"/>
  <c r="R16" i="3"/>
  <c r="U16" i="3"/>
  <c r="N20" i="3"/>
  <c r="O8" i="3"/>
  <c r="P8" i="3"/>
  <c r="O14" i="3"/>
  <c r="P14" i="3"/>
  <c r="O16" i="3"/>
  <c r="P16" i="3"/>
  <c r="M20" i="3"/>
  <c r="O11" i="3"/>
  <c r="P11" i="3"/>
  <c r="O10" i="3"/>
  <c r="P10" i="3"/>
  <c r="O12" i="3"/>
  <c r="P12" i="3"/>
  <c r="O17" i="3"/>
  <c r="P17" i="3"/>
  <c r="R10" i="3"/>
  <c r="U10" i="3"/>
  <c r="O13" i="3"/>
  <c r="P13" i="3"/>
  <c r="R14" i="3"/>
  <c r="U14" i="3"/>
  <c r="R17" i="3"/>
  <c r="U17" i="3"/>
  <c r="L20" i="3"/>
  <c r="R8" i="4"/>
  <c r="U8" i="4"/>
  <c r="R5" i="4"/>
  <c r="R9" i="4"/>
  <c r="U9" i="4"/>
  <c r="O5" i="4"/>
  <c r="P5" i="4"/>
  <c r="R5" i="7"/>
  <c r="O5" i="7"/>
  <c r="P5" i="7"/>
  <c r="R39" i="6"/>
  <c r="U39" i="6"/>
  <c r="O5" i="5"/>
  <c r="P5" i="5"/>
  <c r="R6" i="5"/>
  <c r="U6" i="5"/>
  <c r="U5" i="5"/>
  <c r="U38" i="6"/>
  <c r="U40" i="6"/>
  <c r="R40" i="6"/>
  <c r="P41" i="6"/>
  <c r="P40" i="6"/>
  <c r="J48" i="1"/>
  <c r="L48" i="1"/>
  <c r="P20" i="3"/>
  <c r="E48" i="1"/>
  <c r="G48" i="1"/>
  <c r="R10" i="2"/>
  <c r="E43" i="1"/>
  <c r="G43" i="1"/>
  <c r="J43" i="1"/>
  <c r="L43" i="1"/>
  <c r="P21" i="3"/>
  <c r="U20" i="3"/>
  <c r="J45" i="1"/>
  <c r="L45" i="1"/>
  <c r="R20" i="3"/>
  <c r="E45" i="1"/>
  <c r="G45" i="1"/>
  <c r="P19" i="4"/>
  <c r="P20" i="4"/>
  <c r="U5" i="4"/>
  <c r="J46" i="1"/>
  <c r="L46" i="1"/>
  <c r="E46" i="1"/>
  <c r="G46" i="1"/>
  <c r="P9" i="7"/>
  <c r="P10" i="7"/>
  <c r="U5" i="7"/>
  <c r="U9" i="7"/>
  <c r="J49" i="1"/>
  <c r="L49" i="1"/>
  <c r="R9" i="7"/>
  <c r="E49" i="1"/>
  <c r="G49" i="1"/>
  <c r="R7" i="5"/>
  <c r="U7" i="5"/>
  <c r="P7" i="5"/>
  <c r="P8" i="5"/>
  <c r="E47" i="1"/>
  <c r="G47" i="1"/>
  <c r="J47" i="1"/>
  <c r="L47" i="1"/>
  <c r="F23" i="1"/>
  <c r="F22" i="1"/>
  <c r="E53" i="1"/>
  <c r="G53" i="1"/>
  <c r="J52" i="1"/>
  <c r="L52" i="1"/>
  <c r="J42" i="1"/>
  <c r="L42" i="1"/>
  <c r="H33" i="1"/>
  <c r="J54" i="1"/>
  <c r="L54" i="1"/>
  <c r="E54" i="1"/>
  <c r="G54" i="1"/>
  <c r="F21" i="1"/>
  <c r="E52" i="1"/>
  <c r="G52" i="1"/>
  <c r="F8" i="1"/>
  <c r="F33" i="1"/>
  <c r="F28" i="1"/>
  <c r="F26" i="1"/>
  <c r="F29" i="1"/>
  <c r="F27" i="1"/>
  <c r="F24" i="1"/>
  <c r="E55" i="1"/>
  <c r="G55" i="1"/>
  <c r="F20" i="1"/>
  <c r="E51" i="1"/>
  <c r="G51" i="1"/>
  <c r="F11" i="1"/>
  <c r="E42" i="1"/>
  <c r="G42" i="1"/>
  <c r="J51" i="1"/>
  <c r="L51" i="1"/>
  <c r="J53" i="1"/>
  <c r="L53" i="1"/>
  <c r="F25" i="1"/>
  <c r="F30" i="1"/>
  <c r="G39" i="1"/>
  <c r="J55" i="1"/>
  <c r="L55" i="1"/>
  <c r="L39" i="1"/>
  <c r="H31" i="1"/>
  <c r="C72" i="1"/>
  <c r="F72" i="1"/>
  <c r="J41" i="1"/>
  <c r="L41" i="1"/>
  <c r="N40" i="1"/>
  <c r="E41" i="1"/>
  <c r="G41" i="1"/>
  <c r="I40" i="1"/>
  <c r="H42" i="1"/>
  <c r="N39" i="1"/>
  <c r="M42" i="1"/>
  <c r="N42" i="1"/>
  <c r="I42" i="1"/>
  <c r="F31" i="1"/>
  <c r="C74" i="1"/>
  <c r="I4" i="1"/>
  <c r="I43" i="1"/>
  <c r="I51" i="1"/>
  <c r="H52" i="1"/>
  <c r="I52" i="1"/>
  <c r="H53" i="1"/>
  <c r="I53" i="1"/>
  <c r="I55" i="1"/>
  <c r="N43" i="1"/>
  <c r="N51" i="1"/>
  <c r="M52" i="1"/>
  <c r="N52" i="1"/>
  <c r="M53" i="1"/>
  <c r="N53" i="1"/>
  <c r="N55" i="1"/>
  <c r="C73" i="1"/>
  <c r="F73" i="1"/>
  <c r="F74" i="1"/>
</calcChain>
</file>

<file path=xl/comments1.xml><?xml version="1.0" encoding="utf-8"?>
<comments xmlns="http://schemas.openxmlformats.org/spreadsheetml/2006/main">
  <authors>
    <author>Windows 用户</author>
    <author>作者</author>
  </authors>
  <commentList>
    <comment ref="F4" authorId="0">
      <text>
        <r>
          <rPr>
            <sz val="9"/>
            <rFont val="宋体"/>
            <family val="3"/>
            <charset val="134"/>
          </rPr>
          <t xml:space="preserve">SFP的值为产品设计与研发阶段除去测试工作量以外的工作量之和
</t>
        </r>
      </text>
    </comment>
    <comment ref="H33" authorId="0">
      <text>
        <r>
          <rPr>
            <sz val="9"/>
            <rFont val="宋体"/>
            <family val="3"/>
            <charset val="134"/>
          </rPr>
          <t>该数据即为立项申请表中的“项目规模”数据</t>
        </r>
      </text>
    </comment>
    <comment ref="Y38" authorId="1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测试</t>
        </r>
      </text>
    </comment>
    <comment ref="Y39" authorId="1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测试</t>
        </r>
      </text>
    </comment>
    <comment ref="Y40" authorId="1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缺陷修改</t>
        </r>
      </text>
    </comment>
  </commentList>
</comments>
</file>

<file path=xl/sharedStrings.xml><?xml version="1.0" encoding="utf-8"?>
<sst xmlns="http://schemas.openxmlformats.org/spreadsheetml/2006/main" count="792" uniqueCount="263">
  <si>
    <t>1、项目工作量评估</t>
  </si>
  <si>
    <t>规模（SFP）</t>
  </si>
  <si>
    <t>复用率(%)</t>
  </si>
  <si>
    <t>技术复杂
程度</t>
  </si>
  <si>
    <t>项目阶段</t>
  </si>
  <si>
    <t>全量工作量
（人天）</t>
  </si>
  <si>
    <t>阶段工作量占比</t>
  </si>
  <si>
    <t>新开发工作量（人天）</t>
  </si>
  <si>
    <t>备注</t>
  </si>
  <si>
    <t>需求对接</t>
  </si>
  <si>
    <t>客户需求分析</t>
  </si>
  <si>
    <t>项目立项阶段质控评估</t>
  </si>
  <si>
    <t>软件项目研发</t>
  </si>
  <si>
    <t>软件需求分析</t>
  </si>
  <si>
    <t>设计阶段</t>
  </si>
  <si>
    <t>测试需求分析</t>
  </si>
  <si>
    <t>测试1人</t>
  </si>
  <si>
    <t>软件设计</t>
  </si>
  <si>
    <t>设计阶段质控评估</t>
  </si>
  <si>
    <t>研发</t>
  </si>
  <si>
    <t>UI</t>
  </si>
  <si>
    <t>.net</t>
  </si>
  <si>
    <t>U3D</t>
  </si>
  <si>
    <t>建模</t>
  </si>
  <si>
    <t>场景</t>
  </si>
  <si>
    <t>动画</t>
  </si>
  <si>
    <t>特效</t>
  </si>
  <si>
    <t>测试用例</t>
  </si>
  <si>
    <t>整合联调</t>
  </si>
  <si>
    <t>事业部初验质控</t>
  </si>
  <si>
    <t>系统测试</t>
  </si>
  <si>
    <t>1、按研发人员与测试人员的工作量配比为2:1测算；
2、测试阶段人员共计3人：研发2人，测试1人；</t>
  </si>
  <si>
    <t>BUG修改</t>
  </si>
  <si>
    <t>事业部终验质控及验收</t>
  </si>
  <si>
    <t>1、按总工作量1%测算；
2、事业部产品经理验收，研发配合；
3、事业产品经理1人；</t>
  </si>
  <si>
    <t>软件工程活动工作量小计（人天）</t>
  </si>
  <si>
    <t>BUFFER</t>
  </si>
  <si>
    <t>总体评估工作量的0%</t>
  </si>
  <si>
    <t>配置管理活动</t>
  </si>
  <si>
    <t>质量保证活动</t>
  </si>
  <si>
    <t>项目管理</t>
  </si>
  <si>
    <t>含需求对接工作量合计（人天）</t>
  </si>
  <si>
    <t>合计（人天）</t>
  </si>
  <si>
    <t>含需求对接工作量合计（人月）</t>
  </si>
  <si>
    <t>不含需求对接工作量合计（人天）</t>
  </si>
  <si>
    <t>不含需求对接工作量合计（人月）</t>
  </si>
  <si>
    <t>新开发“不含需求对接工作量”：该数据即为立项申请表中的“项目规模”数据</t>
  </si>
  <si>
    <t>2、项目周期评估</t>
  </si>
  <si>
    <t>软件工程阶段</t>
  </si>
  <si>
    <t>全量开发工期</t>
  </si>
  <si>
    <t>新开发工期</t>
  </si>
  <si>
    <t>工作量
（人天）</t>
  </si>
  <si>
    <t>投入人员（人）</t>
  </si>
  <si>
    <t>周期
（天）</t>
  </si>
  <si>
    <t>预计
开始日期</t>
  </si>
  <si>
    <t>预计
结束日期</t>
  </si>
  <si>
    <t>.NET</t>
  </si>
  <si>
    <t>项目总周期
（天）</t>
  </si>
  <si>
    <t>3、项目阶段工作量评估</t>
  </si>
  <si>
    <t>说明：各阶段项目管理活动、质量保障活动、配置管理活动以及BUFFER所花费的工作量可通过调整公式中的具体比例进行调整</t>
  </si>
  <si>
    <t>项目阶段工作量评估</t>
  </si>
  <si>
    <t>阶段项目</t>
  </si>
  <si>
    <t>开发阶段</t>
  </si>
  <si>
    <t>测试阶段</t>
  </si>
  <si>
    <t>验收阶段</t>
  </si>
  <si>
    <t>项目工作量（人天）</t>
  </si>
  <si>
    <t>各阶段工作量配比</t>
  </si>
  <si>
    <t>4、项目成本评估</t>
  </si>
  <si>
    <t>项目成本评估</t>
  </si>
  <si>
    <t>成本单元</t>
  </si>
  <si>
    <t>工作量
(人月)</t>
  </si>
  <si>
    <t>单价
（万/人月）</t>
  </si>
  <si>
    <t>金额
（万）</t>
  </si>
  <si>
    <t>新开发成本</t>
  </si>
  <si>
    <t>复用成本</t>
  </si>
  <si>
    <t>项目总成本</t>
  </si>
  <si>
    <t>NO.</t>
  </si>
  <si>
    <t>模块</t>
  </si>
  <si>
    <t>模块拆分</t>
  </si>
  <si>
    <t>难易程度</t>
  </si>
  <si>
    <t>优先级</t>
  </si>
  <si>
    <t>是否复用</t>
  </si>
  <si>
    <t>估算人(骆宣霏)</t>
  </si>
  <si>
    <t>估算人(苏小辉)</t>
  </si>
  <si>
    <t>最小值</t>
  </si>
  <si>
    <t>平均值</t>
  </si>
  <si>
    <t>最大值</t>
  </si>
  <si>
    <t>偏差（%）</t>
  </si>
  <si>
    <t>是否接受(Y/N)</t>
  </si>
  <si>
    <t>加权系数</t>
  </si>
  <si>
    <t>加权工作量
（人天）</t>
  </si>
  <si>
    <t>复用比例
（％）</t>
  </si>
  <si>
    <t>复用工作量（人天）</t>
  </si>
  <si>
    <t>新增工作量
（人天）</t>
  </si>
  <si>
    <t>最悲观值</t>
  </si>
  <si>
    <t>最可能值</t>
  </si>
  <si>
    <t>最乐观值</t>
  </si>
  <si>
    <t>中</t>
  </si>
  <si>
    <t>否</t>
  </si>
  <si>
    <t>合计</t>
  </si>
  <si>
    <t>高</t>
  </si>
  <si>
    <t>低</t>
  </si>
  <si>
    <t>工作量评估表</t>
  </si>
  <si>
    <t>估算人</t>
  </si>
  <si>
    <t>佘宇</t>
  </si>
  <si>
    <t>骆宣霏</t>
  </si>
  <si>
    <t>姓名4</t>
  </si>
  <si>
    <t>苏小辉</t>
  </si>
  <si>
    <t>偏差阈值</t>
  </si>
  <si>
    <t>是</t>
  </si>
  <si>
    <t>综合评分</t>
  </si>
  <si>
    <t>高高</t>
  </si>
  <si>
    <t>高中</t>
  </si>
  <si>
    <t>中高</t>
  </si>
  <si>
    <t>中中</t>
  </si>
  <si>
    <t>高低</t>
  </si>
  <si>
    <t>低高</t>
  </si>
  <si>
    <t>中低</t>
  </si>
  <si>
    <t>低中</t>
  </si>
  <si>
    <t>低低</t>
  </si>
  <si>
    <r>
      <rPr>
        <b/>
        <sz val="10"/>
        <rFont val="宋体"/>
        <family val="3"/>
        <charset val="134"/>
      </rPr>
      <t>参考标准：</t>
    </r>
    <r>
      <rPr>
        <sz val="11"/>
        <color theme="1"/>
        <rFont val="宋体"/>
        <family val="3"/>
        <charset val="134"/>
      </rPr>
      <t>一共考虑</t>
    </r>
    <r>
      <rPr>
        <sz val="10"/>
        <rFont val="Arial"/>
        <family val="2"/>
      </rPr>
      <t>13</t>
    </r>
    <r>
      <rPr>
        <sz val="11"/>
        <color theme="1"/>
        <rFont val="宋体"/>
        <family val="3"/>
        <charset val="134"/>
      </rPr>
      <t>个技术因素，分别是：</t>
    </r>
  </si>
  <si>
    <t>技术复杂度</t>
  </si>
  <si>
    <t>序号</t>
  </si>
  <si>
    <t>技术因素</t>
  </si>
  <si>
    <t>取值范围</t>
  </si>
  <si>
    <t>参数说明</t>
  </si>
  <si>
    <t>请填写技术因素填写数据参考取值范围</t>
  </si>
  <si>
    <t>E1</t>
  </si>
  <si>
    <t>0~5</t>
  </si>
  <si>
    <t>系统分布式程度</t>
  </si>
  <si>
    <t>E2</t>
  </si>
  <si>
    <t>系统性能要求</t>
  </si>
  <si>
    <t>E3</t>
  </si>
  <si>
    <t>最终用户使用效率要求</t>
  </si>
  <si>
    <t>E4</t>
  </si>
  <si>
    <t>内部处理复杂度</t>
  </si>
  <si>
    <t>E5</t>
  </si>
  <si>
    <t>复用程度</t>
  </si>
  <si>
    <t>E6</t>
  </si>
  <si>
    <t>易于安装要求度</t>
  </si>
  <si>
    <t>E7</t>
  </si>
  <si>
    <t>系统易于使用程度</t>
  </si>
  <si>
    <t>E8</t>
  </si>
  <si>
    <t>可移植性</t>
  </si>
  <si>
    <t>E9</t>
  </si>
  <si>
    <t>系统易于修改程度</t>
  </si>
  <si>
    <t>E10</t>
  </si>
  <si>
    <t>并发性要求</t>
  </si>
  <si>
    <t>E11</t>
  </si>
  <si>
    <t>特殊安全功能特性要求</t>
  </si>
  <si>
    <t>E12</t>
  </si>
  <si>
    <t>为第三方系统提供直接系统访问</t>
  </si>
  <si>
    <t>E13</t>
  </si>
  <si>
    <t>是否需要特殊的用户培训措施</t>
  </si>
  <si>
    <t xml:space="preserve">注：复杂度的技术因素取值范围从0到5，表示该项对技术复杂度的影响从没有到极高。为0意味着该技术因素与本项目无关，3代表一般，5代表对该项目有很强的影响。
每个因素都是对技术复杂度的线性调整，设Ei为根据13个方面的技术因素对软件系统的影响程度，则技术复杂度为：
TCF = 0.6 + 0.01 x ∑Ei， (i=1….13)
Ei∈（0,5），则： TCF∈（0.6，1.25）
</t>
  </si>
  <si>
    <t>日期</t>
  </si>
  <si>
    <t>节假日名</t>
  </si>
  <si>
    <t>元旦</t>
  </si>
  <si>
    <t>春节</t>
  </si>
  <si>
    <t>清明</t>
  </si>
  <si>
    <t>劳动</t>
  </si>
  <si>
    <t>端午</t>
  </si>
  <si>
    <t>中秋</t>
  </si>
  <si>
    <t>国庆</t>
  </si>
  <si>
    <t>分类</t>
  </si>
  <si>
    <t>最可能估计</t>
  </si>
  <si>
    <t>最乐观估计</t>
  </si>
  <si>
    <t>汇总工作量（人天）</t>
  </si>
  <si>
    <t>全生命周期工作量占比</t>
  </si>
  <si>
    <t>-</t>
  </si>
  <si>
    <t>类比评估</t>
  </si>
  <si>
    <t>类比评估（原理图可能需要UI重新画）</t>
  </si>
  <si>
    <t>按目前理解的需求估算</t>
  </si>
  <si>
    <t>按目前的模型需求列表估算</t>
  </si>
  <si>
    <t>烘焙</t>
  </si>
  <si>
    <t>开发工期（月）</t>
  </si>
  <si>
    <t>成本
（万）</t>
  </si>
  <si>
    <t>不含需求对接</t>
  </si>
  <si>
    <t>含需求对接</t>
  </si>
  <si>
    <t>周小军</t>
    <phoneticPr fontId="25" type="noConversion"/>
  </si>
  <si>
    <t>吴佳红</t>
    <phoneticPr fontId="25" type="noConversion"/>
  </si>
  <si>
    <t>最悲观值</t>
    <phoneticPr fontId="25" type="noConversion"/>
  </si>
  <si>
    <t>最可能值</t>
    <phoneticPr fontId="25" type="noConversion"/>
  </si>
  <si>
    <t>最乐观值</t>
    <phoneticPr fontId="25" type="noConversion"/>
  </si>
  <si>
    <t>估算人(张涵）</t>
    <phoneticPr fontId="25" type="noConversion"/>
  </si>
  <si>
    <t>估算人（严晓婷）</t>
    <phoneticPr fontId="25" type="noConversion"/>
  </si>
  <si>
    <t>平带传动</t>
    <phoneticPr fontId="25" type="noConversion"/>
  </si>
  <si>
    <t>皮带流水线</t>
    <phoneticPr fontId="25" type="noConversion"/>
  </si>
  <si>
    <t>V带传动</t>
    <phoneticPr fontId="25" type="noConversion"/>
  </si>
  <si>
    <t>离心风机</t>
    <phoneticPr fontId="25" type="noConversion"/>
  </si>
  <si>
    <t>直齿轮传动</t>
    <phoneticPr fontId="25" type="noConversion"/>
  </si>
  <si>
    <t>减速箱</t>
    <phoneticPr fontId="25" type="noConversion"/>
  </si>
  <si>
    <t>直齿轮</t>
    <phoneticPr fontId="25" type="noConversion"/>
  </si>
  <si>
    <t>斜齿轮传动</t>
    <phoneticPr fontId="25" type="noConversion"/>
  </si>
  <si>
    <t>斜齿轮减速机</t>
    <phoneticPr fontId="25" type="noConversion"/>
  </si>
  <si>
    <t>内啮合齿轮传动</t>
    <phoneticPr fontId="25" type="noConversion"/>
  </si>
  <si>
    <t>行星齿轮传动</t>
    <phoneticPr fontId="25" type="noConversion"/>
  </si>
  <si>
    <t>行星减速机机架</t>
    <phoneticPr fontId="25" type="noConversion"/>
  </si>
  <si>
    <t>内啮合齿轮</t>
    <phoneticPr fontId="25" type="noConversion"/>
  </si>
  <si>
    <t>同步带传动</t>
    <phoneticPr fontId="25" type="noConversion"/>
  </si>
  <si>
    <t>滚子链传动</t>
    <phoneticPr fontId="25" type="noConversion"/>
  </si>
  <si>
    <t>齿轮齿条传动</t>
    <phoneticPr fontId="25" type="noConversion"/>
  </si>
  <si>
    <t>锥齿轮传动</t>
    <phoneticPr fontId="25" type="noConversion"/>
  </si>
  <si>
    <t>蜗轮蜗杆传动</t>
    <phoneticPr fontId="25" type="noConversion"/>
  </si>
  <si>
    <t>蜗轮蜗杆减速机</t>
    <phoneticPr fontId="25" type="noConversion"/>
  </si>
  <si>
    <t>新增内容</t>
    <phoneticPr fontId="25" type="noConversion"/>
  </si>
  <si>
    <t>原理动画</t>
    <phoneticPr fontId="25" type="noConversion"/>
  </si>
  <si>
    <t>爆炸动画</t>
    <phoneticPr fontId="25" type="noConversion"/>
  </si>
  <si>
    <t>应用动画</t>
    <phoneticPr fontId="25" type="noConversion"/>
  </si>
  <si>
    <t>传动比/转柜动画</t>
    <phoneticPr fontId="25" type="noConversion"/>
  </si>
  <si>
    <t>零件表单</t>
    <phoneticPr fontId="25" type="noConversion"/>
  </si>
  <si>
    <t>叶苏莲</t>
    <phoneticPr fontId="25" type="noConversion"/>
  </si>
  <si>
    <t>机械基础传动模块</t>
    <phoneticPr fontId="25" type="noConversion"/>
  </si>
  <si>
    <t>0..5</t>
    <phoneticPr fontId="25" type="noConversion"/>
  </si>
  <si>
    <t>平带传动</t>
    <phoneticPr fontId="25" type="noConversion"/>
  </si>
  <si>
    <t>皮带流水线</t>
    <phoneticPr fontId="25" type="noConversion"/>
  </si>
  <si>
    <t>V带传动</t>
    <phoneticPr fontId="25" type="noConversion"/>
  </si>
  <si>
    <t>离心风机</t>
    <phoneticPr fontId="25" type="noConversion"/>
  </si>
  <si>
    <t>同步带传动</t>
    <phoneticPr fontId="25" type="noConversion"/>
  </si>
  <si>
    <t>同步带滑台</t>
    <phoneticPr fontId="25" type="noConversion"/>
  </si>
  <si>
    <t>三轴同步带模组滑台</t>
    <phoneticPr fontId="25" type="noConversion"/>
  </si>
  <si>
    <t>滚子链传动</t>
    <phoneticPr fontId="25" type="noConversion"/>
  </si>
  <si>
    <t>链传动滚筒线</t>
    <phoneticPr fontId="25" type="noConversion"/>
  </si>
  <si>
    <t>传动要素</t>
    <phoneticPr fontId="25" type="noConversion"/>
  </si>
  <si>
    <t>直齿轮传动</t>
    <phoneticPr fontId="25" type="noConversion"/>
  </si>
  <si>
    <t>二级直齿减速机</t>
    <phoneticPr fontId="25" type="noConversion"/>
  </si>
  <si>
    <t>斜齿轮传动</t>
    <phoneticPr fontId="25" type="noConversion"/>
  </si>
  <si>
    <t>斜齿轮减速机</t>
    <phoneticPr fontId="25" type="noConversion"/>
  </si>
  <si>
    <t>内啮合传动</t>
    <phoneticPr fontId="25" type="noConversion"/>
  </si>
  <si>
    <t>行星齿轮传动</t>
    <phoneticPr fontId="25" type="noConversion"/>
  </si>
  <si>
    <t>行星减速机</t>
    <phoneticPr fontId="25" type="noConversion"/>
  </si>
  <si>
    <t>齿轮齿条传动</t>
    <phoneticPr fontId="25" type="noConversion"/>
  </si>
  <si>
    <t>桁架机械手</t>
    <phoneticPr fontId="25" type="noConversion"/>
  </si>
  <si>
    <t>直锥齿轮传动</t>
    <phoneticPr fontId="25" type="noConversion"/>
  </si>
  <si>
    <t>直锥齿轮传动输送线</t>
    <phoneticPr fontId="25" type="noConversion"/>
  </si>
  <si>
    <t>蜗轮蜗杆传动</t>
    <phoneticPr fontId="25" type="noConversion"/>
  </si>
  <si>
    <t>蜗轮蜗杆减速机</t>
    <phoneticPr fontId="25" type="noConversion"/>
  </si>
  <si>
    <t>按钮UI搭建，数据列表配置</t>
    <phoneticPr fontId="25" type="noConversion"/>
  </si>
  <si>
    <t>模型动画验证和切片，预制体制作</t>
    <phoneticPr fontId="25" type="noConversion"/>
  </si>
  <si>
    <t>按钮切换的交互状态变化，鼠标和射线都可操作</t>
    <phoneticPr fontId="25" type="noConversion"/>
  </si>
  <si>
    <t>按钮状态监听与事件分发</t>
    <phoneticPr fontId="25" type="noConversion"/>
  </si>
  <si>
    <t>监听事件，执行剖切，原理，爆炸，单体，整体逻辑</t>
    <phoneticPr fontId="25" type="noConversion"/>
  </si>
  <si>
    <t>状态切换的数据，模型，动画的回复</t>
    <phoneticPr fontId="25" type="noConversion"/>
  </si>
  <si>
    <t>异常操作，特殊情况处理（播动画到某帧时放大模型）</t>
    <phoneticPr fontId="25" type="noConversion"/>
  </si>
  <si>
    <t>悬浮时零件名配置与读取的逻辑</t>
    <phoneticPr fontId="25" type="noConversion"/>
  </si>
  <si>
    <t>透明及描边红色逻辑编写，及响应事件触发（有透明和半透明）</t>
    <phoneticPr fontId="25" type="noConversion"/>
  </si>
  <si>
    <t>特效控制和uv控制</t>
    <phoneticPr fontId="25" type="noConversion"/>
  </si>
  <si>
    <t>ppt对应节点截图和命名</t>
    <phoneticPr fontId="25" type="noConversion"/>
  </si>
  <si>
    <t>节点预制点，不同按钮状态模型的摆放</t>
    <phoneticPr fontId="25" type="noConversion"/>
  </si>
  <si>
    <t>基于单体和整体区别的通用缩放，拖拽，复位控制</t>
    <phoneticPr fontId="25" type="noConversion"/>
  </si>
  <si>
    <t>字符显示控制</t>
    <phoneticPr fontId="25" type="noConversion"/>
  </si>
  <si>
    <t>滚子链爆炸时零件和零件名列表互选高亮，剖切时可以从零件菜单名中选择</t>
    <phoneticPr fontId="25" type="noConversion"/>
  </si>
  <si>
    <t>产品项目立项阶段</t>
    <phoneticPr fontId="25" type="noConversion"/>
  </si>
  <si>
    <t>需求阶段</t>
    <phoneticPr fontId="25" type="noConversion"/>
  </si>
  <si>
    <t>产品立项</t>
    <phoneticPr fontId="25" type="noConversion"/>
  </si>
  <si>
    <t>项目组全员：13人</t>
    <phoneticPr fontId="25" type="noConversion"/>
  </si>
  <si>
    <r>
      <t>1、需求对接8人： 项目经理1人，U3D 2人，模型3</t>
    </r>
    <r>
      <rPr>
        <sz val="11"/>
        <color theme="1"/>
        <rFont val="宋体"/>
        <family val="3"/>
        <charset val="134"/>
        <scheme val="minor"/>
      </rPr>
      <t>人，动画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人。</t>
    </r>
    <phoneticPr fontId="25" type="noConversion"/>
  </si>
  <si>
    <r>
      <t>1、需求分析人员9人：U3D开发 2人，项目经理1人，模型3</t>
    </r>
    <r>
      <rPr>
        <sz val="11"/>
        <color theme="1"/>
        <rFont val="宋体"/>
        <family val="3"/>
        <charset val="134"/>
        <scheme val="minor"/>
      </rPr>
      <t>人，动画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人，测试 1人</t>
    </r>
    <phoneticPr fontId="25" type="noConversion"/>
  </si>
  <si>
    <r>
      <t>1、设计人员8人：项目经理1人，U3D开发 2人，模型3</t>
    </r>
    <r>
      <rPr>
        <sz val="11"/>
        <color theme="1"/>
        <rFont val="宋体"/>
        <family val="3"/>
        <charset val="134"/>
        <scheme val="minor"/>
      </rPr>
      <t>人，动画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人</t>
    </r>
    <phoneticPr fontId="25" type="noConversion"/>
  </si>
  <si>
    <r>
      <t>1、开发人员9人：U3D2</t>
    </r>
    <r>
      <rPr>
        <sz val="11"/>
        <color theme="1"/>
        <rFont val="宋体"/>
        <family val="3"/>
        <charset val="134"/>
        <scheme val="minor"/>
      </rPr>
      <t>人，模型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人，动画2人，测试1人，</t>
    </r>
    <r>
      <rPr>
        <sz val="11"/>
        <color theme="1"/>
        <rFont val="宋体"/>
        <family val="3"/>
        <charset val="134"/>
        <scheme val="minor"/>
      </rPr>
      <t>UI1人</t>
    </r>
    <phoneticPr fontId="25" type="noConversion"/>
  </si>
  <si>
    <r>
      <t>1、按总工作量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%测算；</t>
    </r>
    <phoneticPr fontId="25" type="noConversion"/>
  </si>
  <si>
    <t>总体评估工作量的2%</t>
    <phoneticPr fontId="25" type="noConversion"/>
  </si>
  <si>
    <t>总体评估工作量的8%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</si>
</sst>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"/>
    <numFmt numFmtId="178" formatCode="0.0_ "/>
    <numFmt numFmtId="179" formatCode="0.0%"/>
    <numFmt numFmtId="180" formatCode="yyyy/mm/dd"/>
  </numFmts>
  <fonts count="27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.5"/>
      <name val="Calibri"/>
      <family val="2"/>
    </font>
    <font>
      <sz val="10.5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8" tint="0.39942625202185128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42625202185128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1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" fillId="0" borderId="0"/>
    <xf numFmtId="0" fontId="1" fillId="0" borderId="0"/>
  </cellStyleXfs>
  <cellXfs count="288">
    <xf numFmtId="0" fontId="0" fillId="0" borderId="0" xfId="0"/>
    <xf numFmtId="0" fontId="1" fillId="0" borderId="0" xfId="8"/>
    <xf numFmtId="0" fontId="2" fillId="2" borderId="1" xfId="8" applyFont="1" applyFill="1" applyBorder="1" applyAlignment="1">
      <alignment horizontal="center" vertical="center" wrapText="1"/>
    </xf>
    <xf numFmtId="0" fontId="0" fillId="3" borderId="1" xfId="8" applyFont="1" applyFill="1" applyBorder="1" applyAlignment="1">
      <alignment horizontal="center" vertical="center" wrapText="1"/>
    </xf>
    <xf numFmtId="177" fontId="1" fillId="3" borderId="1" xfId="8" applyNumberFormat="1" applyFill="1" applyBorder="1" applyAlignment="1">
      <alignment horizontal="center" vertical="center" wrapText="1"/>
    </xf>
    <xf numFmtId="177" fontId="0" fillId="3" borderId="1" xfId="8" applyNumberFormat="1" applyFont="1" applyFill="1" applyBorder="1" applyAlignment="1">
      <alignment horizontal="center" vertical="center" wrapText="1"/>
    </xf>
    <xf numFmtId="0" fontId="1" fillId="3" borderId="0" xfId="8" applyFill="1"/>
    <xf numFmtId="0" fontId="1" fillId="0" borderId="1" xfId="8" applyBorder="1"/>
    <xf numFmtId="0" fontId="3" fillId="2" borderId="1" xfId="8" applyFont="1" applyFill="1" applyBorder="1" applyAlignment="1">
      <alignment horizontal="center" vertical="center" wrapText="1"/>
    </xf>
    <xf numFmtId="0" fontId="2" fillId="3" borderId="1" xfId="8" applyFont="1" applyFill="1" applyBorder="1" applyAlignment="1">
      <alignment horizontal="center" vertical="center" wrapText="1"/>
    </xf>
    <xf numFmtId="176" fontId="2" fillId="3" borderId="1" xfId="8" applyNumberFormat="1" applyFont="1" applyFill="1" applyBorder="1" applyAlignment="1">
      <alignment horizontal="center" vertical="center" wrapText="1"/>
    </xf>
    <xf numFmtId="0" fontId="0" fillId="3" borderId="1" xfId="8" applyFont="1" applyFill="1" applyBorder="1" applyAlignment="1">
      <alignment vertical="center"/>
    </xf>
    <xf numFmtId="0" fontId="0" fillId="3" borderId="1" xfId="8" applyFont="1" applyFill="1" applyBorder="1" applyAlignment="1">
      <alignment vertical="center" wrapText="1"/>
    </xf>
    <xf numFmtId="0" fontId="1" fillId="3" borderId="1" xfId="8" applyFill="1" applyBorder="1" applyAlignment="1">
      <alignment vertical="center" wrapText="1"/>
    </xf>
    <xf numFmtId="0" fontId="1" fillId="3" borderId="1" xfId="8" applyFill="1" applyBorder="1" applyAlignment="1">
      <alignment vertical="center"/>
    </xf>
    <xf numFmtId="0" fontId="4" fillId="4" borderId="0" xfId="6" applyFont="1" applyFill="1">
      <alignment vertical="center"/>
    </xf>
    <xf numFmtId="0" fontId="5" fillId="5" borderId="1" xfId="6" applyFont="1" applyFill="1" applyBorder="1" applyAlignment="1">
      <alignment horizontal="center" vertical="center"/>
    </xf>
    <xf numFmtId="31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4" fillId="0" borderId="1" xfId="6" applyFont="1" applyBorder="1">
      <alignment vertical="center"/>
    </xf>
    <xf numFmtId="14" fontId="4" fillId="4" borderId="0" xfId="6" applyNumberFormat="1" applyFont="1" applyFill="1">
      <alignment vertical="center"/>
    </xf>
    <xf numFmtId="0" fontId="4" fillId="0" borderId="1" xfId="6" applyFont="1" applyBorder="1" applyAlignment="1">
      <alignment vertical="center" wrapText="1"/>
    </xf>
    <xf numFmtId="0" fontId="4" fillId="0" borderId="1" xfId="6" applyFont="1" applyBorder="1" applyAlignment="1">
      <alignment vertical="center"/>
    </xf>
    <xf numFmtId="0" fontId="7" fillId="0" borderId="0" xfId="6">
      <alignment vertical="center"/>
    </xf>
    <xf numFmtId="0" fontId="4" fillId="5" borderId="1" xfId="5" applyFont="1" applyFill="1" applyBorder="1" applyAlignment="1">
      <alignment horizontal="center" vertical="center" wrapText="1"/>
    </xf>
    <xf numFmtId="0" fontId="7" fillId="6" borderId="4" xfId="6" applyFont="1" applyFill="1" applyBorder="1" applyAlignment="1">
      <alignment horizontal="center" vertical="center"/>
    </xf>
    <xf numFmtId="0" fontId="9" fillId="4" borderId="4" xfId="6" applyFont="1" applyFill="1" applyBorder="1" applyAlignment="1">
      <alignment horizontal="center" vertical="center" wrapText="1"/>
    </xf>
    <xf numFmtId="0" fontId="10" fillId="4" borderId="4" xfId="6" applyFont="1" applyFill="1" applyBorder="1" applyAlignment="1">
      <alignment horizontal="justify" vertical="center" wrapText="1"/>
    </xf>
    <xf numFmtId="0" fontId="7" fillId="0" borderId="4" xfId="6" applyBorder="1">
      <alignment vertical="center"/>
    </xf>
    <xf numFmtId="0" fontId="7" fillId="0" borderId="0" xfId="6" applyFill="1">
      <alignment vertical="center"/>
    </xf>
    <xf numFmtId="0" fontId="4" fillId="0" borderId="0" xfId="5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 wrapText="1"/>
    </xf>
    <xf numFmtId="178" fontId="4" fillId="2" borderId="0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0" borderId="19" xfId="7" applyFont="1" applyFill="1" applyBorder="1" applyAlignment="1">
      <alignment horizontal="center" vertical="center"/>
    </xf>
    <xf numFmtId="0" fontId="0" fillId="0" borderId="1" xfId="7" applyFont="1" applyFill="1" applyBorder="1" applyAlignment="1">
      <alignment horizontal="center" vertical="center"/>
    </xf>
    <xf numFmtId="0" fontId="0" fillId="3" borderId="1" xfId="7" applyFont="1" applyFill="1" applyBorder="1" applyAlignment="1">
      <alignment horizontal="center" vertical="center" wrapText="1"/>
    </xf>
    <xf numFmtId="177" fontId="0" fillId="0" borderId="1" xfId="7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77" fontId="2" fillId="7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7" borderId="1" xfId="0" applyNumberFormat="1" applyFont="1" applyFill="1" applyBorder="1" applyAlignment="1">
      <alignment horizontal="center" vertical="center" wrapText="1"/>
    </xf>
    <xf numFmtId="9" fontId="0" fillId="7" borderId="1" xfId="1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9" fontId="0" fillId="0" borderId="1" xfId="2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7" fillId="3" borderId="22" xfId="0" applyFont="1" applyFill="1" applyBorder="1" applyAlignment="1">
      <alignment vertical="center" wrapText="1"/>
    </xf>
    <xf numFmtId="9" fontId="0" fillId="0" borderId="1" xfId="1" applyNumberFormat="1" applyFont="1" applyBorder="1" applyAlignment="1">
      <alignment horizontal="center" vertical="center" wrapText="1"/>
    </xf>
    <xf numFmtId="9" fontId="0" fillId="3" borderId="0" xfId="1" applyFont="1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/>
    </xf>
    <xf numFmtId="0" fontId="0" fillId="3" borderId="23" xfId="7" applyFont="1" applyFill="1" applyBorder="1" applyAlignment="1">
      <alignment horizontal="center" vertical="center" wrapText="1"/>
    </xf>
    <xf numFmtId="177" fontId="0" fillId="0" borderId="20" xfId="7" applyNumberFormat="1" applyFont="1" applyFill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0" fontId="13" fillId="8" borderId="22" xfId="0" applyFont="1" applyFill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0" fontId="0" fillId="4" borderId="23" xfId="0" applyFont="1" applyFill="1" applyBorder="1" applyAlignment="1">
      <alignment horizontal="left" vertical="center" wrapText="1"/>
    </xf>
    <xf numFmtId="0" fontId="0" fillId="4" borderId="23" xfId="0" applyFont="1" applyFill="1" applyBorder="1" applyAlignment="1">
      <alignment horizontal="center" vertical="center" wrapText="1"/>
    </xf>
    <xf numFmtId="0" fontId="0" fillId="3" borderId="1" xfId="7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 wrapText="1"/>
    </xf>
    <xf numFmtId="177" fontId="0" fillId="0" borderId="20" xfId="0" applyNumberFormat="1" applyFont="1" applyBorder="1" applyAlignment="1">
      <alignment horizontal="center" vertical="center" wrapText="1"/>
    </xf>
    <xf numFmtId="177" fontId="0" fillId="7" borderId="20" xfId="0" applyNumberFormat="1" applyFont="1" applyFill="1" applyBorder="1" applyAlignment="1">
      <alignment horizontal="center" vertical="center" wrapText="1"/>
    </xf>
    <xf numFmtId="9" fontId="0" fillId="0" borderId="20" xfId="1" applyFont="1" applyBorder="1" applyAlignment="1">
      <alignment horizontal="center" vertical="center" wrapText="1"/>
    </xf>
    <xf numFmtId="9" fontId="0" fillId="7" borderId="20" xfId="1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left" vertical="center" wrapText="1"/>
    </xf>
    <xf numFmtId="0" fontId="13" fillId="8" borderId="11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 wrapText="1"/>
    </xf>
    <xf numFmtId="9" fontId="17" fillId="7" borderId="12" xfId="1" applyFont="1" applyFill="1" applyBorder="1" applyAlignment="1">
      <alignment horizontal="center" vertical="center" wrapText="1"/>
    </xf>
    <xf numFmtId="177" fontId="0" fillId="9" borderId="1" xfId="0" applyNumberFormat="1" applyFill="1" applyBorder="1" applyAlignment="1">
      <alignment horizontal="center" vertical="center" wrapText="1"/>
    </xf>
    <xf numFmtId="9" fontId="18" fillId="9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9" fontId="2" fillId="3" borderId="1" xfId="0" applyNumberFormat="1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177" fontId="0" fillId="3" borderId="1" xfId="0" applyNumberFormat="1" applyFill="1" applyBorder="1" applyAlignment="1">
      <alignment horizontal="center" vertical="center" wrapText="1"/>
    </xf>
    <xf numFmtId="177" fontId="0" fillId="7" borderId="1" xfId="0" applyNumberForma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 wrapText="1"/>
    </xf>
    <xf numFmtId="9" fontId="2" fillId="7" borderId="1" xfId="0" applyNumberFormat="1" applyFont="1" applyFill="1" applyBorder="1" applyAlignment="1">
      <alignment horizontal="center" vertical="center" wrapText="1"/>
    </xf>
    <xf numFmtId="179" fontId="2" fillId="3" borderId="1" xfId="0" applyNumberFormat="1" applyFont="1" applyFill="1" applyBorder="1" applyAlignment="1">
      <alignment horizontal="center" vertical="center" wrapText="1"/>
    </xf>
    <xf numFmtId="177" fontId="2" fillId="9" borderId="1" xfId="0" applyNumberFormat="1" applyFont="1" applyFill="1" applyBorder="1" applyAlignment="1">
      <alignment horizontal="center" vertical="center" wrapText="1"/>
    </xf>
    <xf numFmtId="9" fontId="2" fillId="9" borderId="1" xfId="0" applyNumberFormat="1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177" fontId="2" fillId="7" borderId="17" xfId="0" applyNumberFormat="1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180" fontId="4" fillId="6" borderId="1" xfId="5" applyNumberFormat="1" applyFont="1" applyFill="1" applyBorder="1" applyAlignment="1">
      <alignment horizontal="center" vertical="center" wrapText="1"/>
    </xf>
    <xf numFmtId="0" fontId="0" fillId="3" borderId="23" xfId="0" applyFill="1" applyBorder="1" applyAlignment="1">
      <alignment vertical="center" wrapText="1"/>
    </xf>
    <xf numFmtId="0" fontId="0" fillId="3" borderId="23" xfId="0" applyFill="1" applyBorder="1" applyAlignment="1">
      <alignment horizontal="left" vertical="center" wrapText="1"/>
    </xf>
    <xf numFmtId="0" fontId="0" fillId="3" borderId="17" xfId="0" applyFill="1" applyBorder="1" applyAlignment="1">
      <alignment horizontal="center" vertical="center" wrapText="1"/>
    </xf>
    <xf numFmtId="0" fontId="13" fillId="8" borderId="11" xfId="0" applyFon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3" fillId="8" borderId="15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 wrapText="1"/>
    </xf>
    <xf numFmtId="177" fontId="0" fillId="3" borderId="17" xfId="0" applyNumberForma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 wrapText="1"/>
    </xf>
    <xf numFmtId="176" fontId="2" fillId="7" borderId="17" xfId="0" applyNumberFormat="1" applyFont="1" applyFill="1" applyBorder="1" applyAlignment="1">
      <alignment horizontal="center" vertical="center" wrapText="1"/>
    </xf>
    <xf numFmtId="9" fontId="21" fillId="3" borderId="0" xfId="1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1" fillId="3" borderId="1" xfId="7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 wrapText="1"/>
    </xf>
    <xf numFmtId="0" fontId="26" fillId="4" borderId="1" xfId="5" applyFont="1" applyFill="1" applyBorder="1" applyAlignment="1">
      <alignment horizontal="left" vertical="center" wrapText="1"/>
    </xf>
    <xf numFmtId="177" fontId="14" fillId="0" borderId="1" xfId="0" applyNumberFormat="1" applyFont="1" applyBorder="1" applyAlignment="1">
      <alignment horizontal="center" vertical="center" wrapText="1"/>
    </xf>
    <xf numFmtId="177" fontId="14" fillId="7" borderId="1" xfId="0" applyNumberFormat="1" applyFont="1" applyFill="1" applyBorder="1" applyAlignment="1">
      <alignment horizontal="center" vertical="center" wrapText="1"/>
    </xf>
    <xf numFmtId="9" fontId="14" fillId="7" borderId="1" xfId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177" fontId="3" fillId="7" borderId="1" xfId="0" applyNumberFormat="1" applyFont="1" applyFill="1" applyBorder="1" applyAlignment="1">
      <alignment horizontal="center" vertical="center" wrapText="1"/>
    </xf>
    <xf numFmtId="9" fontId="14" fillId="0" borderId="1" xfId="1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center" wrapText="1"/>
    </xf>
    <xf numFmtId="177" fontId="14" fillId="3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2" fontId="2" fillId="10" borderId="17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" fillId="3" borderId="1" xfId="7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80" fontId="4" fillId="6" borderId="1" xfId="5" applyNumberFormat="1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176" fontId="2" fillId="7" borderId="1" xfId="0" applyNumberFormat="1" applyFont="1" applyFill="1" applyBorder="1" applyAlignment="1">
      <alignment horizontal="center" vertical="center" wrapText="1"/>
    </xf>
    <xf numFmtId="176" fontId="2" fillId="7" borderId="17" xfId="0" applyNumberFormat="1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3" fillId="8" borderId="1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177" fontId="2" fillId="7" borderId="1" xfId="0" applyNumberFormat="1" applyFont="1" applyFill="1" applyBorder="1" applyAlignment="1">
      <alignment horizontal="center" vertical="center" wrapText="1"/>
    </xf>
    <xf numFmtId="179" fontId="6" fillId="11" borderId="1" xfId="5" applyNumberFormat="1" applyFont="1" applyFill="1" applyBorder="1" applyAlignment="1">
      <alignment horizontal="center" vertical="center" wrapText="1"/>
    </xf>
    <xf numFmtId="178" fontId="0" fillId="3" borderId="0" xfId="0" applyNumberFormat="1" applyFill="1" applyAlignment="1">
      <alignment horizontal="center" vertical="center" wrapText="1"/>
    </xf>
    <xf numFmtId="10" fontId="0" fillId="3" borderId="0" xfId="0" applyNumberFormat="1" applyFill="1" applyAlignment="1">
      <alignment horizontal="center" vertical="center" wrapText="1"/>
    </xf>
    <xf numFmtId="178" fontId="17" fillId="3" borderId="0" xfId="0" applyNumberFormat="1" applyFont="1" applyFill="1" applyBorder="1" applyAlignment="1">
      <alignment horizontal="center" vertical="center" wrapText="1"/>
    </xf>
    <xf numFmtId="178" fontId="17" fillId="7" borderId="12" xfId="0" applyNumberFormat="1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left" vertical="center" wrapText="1"/>
    </xf>
    <xf numFmtId="0" fontId="13" fillId="8" borderId="11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/>
    </xf>
    <xf numFmtId="0" fontId="13" fillId="8" borderId="14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3" fillId="8" borderId="15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0" fillId="9" borderId="15" xfId="0" applyFill="1" applyBorder="1" applyAlignment="1">
      <alignment horizontal="left" vertical="center" wrapText="1"/>
    </xf>
    <xf numFmtId="0" fontId="20" fillId="9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3" borderId="15" xfId="0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9" fontId="2" fillId="3" borderId="20" xfId="0" applyNumberFormat="1" applyFont="1" applyFill="1" applyBorder="1" applyAlignment="1">
      <alignment horizontal="center" vertical="center" wrapText="1"/>
    </xf>
    <xf numFmtId="9" fontId="2" fillId="3" borderId="22" xfId="0" applyNumberFormat="1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2" fillId="7" borderId="1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24" xfId="0" applyFill="1" applyBorder="1" applyAlignment="1">
      <alignment horizontal="left" vertical="center" wrapText="1"/>
    </xf>
    <xf numFmtId="0" fontId="0" fillId="7" borderId="25" xfId="0" applyFill="1" applyBorder="1" applyAlignment="1">
      <alignment horizontal="left" vertical="center" wrapText="1"/>
    </xf>
    <xf numFmtId="0" fontId="0" fillId="7" borderId="33" xfId="0" applyFill="1" applyBorder="1" applyAlignment="1">
      <alignment horizontal="left" vertical="center" wrapText="1"/>
    </xf>
    <xf numFmtId="180" fontId="4" fillId="6" borderId="20" xfId="5" applyNumberFormat="1" applyFont="1" applyFill="1" applyBorder="1" applyAlignment="1">
      <alignment horizontal="center" vertical="center" wrapText="1"/>
    </xf>
    <xf numFmtId="180" fontId="4" fillId="6" borderId="22" xfId="5" applyNumberFormat="1" applyFont="1" applyFill="1" applyBorder="1" applyAlignment="1">
      <alignment horizontal="center" vertical="center" wrapText="1"/>
    </xf>
    <xf numFmtId="180" fontId="4" fillId="6" borderId="21" xfId="5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15" xfId="0" applyFont="1" applyFill="1" applyBorder="1" applyAlignment="1">
      <alignment horizontal="left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21" fillId="7" borderId="17" xfId="0" applyFont="1" applyFill="1" applyBorder="1" applyAlignment="1">
      <alignment horizontal="left" vertical="center" wrapText="1"/>
    </xf>
    <xf numFmtId="0" fontId="21" fillId="7" borderId="18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left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3" borderId="29" xfId="0" applyFont="1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0" fontId="0" fillId="3" borderId="23" xfId="0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 wrapText="1"/>
    </xf>
    <xf numFmtId="176" fontId="2" fillId="7" borderId="17" xfId="0" applyNumberFormat="1" applyFont="1" applyFill="1" applyBorder="1" applyAlignment="1">
      <alignment horizontal="center" vertical="center" wrapText="1"/>
    </xf>
    <xf numFmtId="180" fontId="4" fillId="6" borderId="1" xfId="5" applyNumberFormat="1" applyFont="1" applyFill="1" applyBorder="1" applyAlignment="1">
      <alignment horizontal="center" vertical="center" wrapText="1"/>
    </xf>
    <xf numFmtId="0" fontId="19" fillId="3" borderId="0" xfId="0" applyFont="1" applyFill="1" applyAlignment="1">
      <alignment horizontal="left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13" fillId="8" borderId="31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2" fillId="9" borderId="15" xfId="0" applyFont="1" applyFill="1" applyBorder="1" applyAlignment="1">
      <alignment horizontal="left" vertical="center" wrapText="1"/>
    </xf>
    <xf numFmtId="0" fontId="0" fillId="3" borderId="24" xfId="0" applyFill="1" applyBorder="1" applyAlignment="1">
      <alignment horizontal="left" vertical="center" wrapText="1"/>
    </xf>
    <xf numFmtId="0" fontId="0" fillId="3" borderId="25" xfId="0" applyFill="1" applyBorder="1" applyAlignment="1">
      <alignment horizontal="left" vertical="center" wrapText="1"/>
    </xf>
    <xf numFmtId="0" fontId="0" fillId="3" borderId="33" xfId="0" applyFill="1" applyBorder="1" applyAlignment="1">
      <alignment horizontal="left" vertical="center" wrapText="1"/>
    </xf>
    <xf numFmtId="0" fontId="12" fillId="3" borderId="0" xfId="0" applyFont="1" applyFill="1" applyAlignment="1">
      <alignment horizontal="center" vertical="center" wrapText="1"/>
    </xf>
    <xf numFmtId="0" fontId="13" fillId="8" borderId="24" xfId="0" applyFont="1" applyFill="1" applyBorder="1" applyAlignment="1">
      <alignment horizontal="center" vertical="center" wrapText="1"/>
    </xf>
    <xf numFmtId="0" fontId="13" fillId="8" borderId="25" xfId="0" applyFont="1" applyFill="1" applyBorder="1" applyAlignment="1">
      <alignment horizontal="center" vertical="center" wrapText="1"/>
    </xf>
    <xf numFmtId="0" fontId="13" fillId="8" borderId="23" xfId="0" applyFont="1" applyFill="1" applyBorder="1" applyAlignment="1">
      <alignment horizontal="center" vertical="center" wrapText="1"/>
    </xf>
    <xf numFmtId="0" fontId="13" fillId="8" borderId="20" xfId="0" applyFont="1" applyFill="1" applyBorder="1" applyAlignment="1">
      <alignment horizontal="center" vertical="center" wrapText="1"/>
    </xf>
    <xf numFmtId="0" fontId="13" fillId="8" borderId="22" xfId="0" applyFont="1" applyFill="1" applyBorder="1" applyAlignment="1">
      <alignment horizontal="center" vertical="center" wrapText="1"/>
    </xf>
    <xf numFmtId="177" fontId="2" fillId="7" borderId="20" xfId="0" applyNumberFormat="1" applyFont="1" applyFill="1" applyBorder="1" applyAlignment="1">
      <alignment horizontal="center" vertical="center" wrapText="1"/>
    </xf>
    <xf numFmtId="177" fontId="2" fillId="7" borderId="21" xfId="0" applyNumberFormat="1" applyFont="1" applyFill="1" applyBorder="1" applyAlignment="1">
      <alignment horizontal="center" vertical="center" wrapText="1"/>
    </xf>
    <xf numFmtId="177" fontId="2" fillId="7" borderId="22" xfId="0" applyNumberFormat="1" applyFont="1" applyFill="1" applyBorder="1" applyAlignment="1">
      <alignment horizontal="center" vertical="center" wrapText="1"/>
    </xf>
    <xf numFmtId="9" fontId="0" fillId="7" borderId="20" xfId="1" applyFont="1" applyFill="1" applyBorder="1" applyAlignment="1">
      <alignment horizontal="center" vertical="center" wrapText="1"/>
    </xf>
    <xf numFmtId="9" fontId="0" fillId="7" borderId="21" xfId="1" applyFont="1" applyFill="1" applyBorder="1" applyAlignment="1">
      <alignment horizontal="center" vertical="center" wrapText="1"/>
    </xf>
    <xf numFmtId="9" fontId="0" fillId="7" borderId="22" xfId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0" fillId="4" borderId="22" xfId="0" applyFont="1" applyFill="1" applyBorder="1" applyAlignment="1">
      <alignment horizontal="center" vertical="center" wrapText="1"/>
    </xf>
    <xf numFmtId="177" fontId="2" fillId="7" borderId="1" xfId="0" applyNumberFormat="1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20" xfId="0" applyFont="1" applyFill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 wrapText="1"/>
    </xf>
    <xf numFmtId="177" fontId="3" fillId="7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177" fontId="3" fillId="7" borderId="20" xfId="0" applyNumberFormat="1" applyFont="1" applyFill="1" applyBorder="1" applyAlignment="1">
      <alignment horizontal="center" vertical="center" wrapText="1"/>
    </xf>
    <xf numFmtId="177" fontId="3" fillId="7" borderId="21" xfId="0" applyNumberFormat="1" applyFont="1" applyFill="1" applyBorder="1" applyAlignment="1">
      <alignment horizontal="center" vertical="center" wrapText="1"/>
    </xf>
    <xf numFmtId="177" fontId="3" fillId="7" borderId="22" xfId="0" applyNumberFormat="1" applyFont="1" applyFill="1" applyBorder="1" applyAlignment="1">
      <alignment horizontal="center" vertical="center" wrapText="1"/>
    </xf>
    <xf numFmtId="0" fontId="26" fillId="4" borderId="20" xfId="5" applyFont="1" applyFill="1" applyBorder="1" applyAlignment="1">
      <alignment horizontal="center" vertical="center" wrapText="1"/>
    </xf>
    <xf numFmtId="0" fontId="26" fillId="4" borderId="21" xfId="5" applyFont="1" applyFill="1" applyBorder="1" applyAlignment="1">
      <alignment horizontal="center" vertical="center" wrapText="1"/>
    </xf>
    <xf numFmtId="0" fontId="26" fillId="4" borderId="22" xfId="5" applyFont="1" applyFill="1" applyBorder="1" applyAlignment="1">
      <alignment horizontal="center" vertical="center" wrapText="1"/>
    </xf>
    <xf numFmtId="0" fontId="1" fillId="3" borderId="20" xfId="7" applyFont="1" applyFill="1" applyBorder="1" applyAlignment="1">
      <alignment horizontal="center" vertical="center" wrapText="1"/>
    </xf>
    <xf numFmtId="0" fontId="1" fillId="3" borderId="22" xfId="7" applyFont="1" applyFill="1" applyBorder="1" applyAlignment="1">
      <alignment horizontal="center" vertical="center" wrapText="1"/>
    </xf>
    <xf numFmtId="0" fontId="1" fillId="3" borderId="21" xfId="7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8" fillId="0" borderId="2" xfId="6" applyFont="1" applyBorder="1" applyAlignment="1">
      <alignment horizontal="left" vertical="center" wrapText="1"/>
    </xf>
    <xf numFmtId="0" fontId="8" fillId="0" borderId="3" xfId="6" applyFont="1" applyBorder="1" applyAlignment="1">
      <alignment horizontal="left" vertical="center" wrapText="1"/>
    </xf>
    <xf numFmtId="0" fontId="7" fillId="0" borderId="5" xfId="6" applyFont="1" applyBorder="1" applyAlignment="1">
      <alignment horizontal="left" vertical="center" wrapText="1"/>
    </xf>
    <xf numFmtId="0" fontId="7" fillId="0" borderId="6" xfId="6" applyBorder="1" applyAlignment="1">
      <alignment horizontal="left" vertical="center"/>
    </xf>
    <xf numFmtId="0" fontId="7" fillId="0" borderId="7" xfId="6" applyBorder="1" applyAlignment="1">
      <alignment horizontal="left" vertical="center"/>
    </xf>
    <xf numFmtId="0" fontId="7" fillId="0" borderId="8" xfId="6" applyBorder="1" applyAlignment="1">
      <alignment horizontal="left" vertical="center"/>
    </xf>
    <xf numFmtId="0" fontId="7" fillId="0" borderId="0" xfId="6" applyBorder="1" applyAlignment="1">
      <alignment horizontal="left" vertical="center"/>
    </xf>
    <xf numFmtId="0" fontId="7" fillId="0" borderId="9" xfId="6" applyBorder="1" applyAlignment="1">
      <alignment horizontal="left" vertical="center"/>
    </xf>
    <xf numFmtId="0" fontId="7" fillId="0" borderId="10" xfId="6" applyBorder="1" applyAlignment="1">
      <alignment horizontal="left" vertical="center"/>
    </xf>
    <xf numFmtId="0" fontId="7" fillId="0" borderId="2" xfId="6" applyBorder="1" applyAlignment="1">
      <alignment horizontal="left" vertical="center"/>
    </xf>
    <xf numFmtId="0" fontId="7" fillId="0" borderId="3" xfId="6" applyBorder="1" applyAlignment="1">
      <alignment horizontal="left" vertical="center"/>
    </xf>
    <xf numFmtId="176" fontId="2" fillId="3" borderId="1" xfId="8" applyNumberFormat="1" applyFont="1" applyFill="1" applyBorder="1" applyAlignment="1">
      <alignment horizontal="center" vertical="center" wrapText="1"/>
    </xf>
    <xf numFmtId="177" fontId="1" fillId="3" borderId="1" xfId="8" applyNumberFormat="1" applyFill="1" applyBorder="1" applyAlignment="1">
      <alignment horizontal="center" vertical="center"/>
    </xf>
    <xf numFmtId="0" fontId="1" fillId="3" borderId="1" xfId="8" applyFill="1" applyBorder="1" applyAlignment="1">
      <alignment horizontal="center" vertical="center"/>
    </xf>
    <xf numFmtId="9" fontId="1" fillId="3" borderId="1" xfId="8" applyNumberFormat="1" applyFill="1" applyBorder="1" applyAlignment="1">
      <alignment horizontal="center" vertical="center"/>
    </xf>
    <xf numFmtId="177" fontId="1" fillId="3" borderId="1" xfId="8" applyNumberFormat="1" applyFill="1" applyBorder="1" applyAlignment="1">
      <alignment horizontal="center" vertical="center" wrapText="1"/>
    </xf>
    <xf numFmtId="0" fontId="2" fillId="2" borderId="1" xfId="8" applyFont="1" applyFill="1" applyBorder="1" applyAlignment="1">
      <alignment horizontal="center" vertical="center" wrapText="1"/>
    </xf>
    <xf numFmtId="0" fontId="2" fillId="2" borderId="1" xfId="8" applyFont="1" applyFill="1" applyBorder="1" applyAlignment="1">
      <alignment horizontal="center" vertical="center"/>
    </xf>
    <xf numFmtId="0" fontId="0" fillId="3" borderId="1" xfId="8" applyFont="1" applyFill="1" applyBorder="1" applyAlignment="1">
      <alignment horizontal="center" vertical="center" wrapText="1"/>
    </xf>
    <xf numFmtId="0" fontId="1" fillId="3" borderId="1" xfId="8" applyFill="1" applyBorder="1" applyAlignment="1">
      <alignment horizontal="center" vertical="center" wrapText="1"/>
    </xf>
    <xf numFmtId="0" fontId="3" fillId="2" borderId="1" xfId="8" applyFont="1" applyFill="1" applyBorder="1" applyAlignment="1">
      <alignment horizontal="center" vertical="center"/>
    </xf>
    <xf numFmtId="0" fontId="0" fillId="3" borderId="1" xfId="8" applyFont="1" applyFill="1" applyBorder="1" applyAlignment="1">
      <alignment horizontal="center" vertical="center"/>
    </xf>
  </cellXfs>
  <cellStyles count="9">
    <cellStyle name="百分比" xfId="1" builtinId="5"/>
    <cellStyle name="百分比 2" xfId="2"/>
    <cellStyle name="常规" xfId="0" builtinId="0"/>
    <cellStyle name="常规 2" xfId="5"/>
    <cellStyle name="常规 2 2" xfId="4"/>
    <cellStyle name="常规 3" xfId="6"/>
    <cellStyle name="常规 3 2" xfId="3"/>
    <cellStyle name="常规 4" xfId="7"/>
    <cellStyle name="常规 5" xf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8</xdr:row>
      <xdr:rowOff>0</xdr:rowOff>
    </xdr:from>
    <xdr:to>
      <xdr:col>3</xdr:col>
      <xdr:colOff>142875</xdr:colOff>
      <xdr:row>8</xdr:row>
      <xdr:rowOff>0</xdr:rowOff>
    </xdr:to>
    <xdr:pic>
      <xdr:nvPicPr>
        <xdr:cNvPr id="2" name="图片 1" descr="2_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67000" y="876554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8</xdr:row>
      <xdr:rowOff>0</xdr:rowOff>
    </xdr:from>
    <xdr:to>
      <xdr:col>3</xdr:col>
      <xdr:colOff>142875</xdr:colOff>
      <xdr:row>8</xdr:row>
      <xdr:rowOff>0</xdr:rowOff>
    </xdr:to>
    <xdr:pic>
      <xdr:nvPicPr>
        <xdr:cNvPr id="3" name="图片 2" descr="3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76525" y="876554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8</xdr:row>
      <xdr:rowOff>0</xdr:rowOff>
    </xdr:from>
    <xdr:to>
      <xdr:col>3</xdr:col>
      <xdr:colOff>142875</xdr:colOff>
      <xdr:row>8</xdr:row>
      <xdr:rowOff>0</xdr:rowOff>
    </xdr:to>
    <xdr:pic>
      <xdr:nvPicPr>
        <xdr:cNvPr id="4" name="图片 3" descr="3_1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2250" y="876554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6</xdr:row>
      <xdr:rowOff>0</xdr:rowOff>
    </xdr:from>
    <xdr:to>
      <xdr:col>3</xdr:col>
      <xdr:colOff>142875</xdr:colOff>
      <xdr:row>6</xdr:row>
      <xdr:rowOff>0</xdr:rowOff>
    </xdr:to>
    <xdr:pic>
      <xdr:nvPicPr>
        <xdr:cNvPr id="5" name="图片 4" descr="2_1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67000" y="567944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6</xdr:row>
      <xdr:rowOff>0</xdr:rowOff>
    </xdr:from>
    <xdr:to>
      <xdr:col>3</xdr:col>
      <xdr:colOff>142875</xdr:colOff>
      <xdr:row>6</xdr:row>
      <xdr:rowOff>0</xdr:rowOff>
    </xdr:to>
    <xdr:pic>
      <xdr:nvPicPr>
        <xdr:cNvPr id="6" name="图片 5" descr="3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76525" y="567944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6</xdr:row>
      <xdr:rowOff>0</xdr:rowOff>
    </xdr:from>
    <xdr:to>
      <xdr:col>3</xdr:col>
      <xdr:colOff>142875</xdr:colOff>
      <xdr:row>6</xdr:row>
      <xdr:rowOff>0</xdr:rowOff>
    </xdr:to>
    <xdr:pic>
      <xdr:nvPicPr>
        <xdr:cNvPr id="7" name="图片 6" descr="3_1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2250" y="567944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6</xdr:row>
      <xdr:rowOff>0</xdr:rowOff>
    </xdr:from>
    <xdr:to>
      <xdr:col>3</xdr:col>
      <xdr:colOff>142875</xdr:colOff>
      <xdr:row>6</xdr:row>
      <xdr:rowOff>0</xdr:rowOff>
    </xdr:to>
    <xdr:pic>
      <xdr:nvPicPr>
        <xdr:cNvPr id="8" name="图片 7" descr="2_1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67000" y="567944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6</xdr:row>
      <xdr:rowOff>0</xdr:rowOff>
    </xdr:from>
    <xdr:to>
      <xdr:col>3</xdr:col>
      <xdr:colOff>142875</xdr:colOff>
      <xdr:row>6</xdr:row>
      <xdr:rowOff>0</xdr:rowOff>
    </xdr:to>
    <xdr:pic>
      <xdr:nvPicPr>
        <xdr:cNvPr id="9" name="图片 8" descr="3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76525" y="567944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6</xdr:row>
      <xdr:rowOff>0</xdr:rowOff>
    </xdr:from>
    <xdr:to>
      <xdr:col>3</xdr:col>
      <xdr:colOff>142875</xdr:colOff>
      <xdr:row>6</xdr:row>
      <xdr:rowOff>0</xdr:rowOff>
    </xdr:to>
    <xdr:pic>
      <xdr:nvPicPr>
        <xdr:cNvPr id="10" name="图片 9" descr="3_1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2250" y="567944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20</xdr:row>
      <xdr:rowOff>0</xdr:rowOff>
    </xdr:from>
    <xdr:to>
      <xdr:col>3</xdr:col>
      <xdr:colOff>142875</xdr:colOff>
      <xdr:row>20</xdr:row>
      <xdr:rowOff>0</xdr:rowOff>
    </xdr:to>
    <xdr:pic>
      <xdr:nvPicPr>
        <xdr:cNvPr id="2" name="图片 1" descr="2_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90700" y="6543675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20</xdr:row>
      <xdr:rowOff>0</xdr:rowOff>
    </xdr:from>
    <xdr:to>
      <xdr:col>3</xdr:col>
      <xdr:colOff>142875</xdr:colOff>
      <xdr:row>20</xdr:row>
      <xdr:rowOff>0</xdr:rowOff>
    </xdr:to>
    <xdr:pic>
      <xdr:nvPicPr>
        <xdr:cNvPr id="3" name="图片 2" descr="3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00225" y="6543675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20</xdr:row>
      <xdr:rowOff>0</xdr:rowOff>
    </xdr:from>
    <xdr:to>
      <xdr:col>3</xdr:col>
      <xdr:colOff>142875</xdr:colOff>
      <xdr:row>20</xdr:row>
      <xdr:rowOff>0</xdr:rowOff>
    </xdr:to>
    <xdr:pic>
      <xdr:nvPicPr>
        <xdr:cNvPr id="4" name="图片 3" descr="3_1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85950" y="6543675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19</xdr:row>
      <xdr:rowOff>0</xdr:rowOff>
    </xdr:from>
    <xdr:to>
      <xdr:col>3</xdr:col>
      <xdr:colOff>142875</xdr:colOff>
      <xdr:row>19</xdr:row>
      <xdr:rowOff>0</xdr:rowOff>
    </xdr:to>
    <xdr:pic>
      <xdr:nvPicPr>
        <xdr:cNvPr id="2" name="图片 1" descr="2_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9213215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19</xdr:row>
      <xdr:rowOff>0</xdr:rowOff>
    </xdr:from>
    <xdr:to>
      <xdr:col>3</xdr:col>
      <xdr:colOff>142875</xdr:colOff>
      <xdr:row>19</xdr:row>
      <xdr:rowOff>0</xdr:rowOff>
    </xdr:to>
    <xdr:pic>
      <xdr:nvPicPr>
        <xdr:cNvPr id="3" name="图片 2" descr="3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9213215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19</xdr:row>
      <xdr:rowOff>0</xdr:rowOff>
    </xdr:from>
    <xdr:to>
      <xdr:col>3</xdr:col>
      <xdr:colOff>142875</xdr:colOff>
      <xdr:row>19</xdr:row>
      <xdr:rowOff>0</xdr:rowOff>
    </xdr:to>
    <xdr:pic>
      <xdr:nvPicPr>
        <xdr:cNvPr id="4" name="图片 3" descr="3_1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9213215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9525</xdr:colOff>
      <xdr:row>4</xdr:row>
      <xdr:rowOff>0</xdr:rowOff>
    </xdr:from>
    <xdr:ext cx="133350" cy="9525"/>
    <xdr:pic>
      <xdr:nvPicPr>
        <xdr:cNvPr id="5" name="图片 16" descr="2_1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1620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4</xdr:row>
      <xdr:rowOff>0</xdr:rowOff>
    </xdr:from>
    <xdr:ext cx="123825" cy="9525"/>
    <xdr:pic>
      <xdr:nvPicPr>
        <xdr:cNvPr id="6" name="图片 17" descr="3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1620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4</xdr:row>
      <xdr:rowOff>0</xdr:rowOff>
    </xdr:from>
    <xdr:ext cx="38100" cy="9525"/>
    <xdr:pic>
      <xdr:nvPicPr>
        <xdr:cNvPr id="7" name="图片 18" descr="3_1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1620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8" name="图片 16" descr="2_1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35623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9" name="图片 17" descr="3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35623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10" name="图片 18" descr="3_1"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35623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17" name="图片 16" descr="2_1">
          <a:extLst>
            <a:ext uri="{FF2B5EF4-FFF2-40B4-BE49-F238E27FC236}">
              <a16:creationId xmlns=""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921321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18" name="图片 17" descr="3">
          <a:extLst>
            <a:ext uri="{FF2B5EF4-FFF2-40B4-BE49-F238E27FC236}">
              <a16:creationId xmlns="" xmlns:a16="http://schemas.microsoft.com/office/drawing/2014/main" id="{00000000-0008-0000-0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921321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19" name="图片 18" descr="3_1">
          <a:extLst>
            <a:ext uri="{FF2B5EF4-FFF2-40B4-BE49-F238E27FC236}">
              <a16:creationId xmlns=""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921321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20" name="图片 16" descr="2_1">
          <a:extLst>
            <a:ext uri="{FF2B5EF4-FFF2-40B4-BE49-F238E27FC236}">
              <a16:creationId xmlns="" xmlns:a16="http://schemas.microsoft.com/office/drawing/2014/main" id="{00000000-0008-0000-0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921321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21" name="图片 17" descr="3">
          <a:extLst>
            <a:ext uri="{FF2B5EF4-FFF2-40B4-BE49-F238E27FC236}">
              <a16:creationId xmlns="" xmlns:a16="http://schemas.microsoft.com/office/drawing/2014/main" id="{00000000-0008-0000-0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921321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22" name="图片 18" descr="3_1">
          <a:extLst>
            <a:ext uri="{FF2B5EF4-FFF2-40B4-BE49-F238E27FC236}">
              <a16:creationId xmlns="" xmlns:a16="http://schemas.microsoft.com/office/drawing/2014/main" id="{00000000-0008-0000-03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921321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9525</xdr:colOff>
      <xdr:row>19</xdr:row>
      <xdr:rowOff>0</xdr:rowOff>
    </xdr:from>
    <xdr:to>
      <xdr:col>3</xdr:col>
      <xdr:colOff>142875</xdr:colOff>
      <xdr:row>19</xdr:row>
      <xdr:rowOff>9525</xdr:rowOff>
    </xdr:to>
    <xdr:pic>
      <xdr:nvPicPr>
        <xdr:cNvPr id="23" name="图片 16" descr="2_1">
          <a:extLst>
            <a:ext uri="{FF2B5EF4-FFF2-40B4-BE49-F238E27FC236}">
              <a16:creationId xmlns=""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921321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19</xdr:row>
      <xdr:rowOff>0</xdr:rowOff>
    </xdr:from>
    <xdr:to>
      <xdr:col>3</xdr:col>
      <xdr:colOff>142875</xdr:colOff>
      <xdr:row>19</xdr:row>
      <xdr:rowOff>9525</xdr:rowOff>
    </xdr:to>
    <xdr:pic>
      <xdr:nvPicPr>
        <xdr:cNvPr id="24" name="图片 17" descr="3">
          <a:extLst>
            <a:ext uri="{FF2B5EF4-FFF2-40B4-BE49-F238E27FC236}">
              <a16:creationId xmlns=""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921321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19</xdr:row>
      <xdr:rowOff>0</xdr:rowOff>
    </xdr:from>
    <xdr:to>
      <xdr:col>3</xdr:col>
      <xdr:colOff>142875</xdr:colOff>
      <xdr:row>19</xdr:row>
      <xdr:rowOff>9525</xdr:rowOff>
    </xdr:to>
    <xdr:pic>
      <xdr:nvPicPr>
        <xdr:cNvPr id="25" name="图片 18" descr="3_1">
          <a:extLst>
            <a:ext uri="{FF2B5EF4-FFF2-40B4-BE49-F238E27FC236}">
              <a16:creationId xmlns="" xmlns:a16="http://schemas.microsoft.com/office/drawing/2014/main" id="{00000000-0008-0000-0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921321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26" name="图片 16" descr="2_1">
          <a:extLst>
            <a:ext uri="{FF2B5EF4-FFF2-40B4-BE49-F238E27FC236}">
              <a16:creationId xmlns="" xmlns:a16="http://schemas.microsoft.com/office/drawing/2014/main" id="{00000000-0008-0000-0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921321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27" name="图片 17" descr="3">
          <a:extLst>
            <a:ext uri="{FF2B5EF4-FFF2-40B4-BE49-F238E27FC236}">
              <a16:creationId xmlns="" xmlns:a16="http://schemas.microsoft.com/office/drawing/2014/main" id="{00000000-0008-0000-0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921321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28" name="图片 18" descr="3_1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921321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29" name="图片 28" descr="2_1">
          <a:extLst>
            <a:ext uri="{FF2B5EF4-FFF2-40B4-BE49-F238E27FC236}">
              <a16:creationId xmlns="" xmlns:a16="http://schemas.microsoft.com/office/drawing/2014/main" id="{00000000-0008-0000-0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921321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30" name="图片 29" descr="3">
          <a:extLst>
            <a:ext uri="{FF2B5EF4-FFF2-40B4-BE49-F238E27FC236}">
              <a16:creationId xmlns="" xmlns:a16="http://schemas.microsoft.com/office/drawing/2014/main" id="{00000000-0008-0000-0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921321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31" name="图片 30" descr="3_1">
          <a:extLst>
            <a:ext uri="{FF2B5EF4-FFF2-40B4-BE49-F238E27FC236}">
              <a16:creationId xmlns="" xmlns:a16="http://schemas.microsoft.com/office/drawing/2014/main" id="{00000000-0008-0000-03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921321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32" name="图片 16" descr="2_1">
          <a:extLst>
            <a:ext uri="{FF2B5EF4-FFF2-40B4-BE49-F238E27FC236}">
              <a16:creationId xmlns="" xmlns:a16="http://schemas.microsoft.com/office/drawing/2014/main" id="{00000000-0008-0000-03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921321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33" name="图片 17" descr="3">
          <a:extLst>
            <a:ext uri="{FF2B5EF4-FFF2-40B4-BE49-F238E27FC236}">
              <a16:creationId xmlns="" xmlns:a16="http://schemas.microsoft.com/office/drawing/2014/main" id="{00000000-0008-0000-03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921321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34" name="图片 18" descr="3_1">
          <a:extLst>
            <a:ext uri="{FF2B5EF4-FFF2-40B4-BE49-F238E27FC236}">
              <a16:creationId xmlns="" xmlns:a16="http://schemas.microsoft.com/office/drawing/2014/main" id="{00000000-0008-0000-03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921321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35" name="图片 16" descr="2_1"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5049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36" name="图片 17" descr="3">
          <a:extLst>
            <a:ext uri="{FF2B5EF4-FFF2-40B4-BE49-F238E27FC236}">
              <a16:creationId xmlns="" xmlns:a16="http://schemas.microsoft.com/office/drawing/2014/main" id="{00000000-0008-0000-03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5049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37" name="图片 18" descr="3_1">
          <a:extLst>
            <a:ext uri="{FF2B5EF4-FFF2-40B4-BE49-F238E27FC236}">
              <a16:creationId xmlns="" xmlns:a16="http://schemas.microsoft.com/office/drawing/2014/main" id="{00000000-0008-0000-03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5049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16</xdr:row>
      <xdr:rowOff>0</xdr:rowOff>
    </xdr:from>
    <xdr:ext cx="133350" cy="9525"/>
    <xdr:pic>
      <xdr:nvPicPr>
        <xdr:cNvPr id="41" name="图片 16" descr="2_1">
          <a:extLst>
            <a:ext uri="{FF2B5EF4-FFF2-40B4-BE49-F238E27FC236}">
              <a16:creationId xmlns="" xmlns:a16="http://schemas.microsoft.com/office/drawing/2014/main" id="{00000000-0008-0000-03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818451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16</xdr:row>
      <xdr:rowOff>0</xdr:rowOff>
    </xdr:from>
    <xdr:ext cx="123825" cy="9525"/>
    <xdr:pic>
      <xdr:nvPicPr>
        <xdr:cNvPr id="42" name="图片 17" descr="3">
          <a:extLst>
            <a:ext uri="{FF2B5EF4-FFF2-40B4-BE49-F238E27FC236}">
              <a16:creationId xmlns="" xmlns:a16="http://schemas.microsoft.com/office/drawing/2014/main" id="{00000000-0008-0000-03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818451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16</xdr:row>
      <xdr:rowOff>0</xdr:rowOff>
    </xdr:from>
    <xdr:ext cx="38100" cy="9525"/>
    <xdr:pic>
      <xdr:nvPicPr>
        <xdr:cNvPr id="43" name="图片 18" descr="3_1">
          <a:extLst>
            <a:ext uri="{FF2B5EF4-FFF2-40B4-BE49-F238E27FC236}">
              <a16:creationId xmlns="" xmlns:a16="http://schemas.microsoft.com/office/drawing/2014/main" id="{00000000-0008-0000-03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818451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56" name="图片 16" descr="2_1">
          <a:extLst>
            <a:ext uri="{FF2B5EF4-FFF2-40B4-BE49-F238E27FC236}">
              <a16:creationId xmlns="" xmlns:a16="http://schemas.microsoft.com/office/drawing/2014/main" id="{00000000-0008-0000-03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852741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57" name="图片 17" descr="3">
          <a:extLst>
            <a:ext uri="{FF2B5EF4-FFF2-40B4-BE49-F238E27FC236}">
              <a16:creationId xmlns="" xmlns:a16="http://schemas.microsoft.com/office/drawing/2014/main" id="{00000000-0008-0000-03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852741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58" name="图片 18" descr="3_1">
          <a:extLst>
            <a:ext uri="{FF2B5EF4-FFF2-40B4-BE49-F238E27FC236}">
              <a16:creationId xmlns="" xmlns:a16="http://schemas.microsoft.com/office/drawing/2014/main" id="{00000000-0008-0000-03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852741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59" name="图片 16" descr="2_1">
          <a:extLst>
            <a:ext uri="{FF2B5EF4-FFF2-40B4-BE49-F238E27FC236}">
              <a16:creationId xmlns="" xmlns:a16="http://schemas.microsoft.com/office/drawing/2014/main" id="{00000000-0008-0000-03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887031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60" name="图片 17" descr="3">
          <a:extLst>
            <a:ext uri="{FF2B5EF4-FFF2-40B4-BE49-F238E27FC236}">
              <a16:creationId xmlns="" xmlns:a16="http://schemas.microsoft.com/office/drawing/2014/main" id="{00000000-0008-0000-03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887031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61" name="图片 18" descr="3_1">
          <a:extLst>
            <a:ext uri="{FF2B5EF4-FFF2-40B4-BE49-F238E27FC236}">
              <a16:creationId xmlns="" xmlns:a16="http://schemas.microsoft.com/office/drawing/2014/main" id="{00000000-0008-0000-03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887031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4</xdr:row>
      <xdr:rowOff>0</xdr:rowOff>
    </xdr:from>
    <xdr:ext cx="133350" cy="9525"/>
    <xdr:pic>
      <xdr:nvPicPr>
        <xdr:cNvPr id="62" name="图片 16" descr="2_1">
          <a:extLst>
            <a:ext uri="{FF2B5EF4-FFF2-40B4-BE49-F238E27FC236}">
              <a16:creationId xmlns="" xmlns:a16="http://schemas.microsoft.com/office/drawing/2014/main" id="{00000000-0008-0000-03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1620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4</xdr:row>
      <xdr:rowOff>0</xdr:rowOff>
    </xdr:from>
    <xdr:ext cx="123825" cy="9525"/>
    <xdr:pic>
      <xdr:nvPicPr>
        <xdr:cNvPr id="63" name="图片 17" descr="3">
          <a:extLst>
            <a:ext uri="{FF2B5EF4-FFF2-40B4-BE49-F238E27FC236}">
              <a16:creationId xmlns="" xmlns:a16="http://schemas.microsoft.com/office/drawing/2014/main" id="{00000000-0008-0000-03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1620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4</xdr:row>
      <xdr:rowOff>0</xdr:rowOff>
    </xdr:from>
    <xdr:ext cx="38100" cy="9525"/>
    <xdr:pic>
      <xdr:nvPicPr>
        <xdr:cNvPr id="64" name="图片 18" descr="3_1">
          <a:extLst>
            <a:ext uri="{FF2B5EF4-FFF2-40B4-BE49-F238E27FC236}">
              <a16:creationId xmlns="" xmlns:a16="http://schemas.microsoft.com/office/drawing/2014/main" id="{00000000-0008-0000-03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1620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65" name="图片 16" descr="2_1">
          <a:extLst>
            <a:ext uri="{FF2B5EF4-FFF2-40B4-BE49-F238E27FC236}">
              <a16:creationId xmlns="" xmlns:a16="http://schemas.microsoft.com/office/drawing/2014/main" id="{00000000-0008-0000-03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35623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66" name="图片 17" descr="3">
          <a:extLst>
            <a:ext uri="{FF2B5EF4-FFF2-40B4-BE49-F238E27FC236}">
              <a16:creationId xmlns="" xmlns:a16="http://schemas.microsoft.com/office/drawing/2014/main" id="{00000000-0008-0000-03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35623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67" name="图片 18" descr="3_1">
          <a:extLst>
            <a:ext uri="{FF2B5EF4-FFF2-40B4-BE49-F238E27FC236}">
              <a16:creationId xmlns="" xmlns:a16="http://schemas.microsoft.com/office/drawing/2014/main" id="{00000000-0008-0000-03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35623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74" name="图片 73" descr="2_1">
          <a:extLst>
            <a:ext uri="{FF2B5EF4-FFF2-40B4-BE49-F238E27FC236}">
              <a16:creationId xmlns="" xmlns:a16="http://schemas.microsoft.com/office/drawing/2014/main" id="{00000000-0008-0000-03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921321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75" name="图片 74" descr="3">
          <a:extLst>
            <a:ext uri="{FF2B5EF4-FFF2-40B4-BE49-F238E27FC236}">
              <a16:creationId xmlns="" xmlns:a16="http://schemas.microsoft.com/office/drawing/2014/main" id="{00000000-0008-0000-03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921321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76" name="图片 75" descr="3_1">
          <a:extLst>
            <a:ext uri="{FF2B5EF4-FFF2-40B4-BE49-F238E27FC236}">
              <a16:creationId xmlns="" xmlns:a16="http://schemas.microsoft.com/office/drawing/2014/main" id="{00000000-0008-0000-03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921321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77" name="图片 16" descr="2_1">
          <a:extLst>
            <a:ext uri="{FF2B5EF4-FFF2-40B4-BE49-F238E27FC236}">
              <a16:creationId xmlns="" xmlns:a16="http://schemas.microsoft.com/office/drawing/2014/main" id="{00000000-0008-0000-03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921321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78" name="图片 17" descr="3">
          <a:extLst>
            <a:ext uri="{FF2B5EF4-FFF2-40B4-BE49-F238E27FC236}">
              <a16:creationId xmlns="" xmlns:a16="http://schemas.microsoft.com/office/drawing/2014/main" id="{00000000-0008-0000-03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921321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79" name="图片 18" descr="3_1">
          <a:extLst>
            <a:ext uri="{FF2B5EF4-FFF2-40B4-BE49-F238E27FC236}">
              <a16:creationId xmlns="" xmlns:a16="http://schemas.microsoft.com/office/drawing/2014/main" id="{00000000-0008-0000-03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921321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9525</xdr:colOff>
      <xdr:row>19</xdr:row>
      <xdr:rowOff>0</xdr:rowOff>
    </xdr:from>
    <xdr:to>
      <xdr:col>3</xdr:col>
      <xdr:colOff>142875</xdr:colOff>
      <xdr:row>19</xdr:row>
      <xdr:rowOff>9525</xdr:rowOff>
    </xdr:to>
    <xdr:pic>
      <xdr:nvPicPr>
        <xdr:cNvPr id="80" name="图片 16" descr="2_1">
          <a:extLst>
            <a:ext uri="{FF2B5EF4-FFF2-40B4-BE49-F238E27FC236}">
              <a16:creationId xmlns="" xmlns:a16="http://schemas.microsoft.com/office/drawing/2014/main" id="{00000000-0008-0000-03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921321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19</xdr:row>
      <xdr:rowOff>0</xdr:rowOff>
    </xdr:from>
    <xdr:to>
      <xdr:col>3</xdr:col>
      <xdr:colOff>142875</xdr:colOff>
      <xdr:row>19</xdr:row>
      <xdr:rowOff>9525</xdr:rowOff>
    </xdr:to>
    <xdr:pic>
      <xdr:nvPicPr>
        <xdr:cNvPr id="81" name="图片 17" descr="3">
          <a:extLst>
            <a:ext uri="{FF2B5EF4-FFF2-40B4-BE49-F238E27FC236}">
              <a16:creationId xmlns="" xmlns:a16="http://schemas.microsoft.com/office/drawing/2014/main" id="{00000000-0008-0000-03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921321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19</xdr:row>
      <xdr:rowOff>0</xdr:rowOff>
    </xdr:from>
    <xdr:to>
      <xdr:col>3</xdr:col>
      <xdr:colOff>142875</xdr:colOff>
      <xdr:row>19</xdr:row>
      <xdr:rowOff>9525</xdr:rowOff>
    </xdr:to>
    <xdr:pic>
      <xdr:nvPicPr>
        <xdr:cNvPr id="82" name="图片 18" descr="3_1">
          <a:extLst>
            <a:ext uri="{FF2B5EF4-FFF2-40B4-BE49-F238E27FC236}">
              <a16:creationId xmlns="" xmlns:a16="http://schemas.microsoft.com/office/drawing/2014/main" id="{00000000-0008-0000-03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921321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83" name="图片 16" descr="2_1">
          <a:extLst>
            <a:ext uri="{FF2B5EF4-FFF2-40B4-BE49-F238E27FC236}">
              <a16:creationId xmlns="" xmlns:a16="http://schemas.microsoft.com/office/drawing/2014/main" id="{00000000-0008-0000-03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921321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84" name="图片 17" descr="3">
          <a:extLst>
            <a:ext uri="{FF2B5EF4-FFF2-40B4-BE49-F238E27FC236}">
              <a16:creationId xmlns="" xmlns:a16="http://schemas.microsoft.com/office/drawing/2014/main" id="{00000000-0008-0000-03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921321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85" name="图片 18" descr="3_1">
          <a:extLst>
            <a:ext uri="{FF2B5EF4-FFF2-40B4-BE49-F238E27FC236}">
              <a16:creationId xmlns="" xmlns:a16="http://schemas.microsoft.com/office/drawing/2014/main" id="{00000000-0008-0000-03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921321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86" name="图片 85" descr="2_1">
          <a:extLst>
            <a:ext uri="{FF2B5EF4-FFF2-40B4-BE49-F238E27FC236}">
              <a16:creationId xmlns="" xmlns:a16="http://schemas.microsoft.com/office/drawing/2014/main" id="{00000000-0008-0000-03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921321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87" name="图片 86" descr="3">
          <a:extLst>
            <a:ext uri="{FF2B5EF4-FFF2-40B4-BE49-F238E27FC236}">
              <a16:creationId xmlns="" xmlns:a16="http://schemas.microsoft.com/office/drawing/2014/main" id="{00000000-0008-0000-03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921321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88" name="图片 87" descr="3_1">
          <a:extLst>
            <a:ext uri="{FF2B5EF4-FFF2-40B4-BE49-F238E27FC236}">
              <a16:creationId xmlns="" xmlns:a16="http://schemas.microsoft.com/office/drawing/2014/main" id="{00000000-0008-0000-03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921321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89" name="图片 16" descr="2_1">
          <a:extLst>
            <a:ext uri="{FF2B5EF4-FFF2-40B4-BE49-F238E27FC236}">
              <a16:creationId xmlns="" xmlns:a16="http://schemas.microsoft.com/office/drawing/2014/main" id="{00000000-0008-0000-03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921321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90" name="图片 17" descr="3">
          <a:extLst>
            <a:ext uri="{FF2B5EF4-FFF2-40B4-BE49-F238E27FC236}">
              <a16:creationId xmlns="" xmlns:a16="http://schemas.microsoft.com/office/drawing/2014/main" id="{00000000-0008-0000-03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921321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91" name="图片 18" descr="3_1">
          <a:extLst>
            <a:ext uri="{FF2B5EF4-FFF2-40B4-BE49-F238E27FC236}">
              <a16:creationId xmlns="" xmlns:a16="http://schemas.microsoft.com/office/drawing/2014/main" id="{00000000-0008-0000-03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921321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4</xdr:row>
      <xdr:rowOff>0</xdr:rowOff>
    </xdr:from>
    <xdr:ext cx="133350" cy="9525"/>
    <xdr:pic>
      <xdr:nvPicPr>
        <xdr:cNvPr id="92" name="图片 16" descr="2_1">
          <a:extLst>
            <a:ext uri="{FF2B5EF4-FFF2-40B4-BE49-F238E27FC236}">
              <a16:creationId xmlns=""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1620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4</xdr:row>
      <xdr:rowOff>0</xdr:rowOff>
    </xdr:from>
    <xdr:ext cx="123825" cy="9525"/>
    <xdr:pic>
      <xdr:nvPicPr>
        <xdr:cNvPr id="93" name="图片 17" descr="3">
          <a:extLst>
            <a:ext uri="{FF2B5EF4-FFF2-40B4-BE49-F238E27FC236}">
              <a16:creationId xmlns="" xmlns:a16="http://schemas.microsoft.com/office/drawing/2014/main" id="{00000000-0008-0000-03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1620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4</xdr:row>
      <xdr:rowOff>0</xdr:rowOff>
    </xdr:from>
    <xdr:ext cx="38100" cy="9525"/>
    <xdr:pic>
      <xdr:nvPicPr>
        <xdr:cNvPr id="94" name="图片 18" descr="3_1">
          <a:extLst>
            <a:ext uri="{FF2B5EF4-FFF2-40B4-BE49-F238E27FC236}">
              <a16:creationId xmlns="" xmlns:a16="http://schemas.microsoft.com/office/drawing/2014/main" id="{00000000-0008-0000-03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1620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95" name="图片 16" descr="2_1">
          <a:extLst>
            <a:ext uri="{FF2B5EF4-FFF2-40B4-BE49-F238E27FC236}">
              <a16:creationId xmlns="" xmlns:a16="http://schemas.microsoft.com/office/drawing/2014/main" id="{00000000-0008-0000-03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852741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96" name="图片 17" descr="3">
          <a:extLst>
            <a:ext uri="{FF2B5EF4-FFF2-40B4-BE49-F238E27FC236}">
              <a16:creationId xmlns="" xmlns:a16="http://schemas.microsoft.com/office/drawing/2014/main" id="{00000000-0008-0000-03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852741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97" name="图片 18" descr="3_1">
          <a:extLst>
            <a:ext uri="{FF2B5EF4-FFF2-40B4-BE49-F238E27FC236}">
              <a16:creationId xmlns="" xmlns:a16="http://schemas.microsoft.com/office/drawing/2014/main" id="{00000000-0008-0000-03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852741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98" name="图片 16" descr="2_1">
          <a:extLst>
            <a:ext uri="{FF2B5EF4-FFF2-40B4-BE49-F238E27FC236}">
              <a16:creationId xmlns="" xmlns:a16="http://schemas.microsoft.com/office/drawing/2014/main" id="{00000000-0008-0000-03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887031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99" name="图片 17" descr="3">
          <a:extLst>
            <a:ext uri="{FF2B5EF4-FFF2-40B4-BE49-F238E27FC236}">
              <a16:creationId xmlns="" xmlns:a16="http://schemas.microsoft.com/office/drawing/2014/main" id="{00000000-0008-0000-03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887031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100" name="图片 18" descr="3_1">
          <a:extLst>
            <a:ext uri="{FF2B5EF4-FFF2-40B4-BE49-F238E27FC236}">
              <a16:creationId xmlns="" xmlns:a16="http://schemas.microsoft.com/office/drawing/2014/main" id="{00000000-0008-0000-03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887031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107" name="图片 16" descr="2_1">
          <a:extLst>
            <a:ext uri="{FF2B5EF4-FFF2-40B4-BE49-F238E27FC236}">
              <a16:creationId xmlns="" xmlns:a16="http://schemas.microsoft.com/office/drawing/2014/main" id="{00000000-0008-0000-03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8478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108" name="图片 17" descr="3">
          <a:extLst>
            <a:ext uri="{FF2B5EF4-FFF2-40B4-BE49-F238E27FC236}">
              <a16:creationId xmlns="" xmlns:a16="http://schemas.microsoft.com/office/drawing/2014/main" id="{00000000-0008-0000-03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8478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109" name="图片 18" descr="3_1">
          <a:extLst>
            <a:ext uri="{FF2B5EF4-FFF2-40B4-BE49-F238E27FC236}">
              <a16:creationId xmlns="" xmlns:a16="http://schemas.microsoft.com/office/drawing/2014/main" id="{00000000-0008-0000-03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8478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4</xdr:row>
      <xdr:rowOff>0</xdr:rowOff>
    </xdr:from>
    <xdr:ext cx="133350" cy="9525"/>
    <xdr:pic>
      <xdr:nvPicPr>
        <xdr:cNvPr id="110" name="图片 16" descr="2_1">
          <a:extLst>
            <a:ext uri="{FF2B5EF4-FFF2-40B4-BE49-F238E27FC236}">
              <a16:creationId xmlns="" xmlns:a16="http://schemas.microsoft.com/office/drawing/2014/main" id="{00000000-0008-0000-03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1620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4</xdr:row>
      <xdr:rowOff>0</xdr:rowOff>
    </xdr:from>
    <xdr:ext cx="123825" cy="9525"/>
    <xdr:pic>
      <xdr:nvPicPr>
        <xdr:cNvPr id="111" name="图片 17" descr="3">
          <a:extLst>
            <a:ext uri="{FF2B5EF4-FFF2-40B4-BE49-F238E27FC236}">
              <a16:creationId xmlns="" xmlns:a16="http://schemas.microsoft.com/office/drawing/2014/main" id="{00000000-0008-0000-03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1620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4</xdr:row>
      <xdr:rowOff>0</xdr:rowOff>
    </xdr:from>
    <xdr:ext cx="38100" cy="9525"/>
    <xdr:pic>
      <xdr:nvPicPr>
        <xdr:cNvPr id="112" name="图片 18" descr="3_1">
          <a:extLst>
            <a:ext uri="{FF2B5EF4-FFF2-40B4-BE49-F238E27FC236}">
              <a16:creationId xmlns="" xmlns:a16="http://schemas.microsoft.com/office/drawing/2014/main" id="{00000000-0008-0000-03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1620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113" name="图片 16" descr="2_1">
          <a:extLst>
            <a:ext uri="{FF2B5EF4-FFF2-40B4-BE49-F238E27FC236}">
              <a16:creationId xmlns="" xmlns:a16="http://schemas.microsoft.com/office/drawing/2014/main" id="{00000000-0008-0000-03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5049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114" name="图片 17" descr="3">
          <a:extLst>
            <a:ext uri="{FF2B5EF4-FFF2-40B4-BE49-F238E27FC236}">
              <a16:creationId xmlns="" xmlns:a16="http://schemas.microsoft.com/office/drawing/2014/main" id="{00000000-0008-0000-03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5049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115" name="图片 18" descr="3_1">
          <a:extLst>
            <a:ext uri="{FF2B5EF4-FFF2-40B4-BE49-F238E27FC236}">
              <a16:creationId xmlns="" xmlns:a16="http://schemas.microsoft.com/office/drawing/2014/main" id="{00000000-0008-0000-03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5049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116" name="图片 16" descr="2_1">
          <a:extLst>
            <a:ext uri="{FF2B5EF4-FFF2-40B4-BE49-F238E27FC236}">
              <a16:creationId xmlns="" xmlns:a16="http://schemas.microsoft.com/office/drawing/2014/main" id="{00000000-0008-0000-03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8478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117" name="图片 17" descr="3">
          <a:extLst>
            <a:ext uri="{FF2B5EF4-FFF2-40B4-BE49-F238E27FC236}">
              <a16:creationId xmlns="" xmlns:a16="http://schemas.microsoft.com/office/drawing/2014/main" id="{00000000-0008-0000-03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8478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118" name="图片 18" descr="3_1">
          <a:extLst>
            <a:ext uri="{FF2B5EF4-FFF2-40B4-BE49-F238E27FC236}">
              <a16:creationId xmlns="" xmlns:a16="http://schemas.microsoft.com/office/drawing/2014/main" id="{00000000-0008-0000-03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8478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4</xdr:row>
      <xdr:rowOff>0</xdr:rowOff>
    </xdr:from>
    <xdr:ext cx="133350" cy="9525"/>
    <xdr:pic>
      <xdr:nvPicPr>
        <xdr:cNvPr id="209" name="图片 16" descr="2_1">
          <a:extLst>
            <a:ext uri="{FF2B5EF4-FFF2-40B4-BE49-F238E27FC236}">
              <a16:creationId xmlns="" xmlns:a16="http://schemas.microsoft.com/office/drawing/2014/main" id="{00000000-0008-0000-03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1620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4</xdr:row>
      <xdr:rowOff>0</xdr:rowOff>
    </xdr:from>
    <xdr:ext cx="123825" cy="9525"/>
    <xdr:pic>
      <xdr:nvPicPr>
        <xdr:cNvPr id="210" name="图片 17" descr="3">
          <a:extLst>
            <a:ext uri="{FF2B5EF4-FFF2-40B4-BE49-F238E27FC236}">
              <a16:creationId xmlns="" xmlns:a16="http://schemas.microsoft.com/office/drawing/2014/main" id="{00000000-0008-0000-03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1620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4</xdr:row>
      <xdr:rowOff>0</xdr:rowOff>
    </xdr:from>
    <xdr:ext cx="38100" cy="9525"/>
    <xdr:pic>
      <xdr:nvPicPr>
        <xdr:cNvPr id="211" name="图片 18" descr="3_1">
          <a:extLst>
            <a:ext uri="{FF2B5EF4-FFF2-40B4-BE49-F238E27FC236}">
              <a16:creationId xmlns="" xmlns:a16="http://schemas.microsoft.com/office/drawing/2014/main" id="{00000000-0008-0000-03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1620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221" name="图片 16" descr="2_1">
          <a:extLst>
            <a:ext uri="{FF2B5EF4-FFF2-40B4-BE49-F238E27FC236}">
              <a16:creationId xmlns="" xmlns:a16="http://schemas.microsoft.com/office/drawing/2014/main" id="{00000000-0008-0000-03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5049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222" name="图片 17" descr="3">
          <a:extLst>
            <a:ext uri="{FF2B5EF4-FFF2-40B4-BE49-F238E27FC236}">
              <a16:creationId xmlns="" xmlns:a16="http://schemas.microsoft.com/office/drawing/2014/main" id="{00000000-0008-0000-03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5049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223" name="图片 18" descr="3_1">
          <a:extLst>
            <a:ext uri="{FF2B5EF4-FFF2-40B4-BE49-F238E27FC236}">
              <a16:creationId xmlns="" xmlns:a16="http://schemas.microsoft.com/office/drawing/2014/main" id="{00000000-0008-0000-03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5049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4</xdr:row>
      <xdr:rowOff>0</xdr:rowOff>
    </xdr:from>
    <xdr:ext cx="133350" cy="9525"/>
    <xdr:pic>
      <xdr:nvPicPr>
        <xdr:cNvPr id="245" name="图片 16" descr="2_1">
          <a:extLst>
            <a:ext uri="{FF2B5EF4-FFF2-40B4-BE49-F238E27FC236}">
              <a16:creationId xmlns="" xmlns:a16="http://schemas.microsoft.com/office/drawing/2014/main" id="{00000000-0008-0000-03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1620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4</xdr:row>
      <xdr:rowOff>0</xdr:rowOff>
    </xdr:from>
    <xdr:ext cx="123825" cy="9525"/>
    <xdr:pic>
      <xdr:nvPicPr>
        <xdr:cNvPr id="246" name="图片 17" descr="3">
          <a:extLst>
            <a:ext uri="{FF2B5EF4-FFF2-40B4-BE49-F238E27FC236}">
              <a16:creationId xmlns="" xmlns:a16="http://schemas.microsoft.com/office/drawing/2014/main" id="{00000000-0008-0000-03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1620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4</xdr:row>
      <xdr:rowOff>0</xdr:rowOff>
    </xdr:from>
    <xdr:ext cx="38100" cy="9525"/>
    <xdr:pic>
      <xdr:nvPicPr>
        <xdr:cNvPr id="247" name="图片 18" descr="3_1">
          <a:extLst>
            <a:ext uri="{FF2B5EF4-FFF2-40B4-BE49-F238E27FC236}">
              <a16:creationId xmlns="" xmlns:a16="http://schemas.microsoft.com/office/drawing/2014/main" id="{00000000-0008-0000-03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1620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4</xdr:row>
      <xdr:rowOff>0</xdr:rowOff>
    </xdr:from>
    <xdr:ext cx="133350" cy="9525"/>
    <xdr:pic>
      <xdr:nvPicPr>
        <xdr:cNvPr id="257" name="图片 16" descr="2_1">
          <a:extLst>
            <a:ext uri="{FF2B5EF4-FFF2-40B4-BE49-F238E27FC236}">
              <a16:creationId xmlns="" xmlns:a16="http://schemas.microsoft.com/office/drawing/2014/main" id="{00000000-0008-0000-03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1620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4</xdr:row>
      <xdr:rowOff>0</xdr:rowOff>
    </xdr:from>
    <xdr:ext cx="123825" cy="9525"/>
    <xdr:pic>
      <xdr:nvPicPr>
        <xdr:cNvPr id="258" name="图片 17" descr="3">
          <a:extLst>
            <a:ext uri="{FF2B5EF4-FFF2-40B4-BE49-F238E27FC236}">
              <a16:creationId xmlns="" xmlns:a16="http://schemas.microsoft.com/office/drawing/2014/main" id="{00000000-0008-0000-03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1620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4</xdr:row>
      <xdr:rowOff>0</xdr:rowOff>
    </xdr:from>
    <xdr:ext cx="38100" cy="9525"/>
    <xdr:pic>
      <xdr:nvPicPr>
        <xdr:cNvPr id="259" name="图片 18" descr="3_1">
          <a:extLst>
            <a:ext uri="{FF2B5EF4-FFF2-40B4-BE49-F238E27FC236}">
              <a16:creationId xmlns="" xmlns:a16="http://schemas.microsoft.com/office/drawing/2014/main" id="{00000000-0008-0000-03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1620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272" name="图片 16" descr="2_1">
          <a:extLst>
            <a:ext uri="{FF2B5EF4-FFF2-40B4-BE49-F238E27FC236}">
              <a16:creationId xmlns="" xmlns:a16="http://schemas.microsoft.com/office/drawing/2014/main" id="{00000000-0008-0000-03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8478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273" name="图片 17" descr="3">
          <a:extLst>
            <a:ext uri="{FF2B5EF4-FFF2-40B4-BE49-F238E27FC236}">
              <a16:creationId xmlns="" xmlns:a16="http://schemas.microsoft.com/office/drawing/2014/main" id="{00000000-0008-0000-03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8478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274" name="图片 18" descr="3_1">
          <a:extLst>
            <a:ext uri="{FF2B5EF4-FFF2-40B4-BE49-F238E27FC236}">
              <a16:creationId xmlns="" xmlns:a16="http://schemas.microsoft.com/office/drawing/2014/main" id="{00000000-0008-0000-03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8478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4</xdr:row>
      <xdr:rowOff>0</xdr:rowOff>
    </xdr:from>
    <xdr:ext cx="133350" cy="9525"/>
    <xdr:pic>
      <xdr:nvPicPr>
        <xdr:cNvPr id="275" name="图片 16" descr="2_1">
          <a:extLst>
            <a:ext uri="{FF2B5EF4-FFF2-40B4-BE49-F238E27FC236}">
              <a16:creationId xmlns="" xmlns:a16="http://schemas.microsoft.com/office/drawing/2014/main" id="{00000000-0008-0000-03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1620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4</xdr:row>
      <xdr:rowOff>0</xdr:rowOff>
    </xdr:from>
    <xdr:ext cx="123825" cy="9525"/>
    <xdr:pic>
      <xdr:nvPicPr>
        <xdr:cNvPr id="276" name="图片 17" descr="3">
          <a:extLst>
            <a:ext uri="{FF2B5EF4-FFF2-40B4-BE49-F238E27FC236}">
              <a16:creationId xmlns="" xmlns:a16="http://schemas.microsoft.com/office/drawing/2014/main" id="{00000000-0008-0000-03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1620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4</xdr:row>
      <xdr:rowOff>0</xdr:rowOff>
    </xdr:from>
    <xdr:ext cx="38100" cy="9525"/>
    <xdr:pic>
      <xdr:nvPicPr>
        <xdr:cNvPr id="277" name="图片 18" descr="3_1">
          <a:extLst>
            <a:ext uri="{FF2B5EF4-FFF2-40B4-BE49-F238E27FC236}">
              <a16:creationId xmlns="" xmlns:a16="http://schemas.microsoft.com/office/drawing/2014/main" id="{00000000-0008-0000-03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1620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278" name="图片 16" descr="2_1">
          <a:extLst>
            <a:ext uri="{FF2B5EF4-FFF2-40B4-BE49-F238E27FC236}">
              <a16:creationId xmlns="" xmlns:a16="http://schemas.microsoft.com/office/drawing/2014/main" id="{00000000-0008-0000-03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5049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279" name="图片 17" descr="3">
          <a:extLst>
            <a:ext uri="{FF2B5EF4-FFF2-40B4-BE49-F238E27FC236}">
              <a16:creationId xmlns="" xmlns:a16="http://schemas.microsoft.com/office/drawing/2014/main" id="{00000000-0008-0000-03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5049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280" name="图片 18" descr="3_1">
          <a:extLst>
            <a:ext uri="{FF2B5EF4-FFF2-40B4-BE49-F238E27FC236}">
              <a16:creationId xmlns="" xmlns:a16="http://schemas.microsoft.com/office/drawing/2014/main" id="{00000000-0008-0000-03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5049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281" name="图片 16" descr="2_1">
          <a:extLst>
            <a:ext uri="{FF2B5EF4-FFF2-40B4-BE49-F238E27FC236}">
              <a16:creationId xmlns="" xmlns:a16="http://schemas.microsoft.com/office/drawing/2014/main" id="{00000000-0008-0000-03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8478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282" name="图片 17" descr="3">
          <a:extLst>
            <a:ext uri="{FF2B5EF4-FFF2-40B4-BE49-F238E27FC236}">
              <a16:creationId xmlns="" xmlns:a16="http://schemas.microsoft.com/office/drawing/2014/main" id="{00000000-0008-0000-03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8478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283" name="图片 18" descr="3_1">
          <a:extLst>
            <a:ext uri="{FF2B5EF4-FFF2-40B4-BE49-F238E27FC236}">
              <a16:creationId xmlns="" xmlns:a16="http://schemas.microsoft.com/office/drawing/2014/main" id="{00000000-0008-0000-03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8478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4</xdr:row>
      <xdr:rowOff>0</xdr:rowOff>
    </xdr:from>
    <xdr:ext cx="133350" cy="9525"/>
    <xdr:pic>
      <xdr:nvPicPr>
        <xdr:cNvPr id="11" name="图片 16" descr="2_1">
          <a:extLst>
            <a:ext uri="{FF2B5EF4-FFF2-40B4-BE49-F238E27FC236}">
              <a16:creationId xmlns=""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1620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4</xdr:row>
      <xdr:rowOff>0</xdr:rowOff>
    </xdr:from>
    <xdr:ext cx="123825" cy="9525"/>
    <xdr:pic>
      <xdr:nvPicPr>
        <xdr:cNvPr id="12" name="图片 17" descr="3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1620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4</xdr:row>
      <xdr:rowOff>0</xdr:rowOff>
    </xdr:from>
    <xdr:ext cx="38100" cy="9525"/>
    <xdr:pic>
      <xdr:nvPicPr>
        <xdr:cNvPr id="13" name="图片 18" descr="3_1">
          <a:extLst>
            <a:ext uri="{FF2B5EF4-FFF2-40B4-BE49-F238E27FC236}">
              <a16:creationId xmlns="" xmlns:a16="http://schemas.microsoft.com/office/drawing/2014/main" id="{00000000-0008-0000-0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1620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14" name="图片 16" descr="2_1">
          <a:extLst>
            <a:ext uri="{FF2B5EF4-FFF2-40B4-BE49-F238E27FC236}">
              <a16:creationId xmlns="" xmlns:a16="http://schemas.microsoft.com/office/drawing/2014/main" id="{00000000-0008-0000-0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35623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15" name="图片 17" descr="3">
          <a:extLst>
            <a:ext uri="{FF2B5EF4-FFF2-40B4-BE49-F238E27FC236}">
              <a16:creationId xmlns="" xmlns:a16="http://schemas.microsoft.com/office/drawing/2014/main" id="{00000000-0008-0000-0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35623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16" name="图片 18" descr="3_1">
          <a:extLst>
            <a:ext uri="{FF2B5EF4-FFF2-40B4-BE49-F238E27FC236}">
              <a16:creationId xmlns="" xmlns:a16="http://schemas.microsoft.com/office/drawing/2014/main" id="{00000000-0008-0000-0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35623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44" name="图片 16" descr="2_1">
          <a:extLst>
            <a:ext uri="{FF2B5EF4-FFF2-40B4-BE49-F238E27FC236}">
              <a16:creationId xmlns="" xmlns:a16="http://schemas.microsoft.com/office/drawing/2014/main" id="{00000000-0008-0000-03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5049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45" name="图片 17" descr="3">
          <a:extLst>
            <a:ext uri="{FF2B5EF4-FFF2-40B4-BE49-F238E27FC236}">
              <a16:creationId xmlns=""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5049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46" name="图片 18" descr="3_1">
          <a:extLst>
            <a:ext uri="{FF2B5EF4-FFF2-40B4-BE49-F238E27FC236}">
              <a16:creationId xmlns="" xmlns:a16="http://schemas.microsoft.com/office/drawing/2014/main" id="{00000000-0008-0000-03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5049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4</xdr:row>
      <xdr:rowOff>0</xdr:rowOff>
    </xdr:from>
    <xdr:ext cx="133350" cy="9525"/>
    <xdr:pic>
      <xdr:nvPicPr>
        <xdr:cNvPr id="47" name="图片 16" descr="2_1">
          <a:extLst>
            <a:ext uri="{FF2B5EF4-FFF2-40B4-BE49-F238E27FC236}">
              <a16:creationId xmlns="" xmlns:a16="http://schemas.microsoft.com/office/drawing/2014/main" id="{00000000-0008-0000-03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1620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4</xdr:row>
      <xdr:rowOff>0</xdr:rowOff>
    </xdr:from>
    <xdr:ext cx="123825" cy="9525"/>
    <xdr:pic>
      <xdr:nvPicPr>
        <xdr:cNvPr id="48" name="图片 17" descr="3">
          <a:extLst>
            <a:ext uri="{FF2B5EF4-FFF2-40B4-BE49-F238E27FC236}">
              <a16:creationId xmlns="" xmlns:a16="http://schemas.microsoft.com/office/drawing/2014/main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1620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4</xdr:row>
      <xdr:rowOff>0</xdr:rowOff>
    </xdr:from>
    <xdr:ext cx="38100" cy="9525"/>
    <xdr:pic>
      <xdr:nvPicPr>
        <xdr:cNvPr id="49" name="图片 18" descr="3_1">
          <a:extLst>
            <a:ext uri="{FF2B5EF4-FFF2-40B4-BE49-F238E27FC236}">
              <a16:creationId xmlns="" xmlns:a16="http://schemas.microsoft.com/office/drawing/2014/main" id="{00000000-0008-0000-03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1620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50" name="图片 16" descr="2_1">
          <a:extLst>
            <a:ext uri="{FF2B5EF4-FFF2-40B4-BE49-F238E27FC236}">
              <a16:creationId xmlns="" xmlns:a16="http://schemas.microsoft.com/office/drawing/2014/main" id="{00000000-0008-0000-03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35623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51" name="图片 17" descr="3">
          <a:extLst>
            <a:ext uri="{FF2B5EF4-FFF2-40B4-BE49-F238E27FC236}">
              <a16:creationId xmlns="" xmlns:a16="http://schemas.microsoft.com/office/drawing/2014/main" id="{00000000-0008-0000-03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35623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52" name="图片 18" descr="3_1">
          <a:extLst>
            <a:ext uri="{FF2B5EF4-FFF2-40B4-BE49-F238E27FC236}">
              <a16:creationId xmlns="" xmlns:a16="http://schemas.microsoft.com/office/drawing/2014/main" id="{00000000-0008-0000-03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35623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4</xdr:row>
      <xdr:rowOff>0</xdr:rowOff>
    </xdr:from>
    <xdr:ext cx="133350" cy="9525"/>
    <xdr:pic>
      <xdr:nvPicPr>
        <xdr:cNvPr id="53" name="图片 16" descr="2_1">
          <a:extLst>
            <a:ext uri="{FF2B5EF4-FFF2-40B4-BE49-F238E27FC236}">
              <a16:creationId xmlns="" xmlns:a16="http://schemas.microsoft.com/office/drawing/2014/main" id="{00000000-0008-0000-03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1620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4</xdr:row>
      <xdr:rowOff>0</xdr:rowOff>
    </xdr:from>
    <xdr:ext cx="123825" cy="9525"/>
    <xdr:pic>
      <xdr:nvPicPr>
        <xdr:cNvPr id="54" name="图片 17" descr="3">
          <a:extLst>
            <a:ext uri="{FF2B5EF4-FFF2-40B4-BE49-F238E27FC236}">
              <a16:creationId xmlns="" xmlns:a16="http://schemas.microsoft.com/office/drawing/2014/main" id="{00000000-0008-0000-03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1620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4</xdr:row>
      <xdr:rowOff>0</xdr:rowOff>
    </xdr:from>
    <xdr:ext cx="38100" cy="9525"/>
    <xdr:pic>
      <xdr:nvPicPr>
        <xdr:cNvPr id="55" name="图片 18" descr="3_1">
          <a:extLst>
            <a:ext uri="{FF2B5EF4-FFF2-40B4-BE49-F238E27FC236}">
              <a16:creationId xmlns="" xmlns:a16="http://schemas.microsoft.com/office/drawing/2014/main" id="{00000000-0008-0000-03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1620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68" name="图片 16" descr="2_1">
          <a:extLst>
            <a:ext uri="{FF2B5EF4-FFF2-40B4-BE49-F238E27FC236}">
              <a16:creationId xmlns="" xmlns:a16="http://schemas.microsoft.com/office/drawing/2014/main" id="{00000000-0008-0000-03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8478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69" name="图片 17" descr="3">
          <a:extLst>
            <a:ext uri="{FF2B5EF4-FFF2-40B4-BE49-F238E27FC236}">
              <a16:creationId xmlns="" xmlns:a16="http://schemas.microsoft.com/office/drawing/2014/main" id="{00000000-0008-0000-03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8478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70" name="图片 18" descr="3_1">
          <a:extLst>
            <a:ext uri="{FF2B5EF4-FFF2-40B4-BE49-F238E27FC236}">
              <a16:creationId xmlns="" xmlns:a16="http://schemas.microsoft.com/office/drawing/2014/main" id="{00000000-0008-0000-03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8478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4</xdr:row>
      <xdr:rowOff>0</xdr:rowOff>
    </xdr:from>
    <xdr:ext cx="133350" cy="9525"/>
    <xdr:pic>
      <xdr:nvPicPr>
        <xdr:cNvPr id="71" name="图片 16" descr="2_1">
          <a:extLst>
            <a:ext uri="{FF2B5EF4-FFF2-40B4-BE49-F238E27FC236}">
              <a16:creationId xmlns="" xmlns:a16="http://schemas.microsoft.com/office/drawing/2014/main" id="{00000000-0008-0000-03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1620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4</xdr:row>
      <xdr:rowOff>0</xdr:rowOff>
    </xdr:from>
    <xdr:ext cx="123825" cy="9525"/>
    <xdr:pic>
      <xdr:nvPicPr>
        <xdr:cNvPr id="72" name="图片 17" descr="3">
          <a:extLst>
            <a:ext uri="{FF2B5EF4-FFF2-40B4-BE49-F238E27FC236}">
              <a16:creationId xmlns="" xmlns:a16="http://schemas.microsoft.com/office/drawing/2014/main" id="{00000000-0008-0000-03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1620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4</xdr:row>
      <xdr:rowOff>0</xdr:rowOff>
    </xdr:from>
    <xdr:ext cx="38100" cy="9525"/>
    <xdr:pic>
      <xdr:nvPicPr>
        <xdr:cNvPr id="73" name="图片 18" descr="3_1">
          <a:extLst>
            <a:ext uri="{FF2B5EF4-FFF2-40B4-BE49-F238E27FC236}">
              <a16:creationId xmlns="" xmlns:a16="http://schemas.microsoft.com/office/drawing/2014/main" id="{00000000-0008-0000-03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1620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101" name="图片 16" descr="2_1">
          <a:extLst>
            <a:ext uri="{FF2B5EF4-FFF2-40B4-BE49-F238E27FC236}">
              <a16:creationId xmlns="" xmlns:a16="http://schemas.microsoft.com/office/drawing/2014/main" id="{00000000-0008-0000-03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5049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102" name="图片 17" descr="3">
          <a:extLst>
            <a:ext uri="{FF2B5EF4-FFF2-40B4-BE49-F238E27FC236}">
              <a16:creationId xmlns="" xmlns:a16="http://schemas.microsoft.com/office/drawing/2014/main" id="{00000000-0008-0000-03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5049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103" name="图片 18" descr="3_1">
          <a:extLst>
            <a:ext uri="{FF2B5EF4-FFF2-40B4-BE49-F238E27FC236}">
              <a16:creationId xmlns="" xmlns:a16="http://schemas.microsoft.com/office/drawing/2014/main" id="{00000000-0008-0000-03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5049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104" name="图片 16" descr="2_1">
          <a:extLst>
            <a:ext uri="{FF2B5EF4-FFF2-40B4-BE49-F238E27FC236}">
              <a16:creationId xmlns="" xmlns:a16="http://schemas.microsoft.com/office/drawing/2014/main" id="{00000000-0008-0000-03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8478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105" name="图片 17" descr="3">
          <a:extLst>
            <a:ext uri="{FF2B5EF4-FFF2-40B4-BE49-F238E27FC236}">
              <a16:creationId xmlns="" xmlns:a16="http://schemas.microsoft.com/office/drawing/2014/main" id="{00000000-0008-0000-03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8478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106" name="图片 18" descr="3_1">
          <a:extLst>
            <a:ext uri="{FF2B5EF4-FFF2-40B4-BE49-F238E27FC236}">
              <a16:creationId xmlns="" xmlns:a16="http://schemas.microsoft.com/office/drawing/2014/main" id="{00000000-0008-0000-03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8478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4</xdr:row>
      <xdr:rowOff>0</xdr:rowOff>
    </xdr:from>
    <xdr:ext cx="133350" cy="9525"/>
    <xdr:pic>
      <xdr:nvPicPr>
        <xdr:cNvPr id="212" name="图片 16" descr="2_1">
          <a:extLst>
            <a:ext uri="{FF2B5EF4-FFF2-40B4-BE49-F238E27FC236}">
              <a16:creationId xmlns="" xmlns:a16="http://schemas.microsoft.com/office/drawing/2014/main" id="{00000000-0008-0000-03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1620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4</xdr:row>
      <xdr:rowOff>0</xdr:rowOff>
    </xdr:from>
    <xdr:ext cx="123825" cy="9525"/>
    <xdr:pic>
      <xdr:nvPicPr>
        <xdr:cNvPr id="213" name="图片 17" descr="3">
          <a:extLst>
            <a:ext uri="{FF2B5EF4-FFF2-40B4-BE49-F238E27FC236}">
              <a16:creationId xmlns="" xmlns:a16="http://schemas.microsoft.com/office/drawing/2014/main" id="{00000000-0008-0000-03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1620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4</xdr:row>
      <xdr:rowOff>0</xdr:rowOff>
    </xdr:from>
    <xdr:ext cx="38100" cy="9525"/>
    <xdr:pic>
      <xdr:nvPicPr>
        <xdr:cNvPr id="214" name="图片 18" descr="3_1">
          <a:extLst>
            <a:ext uri="{FF2B5EF4-FFF2-40B4-BE49-F238E27FC236}">
              <a16:creationId xmlns="" xmlns:a16="http://schemas.microsoft.com/office/drawing/2014/main" id="{00000000-0008-0000-03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1620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302" name="图片 16" descr="2_1">
          <a:extLst>
            <a:ext uri="{FF2B5EF4-FFF2-40B4-BE49-F238E27FC236}">
              <a16:creationId xmlns="" xmlns:a16="http://schemas.microsoft.com/office/drawing/2014/main" id="{00000000-0008-0000-03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5049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303" name="图片 17" descr="3">
          <a:extLst>
            <a:ext uri="{FF2B5EF4-FFF2-40B4-BE49-F238E27FC236}">
              <a16:creationId xmlns="" xmlns:a16="http://schemas.microsoft.com/office/drawing/2014/main" id="{00000000-0008-0000-03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5049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304" name="图片 18" descr="3_1">
          <a:extLst>
            <a:ext uri="{FF2B5EF4-FFF2-40B4-BE49-F238E27FC236}">
              <a16:creationId xmlns="" xmlns:a16="http://schemas.microsoft.com/office/drawing/2014/main" id="{00000000-0008-0000-03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5049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4</xdr:row>
      <xdr:rowOff>0</xdr:rowOff>
    </xdr:from>
    <xdr:ext cx="133350" cy="9525"/>
    <xdr:pic>
      <xdr:nvPicPr>
        <xdr:cNvPr id="314" name="图片 16" descr="2_1">
          <a:extLst>
            <a:ext uri="{FF2B5EF4-FFF2-40B4-BE49-F238E27FC236}">
              <a16:creationId xmlns="" xmlns:a16="http://schemas.microsoft.com/office/drawing/2014/main" id="{00000000-0008-0000-03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1620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4</xdr:row>
      <xdr:rowOff>0</xdr:rowOff>
    </xdr:from>
    <xdr:ext cx="123825" cy="9525"/>
    <xdr:pic>
      <xdr:nvPicPr>
        <xdr:cNvPr id="315" name="图片 17" descr="3">
          <a:extLst>
            <a:ext uri="{FF2B5EF4-FFF2-40B4-BE49-F238E27FC236}">
              <a16:creationId xmlns="" xmlns:a16="http://schemas.microsoft.com/office/drawing/2014/main" id="{00000000-0008-0000-03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1620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4</xdr:row>
      <xdr:rowOff>0</xdr:rowOff>
    </xdr:from>
    <xdr:ext cx="38100" cy="9525"/>
    <xdr:pic>
      <xdr:nvPicPr>
        <xdr:cNvPr id="316" name="图片 18" descr="3_1">
          <a:extLst>
            <a:ext uri="{FF2B5EF4-FFF2-40B4-BE49-F238E27FC236}">
              <a16:creationId xmlns="" xmlns:a16="http://schemas.microsoft.com/office/drawing/2014/main" id="{00000000-0008-0000-03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1620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4</xdr:row>
      <xdr:rowOff>0</xdr:rowOff>
    </xdr:from>
    <xdr:ext cx="133350" cy="9525"/>
    <xdr:pic>
      <xdr:nvPicPr>
        <xdr:cNvPr id="320" name="图片 16" descr="2_1">
          <a:extLst>
            <a:ext uri="{FF2B5EF4-FFF2-40B4-BE49-F238E27FC236}">
              <a16:creationId xmlns="" xmlns:a16="http://schemas.microsoft.com/office/drawing/2014/main" id="{00000000-0008-0000-03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1620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4</xdr:row>
      <xdr:rowOff>0</xdr:rowOff>
    </xdr:from>
    <xdr:ext cx="123825" cy="9525"/>
    <xdr:pic>
      <xdr:nvPicPr>
        <xdr:cNvPr id="321" name="图片 17" descr="3">
          <a:extLst>
            <a:ext uri="{FF2B5EF4-FFF2-40B4-BE49-F238E27FC236}">
              <a16:creationId xmlns="" xmlns:a16="http://schemas.microsoft.com/office/drawing/2014/main" id="{00000000-0008-0000-03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1620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4</xdr:row>
      <xdr:rowOff>0</xdr:rowOff>
    </xdr:from>
    <xdr:ext cx="38100" cy="9525"/>
    <xdr:pic>
      <xdr:nvPicPr>
        <xdr:cNvPr id="322" name="图片 18" descr="3_1">
          <a:extLst>
            <a:ext uri="{FF2B5EF4-FFF2-40B4-BE49-F238E27FC236}">
              <a16:creationId xmlns="" xmlns:a16="http://schemas.microsoft.com/office/drawing/2014/main" id="{00000000-0008-0000-03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1620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329" name="图片 16" descr="2_1">
          <a:extLst>
            <a:ext uri="{FF2B5EF4-FFF2-40B4-BE49-F238E27FC236}">
              <a16:creationId xmlns="" xmlns:a16="http://schemas.microsoft.com/office/drawing/2014/main" id="{00000000-0008-0000-03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8478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330" name="图片 17" descr="3">
          <a:extLst>
            <a:ext uri="{FF2B5EF4-FFF2-40B4-BE49-F238E27FC236}">
              <a16:creationId xmlns="" xmlns:a16="http://schemas.microsoft.com/office/drawing/2014/main" id="{00000000-0008-0000-03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8478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331" name="图片 18" descr="3_1">
          <a:extLst>
            <a:ext uri="{FF2B5EF4-FFF2-40B4-BE49-F238E27FC236}">
              <a16:creationId xmlns="" xmlns:a16="http://schemas.microsoft.com/office/drawing/2014/main" id="{00000000-0008-0000-03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8478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4</xdr:row>
      <xdr:rowOff>0</xdr:rowOff>
    </xdr:from>
    <xdr:ext cx="133350" cy="9525"/>
    <xdr:pic>
      <xdr:nvPicPr>
        <xdr:cNvPr id="332" name="图片 16" descr="2_1">
          <a:extLst>
            <a:ext uri="{FF2B5EF4-FFF2-40B4-BE49-F238E27FC236}">
              <a16:creationId xmlns="" xmlns:a16="http://schemas.microsoft.com/office/drawing/2014/main" id="{00000000-0008-0000-03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1620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4</xdr:row>
      <xdr:rowOff>0</xdr:rowOff>
    </xdr:from>
    <xdr:ext cx="123825" cy="9525"/>
    <xdr:pic>
      <xdr:nvPicPr>
        <xdr:cNvPr id="333" name="图片 17" descr="3">
          <a:extLst>
            <a:ext uri="{FF2B5EF4-FFF2-40B4-BE49-F238E27FC236}">
              <a16:creationId xmlns="" xmlns:a16="http://schemas.microsoft.com/office/drawing/2014/main" id="{00000000-0008-0000-03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1620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4</xdr:row>
      <xdr:rowOff>0</xdr:rowOff>
    </xdr:from>
    <xdr:ext cx="38100" cy="9525"/>
    <xdr:pic>
      <xdr:nvPicPr>
        <xdr:cNvPr id="334" name="图片 18" descr="3_1">
          <a:extLst>
            <a:ext uri="{FF2B5EF4-FFF2-40B4-BE49-F238E27FC236}">
              <a16:creationId xmlns="" xmlns:a16="http://schemas.microsoft.com/office/drawing/2014/main" id="{00000000-0008-0000-03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1620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335" name="图片 16" descr="2_1">
          <a:extLst>
            <a:ext uri="{FF2B5EF4-FFF2-40B4-BE49-F238E27FC236}">
              <a16:creationId xmlns="" xmlns:a16="http://schemas.microsoft.com/office/drawing/2014/main" id="{00000000-0008-0000-03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5049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336" name="图片 17" descr="3">
          <a:extLst>
            <a:ext uri="{FF2B5EF4-FFF2-40B4-BE49-F238E27FC236}">
              <a16:creationId xmlns="" xmlns:a16="http://schemas.microsoft.com/office/drawing/2014/main" id="{00000000-0008-0000-03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5049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337" name="图片 18" descr="3_1">
          <a:extLst>
            <a:ext uri="{FF2B5EF4-FFF2-40B4-BE49-F238E27FC236}">
              <a16:creationId xmlns="" xmlns:a16="http://schemas.microsoft.com/office/drawing/2014/main" id="{00000000-0008-0000-03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5049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338" name="图片 16" descr="2_1">
          <a:extLst>
            <a:ext uri="{FF2B5EF4-FFF2-40B4-BE49-F238E27FC236}">
              <a16:creationId xmlns="" xmlns:a16="http://schemas.microsoft.com/office/drawing/2014/main" id="{00000000-0008-0000-03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8478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339" name="图片 17" descr="3">
          <a:extLst>
            <a:ext uri="{FF2B5EF4-FFF2-40B4-BE49-F238E27FC236}">
              <a16:creationId xmlns="" xmlns:a16="http://schemas.microsoft.com/office/drawing/2014/main" id="{00000000-0008-0000-03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8478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340" name="图片 18" descr="3_1">
          <a:extLst>
            <a:ext uri="{FF2B5EF4-FFF2-40B4-BE49-F238E27FC236}">
              <a16:creationId xmlns="" xmlns:a16="http://schemas.microsoft.com/office/drawing/2014/main" id="{00000000-0008-0000-03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8478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4</xdr:row>
      <xdr:rowOff>0</xdr:rowOff>
    </xdr:from>
    <xdr:ext cx="133350" cy="9525"/>
    <xdr:pic>
      <xdr:nvPicPr>
        <xdr:cNvPr id="341" name="图片 16" descr="2_1">
          <a:extLst>
            <a:ext uri="{FF2B5EF4-FFF2-40B4-BE49-F238E27FC236}">
              <a16:creationId xmlns="" xmlns:a16="http://schemas.microsoft.com/office/drawing/2014/main" id="{00000000-0008-0000-03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1620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4</xdr:row>
      <xdr:rowOff>0</xdr:rowOff>
    </xdr:from>
    <xdr:ext cx="123825" cy="9525"/>
    <xdr:pic>
      <xdr:nvPicPr>
        <xdr:cNvPr id="342" name="图片 17" descr="3">
          <a:extLst>
            <a:ext uri="{FF2B5EF4-FFF2-40B4-BE49-F238E27FC236}">
              <a16:creationId xmlns="" xmlns:a16="http://schemas.microsoft.com/office/drawing/2014/main" id="{00000000-0008-0000-03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1620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4</xdr:row>
      <xdr:rowOff>0</xdr:rowOff>
    </xdr:from>
    <xdr:ext cx="38100" cy="9525"/>
    <xdr:pic>
      <xdr:nvPicPr>
        <xdr:cNvPr id="343" name="图片 18" descr="3_1">
          <a:extLst>
            <a:ext uri="{FF2B5EF4-FFF2-40B4-BE49-F238E27FC236}">
              <a16:creationId xmlns="" xmlns:a16="http://schemas.microsoft.com/office/drawing/2014/main" id="{00000000-0008-0000-03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1620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344" name="图片 16" descr="2_1">
          <a:extLst>
            <a:ext uri="{FF2B5EF4-FFF2-40B4-BE49-F238E27FC236}">
              <a16:creationId xmlns="" xmlns:a16="http://schemas.microsoft.com/office/drawing/2014/main" id="{00000000-0008-0000-03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35623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345" name="图片 17" descr="3">
          <a:extLst>
            <a:ext uri="{FF2B5EF4-FFF2-40B4-BE49-F238E27FC236}">
              <a16:creationId xmlns="" xmlns:a16="http://schemas.microsoft.com/office/drawing/2014/main" id="{00000000-0008-0000-03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35623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346" name="图片 18" descr="3_1">
          <a:extLst>
            <a:ext uri="{FF2B5EF4-FFF2-40B4-BE49-F238E27FC236}">
              <a16:creationId xmlns="" xmlns:a16="http://schemas.microsoft.com/office/drawing/2014/main" id="{00000000-0008-0000-03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35623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347" name="图片 16" descr="2_1">
          <a:extLst>
            <a:ext uri="{FF2B5EF4-FFF2-40B4-BE49-F238E27FC236}">
              <a16:creationId xmlns="" xmlns:a16="http://schemas.microsoft.com/office/drawing/2014/main" id="{00000000-0008-0000-03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5049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348" name="图片 17" descr="3">
          <a:extLst>
            <a:ext uri="{FF2B5EF4-FFF2-40B4-BE49-F238E27FC236}">
              <a16:creationId xmlns="" xmlns:a16="http://schemas.microsoft.com/office/drawing/2014/main" id="{00000000-0008-0000-03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5049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349" name="图片 18" descr="3_1">
          <a:extLst>
            <a:ext uri="{FF2B5EF4-FFF2-40B4-BE49-F238E27FC236}">
              <a16:creationId xmlns="" xmlns:a16="http://schemas.microsoft.com/office/drawing/2014/main" id="{00000000-0008-0000-03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5049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4</xdr:row>
      <xdr:rowOff>0</xdr:rowOff>
    </xdr:from>
    <xdr:ext cx="133350" cy="9525"/>
    <xdr:pic>
      <xdr:nvPicPr>
        <xdr:cNvPr id="350" name="图片 16" descr="2_1">
          <a:extLst>
            <a:ext uri="{FF2B5EF4-FFF2-40B4-BE49-F238E27FC236}">
              <a16:creationId xmlns="" xmlns:a16="http://schemas.microsoft.com/office/drawing/2014/main" id="{00000000-0008-0000-03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1620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4</xdr:row>
      <xdr:rowOff>0</xdr:rowOff>
    </xdr:from>
    <xdr:ext cx="123825" cy="9525"/>
    <xdr:pic>
      <xdr:nvPicPr>
        <xdr:cNvPr id="351" name="图片 17" descr="3">
          <a:extLst>
            <a:ext uri="{FF2B5EF4-FFF2-40B4-BE49-F238E27FC236}">
              <a16:creationId xmlns="" xmlns:a16="http://schemas.microsoft.com/office/drawing/2014/main" id="{00000000-0008-0000-03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1620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4</xdr:row>
      <xdr:rowOff>0</xdr:rowOff>
    </xdr:from>
    <xdr:ext cx="38100" cy="9525"/>
    <xdr:pic>
      <xdr:nvPicPr>
        <xdr:cNvPr id="352" name="图片 18" descr="3_1">
          <a:extLst>
            <a:ext uri="{FF2B5EF4-FFF2-40B4-BE49-F238E27FC236}">
              <a16:creationId xmlns="" xmlns:a16="http://schemas.microsoft.com/office/drawing/2014/main" id="{00000000-0008-0000-03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1620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353" name="图片 16" descr="2_1">
          <a:extLst>
            <a:ext uri="{FF2B5EF4-FFF2-40B4-BE49-F238E27FC236}">
              <a16:creationId xmlns="" xmlns:a16="http://schemas.microsoft.com/office/drawing/2014/main" id="{00000000-0008-0000-03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35623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354" name="图片 17" descr="3">
          <a:extLst>
            <a:ext uri="{FF2B5EF4-FFF2-40B4-BE49-F238E27FC236}">
              <a16:creationId xmlns="" xmlns:a16="http://schemas.microsoft.com/office/drawing/2014/main" id="{00000000-0008-0000-03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35623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355" name="图片 18" descr="3_1">
          <a:extLst>
            <a:ext uri="{FF2B5EF4-FFF2-40B4-BE49-F238E27FC236}">
              <a16:creationId xmlns="" xmlns:a16="http://schemas.microsoft.com/office/drawing/2014/main" id="{00000000-0008-0000-03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35623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4</xdr:row>
      <xdr:rowOff>0</xdr:rowOff>
    </xdr:from>
    <xdr:ext cx="133350" cy="9525"/>
    <xdr:pic>
      <xdr:nvPicPr>
        <xdr:cNvPr id="356" name="图片 16" descr="2_1">
          <a:extLst>
            <a:ext uri="{FF2B5EF4-FFF2-40B4-BE49-F238E27FC236}">
              <a16:creationId xmlns="" xmlns:a16="http://schemas.microsoft.com/office/drawing/2014/main" id="{00000000-0008-0000-03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1620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4</xdr:row>
      <xdr:rowOff>0</xdr:rowOff>
    </xdr:from>
    <xdr:ext cx="123825" cy="9525"/>
    <xdr:pic>
      <xdr:nvPicPr>
        <xdr:cNvPr id="357" name="图片 17" descr="3">
          <a:extLst>
            <a:ext uri="{FF2B5EF4-FFF2-40B4-BE49-F238E27FC236}">
              <a16:creationId xmlns="" xmlns:a16="http://schemas.microsoft.com/office/drawing/2014/main" id="{00000000-0008-0000-03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1620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4</xdr:row>
      <xdr:rowOff>0</xdr:rowOff>
    </xdr:from>
    <xdr:ext cx="38100" cy="9525"/>
    <xdr:pic>
      <xdr:nvPicPr>
        <xdr:cNvPr id="358" name="图片 18" descr="3_1">
          <a:extLst>
            <a:ext uri="{FF2B5EF4-FFF2-40B4-BE49-F238E27FC236}">
              <a16:creationId xmlns="" xmlns:a16="http://schemas.microsoft.com/office/drawing/2014/main" id="{00000000-0008-0000-03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1620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359" name="图片 16" descr="2_1">
          <a:extLst>
            <a:ext uri="{FF2B5EF4-FFF2-40B4-BE49-F238E27FC236}">
              <a16:creationId xmlns="" xmlns:a16="http://schemas.microsoft.com/office/drawing/2014/main" id="{00000000-0008-0000-03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8478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360" name="图片 17" descr="3">
          <a:extLst>
            <a:ext uri="{FF2B5EF4-FFF2-40B4-BE49-F238E27FC236}">
              <a16:creationId xmlns="" xmlns:a16="http://schemas.microsoft.com/office/drawing/2014/main" id="{00000000-0008-0000-03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8478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361" name="图片 18" descr="3_1">
          <a:extLst>
            <a:ext uri="{FF2B5EF4-FFF2-40B4-BE49-F238E27FC236}">
              <a16:creationId xmlns="" xmlns:a16="http://schemas.microsoft.com/office/drawing/2014/main" id="{00000000-0008-0000-03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8478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4</xdr:row>
      <xdr:rowOff>0</xdr:rowOff>
    </xdr:from>
    <xdr:ext cx="133350" cy="9525"/>
    <xdr:pic>
      <xdr:nvPicPr>
        <xdr:cNvPr id="362" name="图片 16" descr="2_1">
          <a:extLst>
            <a:ext uri="{FF2B5EF4-FFF2-40B4-BE49-F238E27FC236}">
              <a16:creationId xmlns="" xmlns:a16="http://schemas.microsoft.com/office/drawing/2014/main" id="{00000000-0008-0000-03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1620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4</xdr:row>
      <xdr:rowOff>0</xdr:rowOff>
    </xdr:from>
    <xdr:ext cx="123825" cy="9525"/>
    <xdr:pic>
      <xdr:nvPicPr>
        <xdr:cNvPr id="363" name="图片 17" descr="3">
          <a:extLst>
            <a:ext uri="{FF2B5EF4-FFF2-40B4-BE49-F238E27FC236}">
              <a16:creationId xmlns="" xmlns:a16="http://schemas.microsoft.com/office/drawing/2014/main" id="{00000000-0008-0000-03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1620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4</xdr:row>
      <xdr:rowOff>0</xdr:rowOff>
    </xdr:from>
    <xdr:ext cx="38100" cy="9525"/>
    <xdr:pic>
      <xdr:nvPicPr>
        <xdr:cNvPr id="364" name="图片 18" descr="3_1">
          <a:extLst>
            <a:ext uri="{FF2B5EF4-FFF2-40B4-BE49-F238E27FC236}">
              <a16:creationId xmlns="" xmlns:a16="http://schemas.microsoft.com/office/drawing/2014/main" id="{00000000-0008-0000-03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1620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365" name="图片 16" descr="2_1">
          <a:extLst>
            <a:ext uri="{FF2B5EF4-FFF2-40B4-BE49-F238E27FC236}">
              <a16:creationId xmlns="" xmlns:a16="http://schemas.microsoft.com/office/drawing/2014/main" id="{00000000-0008-0000-03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5049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366" name="图片 17" descr="3">
          <a:extLst>
            <a:ext uri="{FF2B5EF4-FFF2-40B4-BE49-F238E27FC236}">
              <a16:creationId xmlns="" xmlns:a16="http://schemas.microsoft.com/office/drawing/2014/main" id="{00000000-0008-0000-03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5049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367" name="图片 18" descr="3_1">
          <a:extLst>
            <a:ext uri="{FF2B5EF4-FFF2-40B4-BE49-F238E27FC236}">
              <a16:creationId xmlns="" xmlns:a16="http://schemas.microsoft.com/office/drawing/2014/main" id="{00000000-0008-0000-03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5049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368" name="图片 16" descr="2_1">
          <a:extLst>
            <a:ext uri="{FF2B5EF4-FFF2-40B4-BE49-F238E27FC236}">
              <a16:creationId xmlns="" xmlns:a16="http://schemas.microsoft.com/office/drawing/2014/main" id="{00000000-0008-0000-03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8478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369" name="图片 17" descr="3">
          <a:extLst>
            <a:ext uri="{FF2B5EF4-FFF2-40B4-BE49-F238E27FC236}">
              <a16:creationId xmlns="" xmlns:a16="http://schemas.microsoft.com/office/drawing/2014/main" id="{00000000-0008-0000-03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8478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370" name="图片 18" descr="3_1">
          <a:extLst>
            <a:ext uri="{FF2B5EF4-FFF2-40B4-BE49-F238E27FC236}">
              <a16:creationId xmlns="" xmlns:a16="http://schemas.microsoft.com/office/drawing/2014/main" id="{00000000-0008-0000-03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8478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4</xdr:row>
      <xdr:rowOff>0</xdr:rowOff>
    </xdr:from>
    <xdr:ext cx="133350" cy="9525"/>
    <xdr:pic>
      <xdr:nvPicPr>
        <xdr:cNvPr id="374" name="图片 16" descr="2_1">
          <a:extLst>
            <a:ext uri="{FF2B5EF4-FFF2-40B4-BE49-F238E27FC236}">
              <a16:creationId xmlns="" xmlns:a16="http://schemas.microsoft.com/office/drawing/2014/main" id="{00000000-0008-0000-03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1620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4</xdr:row>
      <xdr:rowOff>0</xdr:rowOff>
    </xdr:from>
    <xdr:ext cx="123825" cy="9525"/>
    <xdr:pic>
      <xdr:nvPicPr>
        <xdr:cNvPr id="375" name="图片 17" descr="3">
          <a:extLst>
            <a:ext uri="{FF2B5EF4-FFF2-40B4-BE49-F238E27FC236}">
              <a16:creationId xmlns="" xmlns:a16="http://schemas.microsoft.com/office/drawing/2014/main" id="{00000000-0008-0000-03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1620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4</xdr:row>
      <xdr:rowOff>0</xdr:rowOff>
    </xdr:from>
    <xdr:ext cx="38100" cy="9525"/>
    <xdr:pic>
      <xdr:nvPicPr>
        <xdr:cNvPr id="376" name="图片 18" descr="3_1">
          <a:extLst>
            <a:ext uri="{FF2B5EF4-FFF2-40B4-BE49-F238E27FC236}">
              <a16:creationId xmlns="" xmlns:a16="http://schemas.microsoft.com/office/drawing/2014/main" id="{00000000-0008-0000-03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1620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377" name="图片 16" descr="2_1">
          <a:extLst>
            <a:ext uri="{FF2B5EF4-FFF2-40B4-BE49-F238E27FC236}">
              <a16:creationId xmlns="" xmlns:a16="http://schemas.microsoft.com/office/drawing/2014/main" id="{00000000-0008-0000-03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5049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378" name="图片 17" descr="3">
          <a:extLst>
            <a:ext uri="{FF2B5EF4-FFF2-40B4-BE49-F238E27FC236}">
              <a16:creationId xmlns="" xmlns:a16="http://schemas.microsoft.com/office/drawing/2014/main" id="{00000000-0008-0000-03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5049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379" name="图片 18" descr="3_1">
          <a:extLst>
            <a:ext uri="{FF2B5EF4-FFF2-40B4-BE49-F238E27FC236}">
              <a16:creationId xmlns="" xmlns:a16="http://schemas.microsoft.com/office/drawing/2014/main" id="{00000000-0008-0000-03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5049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4</xdr:row>
      <xdr:rowOff>0</xdr:rowOff>
    </xdr:from>
    <xdr:ext cx="133350" cy="9525"/>
    <xdr:pic>
      <xdr:nvPicPr>
        <xdr:cNvPr id="383" name="图片 16" descr="2_1">
          <a:extLst>
            <a:ext uri="{FF2B5EF4-FFF2-40B4-BE49-F238E27FC236}">
              <a16:creationId xmlns="" xmlns:a16="http://schemas.microsoft.com/office/drawing/2014/main" id="{00000000-0008-0000-03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1620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4</xdr:row>
      <xdr:rowOff>0</xdr:rowOff>
    </xdr:from>
    <xdr:ext cx="123825" cy="9525"/>
    <xdr:pic>
      <xdr:nvPicPr>
        <xdr:cNvPr id="384" name="图片 17" descr="3">
          <a:extLst>
            <a:ext uri="{FF2B5EF4-FFF2-40B4-BE49-F238E27FC236}">
              <a16:creationId xmlns="" xmlns:a16="http://schemas.microsoft.com/office/drawing/2014/main" id="{00000000-0008-0000-03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1620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4</xdr:row>
      <xdr:rowOff>0</xdr:rowOff>
    </xdr:from>
    <xdr:ext cx="38100" cy="9525"/>
    <xdr:pic>
      <xdr:nvPicPr>
        <xdr:cNvPr id="385" name="图片 18" descr="3_1">
          <a:extLst>
            <a:ext uri="{FF2B5EF4-FFF2-40B4-BE49-F238E27FC236}">
              <a16:creationId xmlns="" xmlns:a16="http://schemas.microsoft.com/office/drawing/2014/main" id="{00000000-0008-0000-03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1620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4</xdr:row>
      <xdr:rowOff>0</xdr:rowOff>
    </xdr:from>
    <xdr:ext cx="133350" cy="9525"/>
    <xdr:pic>
      <xdr:nvPicPr>
        <xdr:cNvPr id="386" name="图片 16" descr="2_1">
          <a:extLst>
            <a:ext uri="{FF2B5EF4-FFF2-40B4-BE49-F238E27FC236}">
              <a16:creationId xmlns="" xmlns:a16="http://schemas.microsoft.com/office/drawing/2014/main" id="{00000000-0008-0000-03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1620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4</xdr:row>
      <xdr:rowOff>0</xdr:rowOff>
    </xdr:from>
    <xdr:ext cx="123825" cy="9525"/>
    <xdr:pic>
      <xdr:nvPicPr>
        <xdr:cNvPr id="387" name="图片 17" descr="3">
          <a:extLst>
            <a:ext uri="{FF2B5EF4-FFF2-40B4-BE49-F238E27FC236}">
              <a16:creationId xmlns="" xmlns:a16="http://schemas.microsoft.com/office/drawing/2014/main" id="{00000000-0008-0000-03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1620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4</xdr:row>
      <xdr:rowOff>0</xdr:rowOff>
    </xdr:from>
    <xdr:ext cx="38100" cy="9525"/>
    <xdr:pic>
      <xdr:nvPicPr>
        <xdr:cNvPr id="388" name="图片 18" descr="3_1">
          <a:extLst>
            <a:ext uri="{FF2B5EF4-FFF2-40B4-BE49-F238E27FC236}">
              <a16:creationId xmlns="" xmlns:a16="http://schemas.microsoft.com/office/drawing/2014/main" id="{00000000-0008-0000-03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1620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389" name="图片 16" descr="2_1">
          <a:extLst>
            <a:ext uri="{FF2B5EF4-FFF2-40B4-BE49-F238E27FC236}">
              <a16:creationId xmlns="" xmlns:a16="http://schemas.microsoft.com/office/drawing/2014/main" id="{00000000-0008-0000-03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8478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390" name="图片 17" descr="3">
          <a:extLst>
            <a:ext uri="{FF2B5EF4-FFF2-40B4-BE49-F238E27FC236}">
              <a16:creationId xmlns="" xmlns:a16="http://schemas.microsoft.com/office/drawing/2014/main" id="{00000000-0008-0000-03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8478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391" name="图片 18" descr="3_1">
          <a:extLst>
            <a:ext uri="{FF2B5EF4-FFF2-40B4-BE49-F238E27FC236}">
              <a16:creationId xmlns="" xmlns:a16="http://schemas.microsoft.com/office/drawing/2014/main" id="{00000000-0008-0000-03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8478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4</xdr:row>
      <xdr:rowOff>0</xdr:rowOff>
    </xdr:from>
    <xdr:ext cx="133350" cy="9525"/>
    <xdr:pic>
      <xdr:nvPicPr>
        <xdr:cNvPr id="392" name="图片 16" descr="2_1">
          <a:extLst>
            <a:ext uri="{FF2B5EF4-FFF2-40B4-BE49-F238E27FC236}">
              <a16:creationId xmlns="" xmlns:a16="http://schemas.microsoft.com/office/drawing/2014/main" id="{00000000-0008-0000-03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1620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4</xdr:row>
      <xdr:rowOff>0</xdr:rowOff>
    </xdr:from>
    <xdr:ext cx="123825" cy="9525"/>
    <xdr:pic>
      <xdr:nvPicPr>
        <xdr:cNvPr id="393" name="图片 17" descr="3">
          <a:extLst>
            <a:ext uri="{FF2B5EF4-FFF2-40B4-BE49-F238E27FC236}">
              <a16:creationId xmlns="" xmlns:a16="http://schemas.microsoft.com/office/drawing/2014/main" id="{00000000-0008-0000-03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1620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4</xdr:row>
      <xdr:rowOff>0</xdr:rowOff>
    </xdr:from>
    <xdr:ext cx="38100" cy="9525"/>
    <xdr:pic>
      <xdr:nvPicPr>
        <xdr:cNvPr id="394" name="图片 18" descr="3_1">
          <a:extLst>
            <a:ext uri="{FF2B5EF4-FFF2-40B4-BE49-F238E27FC236}">
              <a16:creationId xmlns="" xmlns:a16="http://schemas.microsoft.com/office/drawing/2014/main" id="{00000000-0008-0000-03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1620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395" name="图片 16" descr="2_1">
          <a:extLst>
            <a:ext uri="{FF2B5EF4-FFF2-40B4-BE49-F238E27FC236}">
              <a16:creationId xmlns="" xmlns:a16="http://schemas.microsoft.com/office/drawing/2014/main" id="{00000000-0008-0000-03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5049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396" name="图片 17" descr="3">
          <a:extLst>
            <a:ext uri="{FF2B5EF4-FFF2-40B4-BE49-F238E27FC236}">
              <a16:creationId xmlns="" xmlns:a16="http://schemas.microsoft.com/office/drawing/2014/main" id="{00000000-0008-0000-03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5049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397" name="图片 18" descr="3_1">
          <a:extLst>
            <a:ext uri="{FF2B5EF4-FFF2-40B4-BE49-F238E27FC236}">
              <a16:creationId xmlns="" xmlns:a16="http://schemas.microsoft.com/office/drawing/2014/main" id="{00000000-0008-0000-03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5049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398" name="图片 16" descr="2_1">
          <a:extLst>
            <a:ext uri="{FF2B5EF4-FFF2-40B4-BE49-F238E27FC236}">
              <a16:creationId xmlns="" xmlns:a16="http://schemas.microsoft.com/office/drawing/2014/main" id="{00000000-0008-0000-03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8478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399" name="图片 17" descr="3">
          <a:extLst>
            <a:ext uri="{FF2B5EF4-FFF2-40B4-BE49-F238E27FC236}">
              <a16:creationId xmlns="" xmlns:a16="http://schemas.microsoft.com/office/drawing/2014/main" id="{00000000-0008-0000-03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8478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400" name="图片 18" descr="3_1">
          <a:extLst>
            <a:ext uri="{FF2B5EF4-FFF2-40B4-BE49-F238E27FC236}">
              <a16:creationId xmlns="" xmlns:a16="http://schemas.microsoft.com/office/drawing/2014/main" id="{00000000-0008-0000-03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8478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4</xdr:row>
      <xdr:rowOff>0</xdr:rowOff>
    </xdr:from>
    <xdr:ext cx="133350" cy="9525"/>
    <xdr:pic>
      <xdr:nvPicPr>
        <xdr:cNvPr id="401" name="图片 16" descr="2_1">
          <a:extLst>
            <a:ext uri="{FF2B5EF4-FFF2-40B4-BE49-F238E27FC236}">
              <a16:creationId xmlns="" xmlns:a16="http://schemas.microsoft.com/office/drawing/2014/main" id="{00000000-0008-0000-03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1620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4</xdr:row>
      <xdr:rowOff>0</xdr:rowOff>
    </xdr:from>
    <xdr:ext cx="123825" cy="9525"/>
    <xdr:pic>
      <xdr:nvPicPr>
        <xdr:cNvPr id="402" name="图片 17" descr="3">
          <a:extLst>
            <a:ext uri="{FF2B5EF4-FFF2-40B4-BE49-F238E27FC236}">
              <a16:creationId xmlns="" xmlns:a16="http://schemas.microsoft.com/office/drawing/2014/main" id="{00000000-0008-0000-03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1620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4</xdr:row>
      <xdr:rowOff>0</xdr:rowOff>
    </xdr:from>
    <xdr:ext cx="38100" cy="9525"/>
    <xdr:pic>
      <xdr:nvPicPr>
        <xdr:cNvPr id="403" name="图片 18" descr="3_1">
          <a:extLst>
            <a:ext uri="{FF2B5EF4-FFF2-40B4-BE49-F238E27FC236}">
              <a16:creationId xmlns="" xmlns:a16="http://schemas.microsoft.com/office/drawing/2014/main" id="{00000000-0008-0000-03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1620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404" name="图片 16" descr="2_1">
          <a:extLst>
            <a:ext uri="{FF2B5EF4-FFF2-40B4-BE49-F238E27FC236}">
              <a16:creationId xmlns="" xmlns:a16="http://schemas.microsoft.com/office/drawing/2014/main" id="{00000000-0008-0000-03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35623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405" name="图片 17" descr="3">
          <a:extLst>
            <a:ext uri="{FF2B5EF4-FFF2-40B4-BE49-F238E27FC236}">
              <a16:creationId xmlns="" xmlns:a16="http://schemas.microsoft.com/office/drawing/2014/main" id="{00000000-0008-0000-03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35623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406" name="图片 18" descr="3_1">
          <a:extLst>
            <a:ext uri="{FF2B5EF4-FFF2-40B4-BE49-F238E27FC236}">
              <a16:creationId xmlns="" xmlns:a16="http://schemas.microsoft.com/office/drawing/2014/main" id="{00000000-0008-0000-03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35623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407" name="图片 16" descr="2_1">
          <a:extLst>
            <a:ext uri="{FF2B5EF4-FFF2-40B4-BE49-F238E27FC236}">
              <a16:creationId xmlns="" xmlns:a16="http://schemas.microsoft.com/office/drawing/2014/main" id="{00000000-0008-0000-03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5049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408" name="图片 17" descr="3">
          <a:extLst>
            <a:ext uri="{FF2B5EF4-FFF2-40B4-BE49-F238E27FC236}">
              <a16:creationId xmlns="" xmlns:a16="http://schemas.microsoft.com/office/drawing/2014/main" id="{00000000-0008-0000-03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5049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409" name="图片 18" descr="3_1">
          <a:extLst>
            <a:ext uri="{FF2B5EF4-FFF2-40B4-BE49-F238E27FC236}">
              <a16:creationId xmlns="" xmlns:a16="http://schemas.microsoft.com/office/drawing/2014/main" id="{00000000-0008-0000-03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5049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4</xdr:row>
      <xdr:rowOff>0</xdr:rowOff>
    </xdr:from>
    <xdr:ext cx="133350" cy="9525"/>
    <xdr:pic>
      <xdr:nvPicPr>
        <xdr:cNvPr id="410" name="图片 16" descr="2_1">
          <a:extLst>
            <a:ext uri="{FF2B5EF4-FFF2-40B4-BE49-F238E27FC236}">
              <a16:creationId xmlns="" xmlns:a16="http://schemas.microsoft.com/office/drawing/2014/main" id="{00000000-0008-0000-03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1620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4</xdr:row>
      <xdr:rowOff>0</xdr:rowOff>
    </xdr:from>
    <xdr:ext cx="123825" cy="9525"/>
    <xdr:pic>
      <xdr:nvPicPr>
        <xdr:cNvPr id="411" name="图片 17" descr="3">
          <a:extLst>
            <a:ext uri="{FF2B5EF4-FFF2-40B4-BE49-F238E27FC236}">
              <a16:creationId xmlns="" xmlns:a16="http://schemas.microsoft.com/office/drawing/2014/main" id="{00000000-0008-0000-03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1620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4</xdr:row>
      <xdr:rowOff>0</xdr:rowOff>
    </xdr:from>
    <xdr:ext cx="38100" cy="9525"/>
    <xdr:pic>
      <xdr:nvPicPr>
        <xdr:cNvPr id="412" name="图片 18" descr="3_1">
          <a:extLst>
            <a:ext uri="{FF2B5EF4-FFF2-40B4-BE49-F238E27FC236}">
              <a16:creationId xmlns="" xmlns:a16="http://schemas.microsoft.com/office/drawing/2014/main" id="{00000000-0008-0000-03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1620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413" name="图片 16" descr="2_1">
          <a:extLst>
            <a:ext uri="{FF2B5EF4-FFF2-40B4-BE49-F238E27FC236}">
              <a16:creationId xmlns="" xmlns:a16="http://schemas.microsoft.com/office/drawing/2014/main" id="{00000000-0008-0000-03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35623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414" name="图片 17" descr="3">
          <a:extLst>
            <a:ext uri="{FF2B5EF4-FFF2-40B4-BE49-F238E27FC236}">
              <a16:creationId xmlns="" xmlns:a16="http://schemas.microsoft.com/office/drawing/2014/main" id="{00000000-0008-0000-03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35623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415" name="图片 18" descr="3_1">
          <a:extLst>
            <a:ext uri="{FF2B5EF4-FFF2-40B4-BE49-F238E27FC236}">
              <a16:creationId xmlns="" xmlns:a16="http://schemas.microsoft.com/office/drawing/2014/main" id="{00000000-0008-0000-03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35623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4</xdr:row>
      <xdr:rowOff>0</xdr:rowOff>
    </xdr:from>
    <xdr:ext cx="133350" cy="9525"/>
    <xdr:pic>
      <xdr:nvPicPr>
        <xdr:cNvPr id="416" name="图片 16" descr="2_1">
          <a:extLst>
            <a:ext uri="{FF2B5EF4-FFF2-40B4-BE49-F238E27FC236}">
              <a16:creationId xmlns="" xmlns:a16="http://schemas.microsoft.com/office/drawing/2014/main" id="{00000000-0008-0000-03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1620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4</xdr:row>
      <xdr:rowOff>0</xdr:rowOff>
    </xdr:from>
    <xdr:ext cx="123825" cy="9525"/>
    <xdr:pic>
      <xdr:nvPicPr>
        <xdr:cNvPr id="417" name="图片 17" descr="3">
          <a:extLst>
            <a:ext uri="{FF2B5EF4-FFF2-40B4-BE49-F238E27FC236}">
              <a16:creationId xmlns="" xmlns:a16="http://schemas.microsoft.com/office/drawing/2014/main" id="{00000000-0008-0000-03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1620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4</xdr:row>
      <xdr:rowOff>0</xdr:rowOff>
    </xdr:from>
    <xdr:ext cx="38100" cy="9525"/>
    <xdr:pic>
      <xdr:nvPicPr>
        <xdr:cNvPr id="418" name="图片 18" descr="3_1">
          <a:extLst>
            <a:ext uri="{FF2B5EF4-FFF2-40B4-BE49-F238E27FC236}">
              <a16:creationId xmlns="" xmlns:a16="http://schemas.microsoft.com/office/drawing/2014/main" id="{00000000-0008-0000-03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1620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419" name="图片 16" descr="2_1">
          <a:extLst>
            <a:ext uri="{FF2B5EF4-FFF2-40B4-BE49-F238E27FC236}">
              <a16:creationId xmlns="" xmlns:a16="http://schemas.microsoft.com/office/drawing/2014/main" id="{00000000-0008-0000-03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8478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420" name="图片 17" descr="3">
          <a:extLst>
            <a:ext uri="{FF2B5EF4-FFF2-40B4-BE49-F238E27FC236}">
              <a16:creationId xmlns="" xmlns:a16="http://schemas.microsoft.com/office/drawing/2014/main" id="{00000000-0008-0000-03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8478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421" name="图片 18" descr="3_1">
          <a:extLst>
            <a:ext uri="{FF2B5EF4-FFF2-40B4-BE49-F238E27FC236}">
              <a16:creationId xmlns="" xmlns:a16="http://schemas.microsoft.com/office/drawing/2014/main" id="{00000000-0008-0000-03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8478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4</xdr:row>
      <xdr:rowOff>0</xdr:rowOff>
    </xdr:from>
    <xdr:ext cx="133350" cy="9525"/>
    <xdr:pic>
      <xdr:nvPicPr>
        <xdr:cNvPr id="422" name="图片 16" descr="2_1">
          <a:extLst>
            <a:ext uri="{FF2B5EF4-FFF2-40B4-BE49-F238E27FC236}">
              <a16:creationId xmlns="" xmlns:a16="http://schemas.microsoft.com/office/drawing/2014/main" id="{00000000-0008-0000-03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1620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4</xdr:row>
      <xdr:rowOff>0</xdr:rowOff>
    </xdr:from>
    <xdr:ext cx="123825" cy="9525"/>
    <xdr:pic>
      <xdr:nvPicPr>
        <xdr:cNvPr id="423" name="图片 17" descr="3">
          <a:extLst>
            <a:ext uri="{FF2B5EF4-FFF2-40B4-BE49-F238E27FC236}">
              <a16:creationId xmlns="" xmlns:a16="http://schemas.microsoft.com/office/drawing/2014/main" id="{00000000-0008-0000-03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1620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4</xdr:row>
      <xdr:rowOff>0</xdr:rowOff>
    </xdr:from>
    <xdr:ext cx="38100" cy="9525"/>
    <xdr:pic>
      <xdr:nvPicPr>
        <xdr:cNvPr id="424" name="图片 18" descr="3_1">
          <a:extLst>
            <a:ext uri="{FF2B5EF4-FFF2-40B4-BE49-F238E27FC236}">
              <a16:creationId xmlns="" xmlns:a16="http://schemas.microsoft.com/office/drawing/2014/main" id="{00000000-0008-0000-03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1620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425" name="图片 16" descr="2_1">
          <a:extLst>
            <a:ext uri="{FF2B5EF4-FFF2-40B4-BE49-F238E27FC236}">
              <a16:creationId xmlns="" xmlns:a16="http://schemas.microsoft.com/office/drawing/2014/main" id="{00000000-0008-0000-03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5049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426" name="图片 17" descr="3">
          <a:extLst>
            <a:ext uri="{FF2B5EF4-FFF2-40B4-BE49-F238E27FC236}">
              <a16:creationId xmlns="" xmlns:a16="http://schemas.microsoft.com/office/drawing/2014/main" id="{00000000-0008-0000-03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5049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427" name="图片 18" descr="3_1">
          <a:extLst>
            <a:ext uri="{FF2B5EF4-FFF2-40B4-BE49-F238E27FC236}">
              <a16:creationId xmlns="" xmlns:a16="http://schemas.microsoft.com/office/drawing/2014/main" id="{00000000-0008-0000-03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5049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428" name="图片 16" descr="2_1">
          <a:extLst>
            <a:ext uri="{FF2B5EF4-FFF2-40B4-BE49-F238E27FC236}">
              <a16:creationId xmlns="" xmlns:a16="http://schemas.microsoft.com/office/drawing/2014/main" id="{00000000-0008-0000-03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8478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429" name="图片 17" descr="3">
          <a:extLst>
            <a:ext uri="{FF2B5EF4-FFF2-40B4-BE49-F238E27FC236}">
              <a16:creationId xmlns="" xmlns:a16="http://schemas.microsoft.com/office/drawing/2014/main" id="{00000000-0008-0000-03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8478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430" name="图片 18" descr="3_1">
          <a:extLst>
            <a:ext uri="{FF2B5EF4-FFF2-40B4-BE49-F238E27FC236}">
              <a16:creationId xmlns="" xmlns:a16="http://schemas.microsoft.com/office/drawing/2014/main" id="{00000000-0008-0000-03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8478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4</xdr:row>
      <xdr:rowOff>0</xdr:rowOff>
    </xdr:from>
    <xdr:ext cx="133350" cy="9525"/>
    <xdr:pic>
      <xdr:nvPicPr>
        <xdr:cNvPr id="434" name="图片 16" descr="2_1">
          <a:extLst>
            <a:ext uri="{FF2B5EF4-FFF2-40B4-BE49-F238E27FC236}">
              <a16:creationId xmlns="" xmlns:a16="http://schemas.microsoft.com/office/drawing/2014/main" id="{00000000-0008-0000-03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1620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4</xdr:row>
      <xdr:rowOff>0</xdr:rowOff>
    </xdr:from>
    <xdr:ext cx="123825" cy="9525"/>
    <xdr:pic>
      <xdr:nvPicPr>
        <xdr:cNvPr id="435" name="图片 17" descr="3">
          <a:extLst>
            <a:ext uri="{FF2B5EF4-FFF2-40B4-BE49-F238E27FC236}">
              <a16:creationId xmlns="" xmlns:a16="http://schemas.microsoft.com/office/drawing/2014/main" id="{00000000-0008-0000-03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1620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4</xdr:row>
      <xdr:rowOff>0</xdr:rowOff>
    </xdr:from>
    <xdr:ext cx="38100" cy="9525"/>
    <xdr:pic>
      <xdr:nvPicPr>
        <xdr:cNvPr id="436" name="图片 18" descr="3_1">
          <a:extLst>
            <a:ext uri="{FF2B5EF4-FFF2-40B4-BE49-F238E27FC236}">
              <a16:creationId xmlns="" xmlns:a16="http://schemas.microsoft.com/office/drawing/2014/main" id="{00000000-0008-0000-03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1620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437" name="图片 16" descr="2_1">
          <a:extLst>
            <a:ext uri="{FF2B5EF4-FFF2-40B4-BE49-F238E27FC236}">
              <a16:creationId xmlns="" xmlns:a16="http://schemas.microsoft.com/office/drawing/2014/main" id="{00000000-0008-0000-03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5049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438" name="图片 17" descr="3">
          <a:extLst>
            <a:ext uri="{FF2B5EF4-FFF2-40B4-BE49-F238E27FC236}">
              <a16:creationId xmlns="" xmlns:a16="http://schemas.microsoft.com/office/drawing/2014/main" id="{00000000-0008-0000-03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5049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439" name="图片 18" descr="3_1">
          <a:extLst>
            <a:ext uri="{FF2B5EF4-FFF2-40B4-BE49-F238E27FC236}">
              <a16:creationId xmlns="" xmlns:a16="http://schemas.microsoft.com/office/drawing/2014/main" id="{00000000-0008-0000-03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5049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4</xdr:row>
      <xdr:rowOff>0</xdr:rowOff>
    </xdr:from>
    <xdr:ext cx="133350" cy="9525"/>
    <xdr:pic>
      <xdr:nvPicPr>
        <xdr:cNvPr id="443" name="图片 16" descr="2_1">
          <a:extLst>
            <a:ext uri="{FF2B5EF4-FFF2-40B4-BE49-F238E27FC236}">
              <a16:creationId xmlns="" xmlns:a16="http://schemas.microsoft.com/office/drawing/2014/main" id="{00000000-0008-0000-03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1620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4</xdr:row>
      <xdr:rowOff>0</xdr:rowOff>
    </xdr:from>
    <xdr:ext cx="123825" cy="9525"/>
    <xdr:pic>
      <xdr:nvPicPr>
        <xdr:cNvPr id="444" name="图片 17" descr="3">
          <a:extLst>
            <a:ext uri="{FF2B5EF4-FFF2-40B4-BE49-F238E27FC236}">
              <a16:creationId xmlns="" xmlns:a16="http://schemas.microsoft.com/office/drawing/2014/main" id="{00000000-0008-0000-03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1620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4</xdr:row>
      <xdr:rowOff>0</xdr:rowOff>
    </xdr:from>
    <xdr:ext cx="38100" cy="9525"/>
    <xdr:pic>
      <xdr:nvPicPr>
        <xdr:cNvPr id="445" name="图片 18" descr="3_1">
          <a:extLst>
            <a:ext uri="{FF2B5EF4-FFF2-40B4-BE49-F238E27FC236}">
              <a16:creationId xmlns="" xmlns:a16="http://schemas.microsoft.com/office/drawing/2014/main" id="{00000000-0008-0000-03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1620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4</xdr:row>
      <xdr:rowOff>0</xdr:rowOff>
    </xdr:from>
    <xdr:ext cx="133350" cy="9525"/>
    <xdr:pic>
      <xdr:nvPicPr>
        <xdr:cNvPr id="446" name="图片 16" descr="2_1">
          <a:extLst>
            <a:ext uri="{FF2B5EF4-FFF2-40B4-BE49-F238E27FC236}">
              <a16:creationId xmlns="" xmlns:a16="http://schemas.microsoft.com/office/drawing/2014/main" id="{00000000-0008-0000-03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1620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4</xdr:row>
      <xdr:rowOff>0</xdr:rowOff>
    </xdr:from>
    <xdr:ext cx="123825" cy="9525"/>
    <xdr:pic>
      <xdr:nvPicPr>
        <xdr:cNvPr id="447" name="图片 17" descr="3">
          <a:extLst>
            <a:ext uri="{FF2B5EF4-FFF2-40B4-BE49-F238E27FC236}">
              <a16:creationId xmlns="" xmlns:a16="http://schemas.microsoft.com/office/drawing/2014/main" id="{00000000-0008-0000-03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1620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4</xdr:row>
      <xdr:rowOff>0</xdr:rowOff>
    </xdr:from>
    <xdr:ext cx="38100" cy="9525"/>
    <xdr:pic>
      <xdr:nvPicPr>
        <xdr:cNvPr id="448" name="图片 18" descr="3_1">
          <a:extLst>
            <a:ext uri="{FF2B5EF4-FFF2-40B4-BE49-F238E27FC236}">
              <a16:creationId xmlns="" xmlns:a16="http://schemas.microsoft.com/office/drawing/2014/main" id="{00000000-0008-0000-03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1620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449" name="图片 16" descr="2_1">
          <a:extLst>
            <a:ext uri="{FF2B5EF4-FFF2-40B4-BE49-F238E27FC236}">
              <a16:creationId xmlns="" xmlns:a16="http://schemas.microsoft.com/office/drawing/2014/main" id="{00000000-0008-0000-03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8478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450" name="图片 17" descr="3">
          <a:extLst>
            <a:ext uri="{FF2B5EF4-FFF2-40B4-BE49-F238E27FC236}">
              <a16:creationId xmlns="" xmlns:a16="http://schemas.microsoft.com/office/drawing/2014/main" id="{00000000-0008-0000-03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8478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451" name="图片 18" descr="3_1">
          <a:extLst>
            <a:ext uri="{FF2B5EF4-FFF2-40B4-BE49-F238E27FC236}">
              <a16:creationId xmlns="" xmlns:a16="http://schemas.microsoft.com/office/drawing/2014/main" id="{00000000-0008-0000-03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8478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4</xdr:row>
      <xdr:rowOff>0</xdr:rowOff>
    </xdr:from>
    <xdr:ext cx="133350" cy="9525"/>
    <xdr:pic>
      <xdr:nvPicPr>
        <xdr:cNvPr id="452" name="图片 16" descr="2_1">
          <a:extLst>
            <a:ext uri="{FF2B5EF4-FFF2-40B4-BE49-F238E27FC236}">
              <a16:creationId xmlns="" xmlns:a16="http://schemas.microsoft.com/office/drawing/2014/main" id="{00000000-0008-0000-03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1620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4</xdr:row>
      <xdr:rowOff>0</xdr:rowOff>
    </xdr:from>
    <xdr:ext cx="123825" cy="9525"/>
    <xdr:pic>
      <xdr:nvPicPr>
        <xdr:cNvPr id="453" name="图片 17" descr="3">
          <a:extLst>
            <a:ext uri="{FF2B5EF4-FFF2-40B4-BE49-F238E27FC236}">
              <a16:creationId xmlns="" xmlns:a16="http://schemas.microsoft.com/office/drawing/2014/main" id="{00000000-0008-0000-03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1620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4</xdr:row>
      <xdr:rowOff>0</xdr:rowOff>
    </xdr:from>
    <xdr:ext cx="38100" cy="9525"/>
    <xdr:pic>
      <xdr:nvPicPr>
        <xdr:cNvPr id="454" name="图片 18" descr="3_1">
          <a:extLst>
            <a:ext uri="{FF2B5EF4-FFF2-40B4-BE49-F238E27FC236}">
              <a16:creationId xmlns="" xmlns:a16="http://schemas.microsoft.com/office/drawing/2014/main" id="{00000000-0008-0000-03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1620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455" name="图片 16" descr="2_1">
          <a:extLst>
            <a:ext uri="{FF2B5EF4-FFF2-40B4-BE49-F238E27FC236}">
              <a16:creationId xmlns="" xmlns:a16="http://schemas.microsoft.com/office/drawing/2014/main" id="{00000000-0008-0000-03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5049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456" name="图片 17" descr="3">
          <a:extLst>
            <a:ext uri="{FF2B5EF4-FFF2-40B4-BE49-F238E27FC236}">
              <a16:creationId xmlns="" xmlns:a16="http://schemas.microsoft.com/office/drawing/2014/main" id="{00000000-0008-0000-03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5049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457" name="图片 18" descr="3_1">
          <a:extLst>
            <a:ext uri="{FF2B5EF4-FFF2-40B4-BE49-F238E27FC236}">
              <a16:creationId xmlns="" xmlns:a16="http://schemas.microsoft.com/office/drawing/2014/main" id="{00000000-0008-0000-03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5049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5</xdr:row>
      <xdr:rowOff>0</xdr:rowOff>
    </xdr:from>
    <xdr:ext cx="133350" cy="9525"/>
    <xdr:pic>
      <xdr:nvPicPr>
        <xdr:cNvPr id="458" name="图片 16" descr="2_1">
          <a:extLst>
            <a:ext uri="{FF2B5EF4-FFF2-40B4-BE49-F238E27FC236}">
              <a16:creationId xmlns="" xmlns:a16="http://schemas.microsoft.com/office/drawing/2014/main" id="{00000000-0008-0000-03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8478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5</xdr:row>
      <xdr:rowOff>0</xdr:rowOff>
    </xdr:from>
    <xdr:ext cx="123825" cy="9525"/>
    <xdr:pic>
      <xdr:nvPicPr>
        <xdr:cNvPr id="459" name="图片 17" descr="3">
          <a:extLst>
            <a:ext uri="{FF2B5EF4-FFF2-40B4-BE49-F238E27FC236}">
              <a16:creationId xmlns="" xmlns:a16="http://schemas.microsoft.com/office/drawing/2014/main" id="{00000000-0008-0000-03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8478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5</xdr:row>
      <xdr:rowOff>0</xdr:rowOff>
    </xdr:from>
    <xdr:ext cx="38100" cy="9525"/>
    <xdr:pic>
      <xdr:nvPicPr>
        <xdr:cNvPr id="460" name="图片 18" descr="3_1">
          <a:extLst>
            <a:ext uri="{FF2B5EF4-FFF2-40B4-BE49-F238E27FC236}">
              <a16:creationId xmlns="" xmlns:a16="http://schemas.microsoft.com/office/drawing/2014/main" id="{00000000-0008-0000-03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8478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13</xdr:row>
      <xdr:rowOff>0</xdr:rowOff>
    </xdr:from>
    <xdr:ext cx="133350" cy="9525"/>
    <xdr:pic>
      <xdr:nvPicPr>
        <xdr:cNvPr id="479" name="图片 16" descr="2_1">
          <a:extLst>
            <a:ext uri="{FF2B5EF4-FFF2-40B4-BE49-F238E27FC236}">
              <a16:creationId xmlns="" xmlns:a16="http://schemas.microsoft.com/office/drawing/2014/main" id="{00000000-0008-0000-03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681291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13</xdr:row>
      <xdr:rowOff>0</xdr:rowOff>
    </xdr:from>
    <xdr:ext cx="123825" cy="9525"/>
    <xdr:pic>
      <xdr:nvPicPr>
        <xdr:cNvPr id="480" name="图片 17" descr="3">
          <a:extLst>
            <a:ext uri="{FF2B5EF4-FFF2-40B4-BE49-F238E27FC236}">
              <a16:creationId xmlns="" xmlns:a16="http://schemas.microsoft.com/office/drawing/2014/main" id="{00000000-0008-0000-03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681291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13</xdr:row>
      <xdr:rowOff>0</xdr:rowOff>
    </xdr:from>
    <xdr:ext cx="38100" cy="9525"/>
    <xdr:pic>
      <xdr:nvPicPr>
        <xdr:cNvPr id="481" name="图片 18" descr="3_1">
          <a:extLst>
            <a:ext uri="{FF2B5EF4-FFF2-40B4-BE49-F238E27FC236}">
              <a16:creationId xmlns="" xmlns:a16="http://schemas.microsoft.com/office/drawing/2014/main" id="{00000000-0008-0000-03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681291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14</xdr:row>
      <xdr:rowOff>0</xdr:rowOff>
    </xdr:from>
    <xdr:ext cx="133350" cy="9525"/>
    <xdr:pic>
      <xdr:nvPicPr>
        <xdr:cNvPr id="482" name="图片 16" descr="2_1">
          <a:extLst>
            <a:ext uri="{FF2B5EF4-FFF2-40B4-BE49-F238E27FC236}">
              <a16:creationId xmlns="" xmlns:a16="http://schemas.microsoft.com/office/drawing/2014/main" id="{00000000-0008-0000-03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715581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14</xdr:row>
      <xdr:rowOff>0</xdr:rowOff>
    </xdr:from>
    <xdr:ext cx="123825" cy="9525"/>
    <xdr:pic>
      <xdr:nvPicPr>
        <xdr:cNvPr id="483" name="图片 17" descr="3">
          <a:extLst>
            <a:ext uri="{FF2B5EF4-FFF2-40B4-BE49-F238E27FC236}">
              <a16:creationId xmlns="" xmlns:a16="http://schemas.microsoft.com/office/drawing/2014/main" id="{00000000-0008-0000-03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715581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14</xdr:row>
      <xdr:rowOff>0</xdr:rowOff>
    </xdr:from>
    <xdr:ext cx="38100" cy="9525"/>
    <xdr:pic>
      <xdr:nvPicPr>
        <xdr:cNvPr id="484" name="图片 18" descr="3_1">
          <a:extLst>
            <a:ext uri="{FF2B5EF4-FFF2-40B4-BE49-F238E27FC236}">
              <a16:creationId xmlns="" xmlns:a16="http://schemas.microsoft.com/office/drawing/2014/main" id="{00000000-0008-0000-03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715581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14</xdr:row>
      <xdr:rowOff>0</xdr:rowOff>
    </xdr:from>
    <xdr:ext cx="133350" cy="9525"/>
    <xdr:pic>
      <xdr:nvPicPr>
        <xdr:cNvPr id="485" name="图片 16" descr="2_1">
          <a:extLst>
            <a:ext uri="{FF2B5EF4-FFF2-40B4-BE49-F238E27FC236}">
              <a16:creationId xmlns="" xmlns:a16="http://schemas.microsoft.com/office/drawing/2014/main" id="{00000000-0008-0000-03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715581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14</xdr:row>
      <xdr:rowOff>0</xdr:rowOff>
    </xdr:from>
    <xdr:ext cx="123825" cy="9525"/>
    <xdr:pic>
      <xdr:nvPicPr>
        <xdr:cNvPr id="486" name="图片 17" descr="3">
          <a:extLst>
            <a:ext uri="{FF2B5EF4-FFF2-40B4-BE49-F238E27FC236}">
              <a16:creationId xmlns="" xmlns:a16="http://schemas.microsoft.com/office/drawing/2014/main" id="{00000000-0008-0000-03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715581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14</xdr:row>
      <xdr:rowOff>0</xdr:rowOff>
    </xdr:from>
    <xdr:ext cx="38100" cy="9525"/>
    <xdr:pic>
      <xdr:nvPicPr>
        <xdr:cNvPr id="487" name="图片 18" descr="3_1">
          <a:extLst>
            <a:ext uri="{FF2B5EF4-FFF2-40B4-BE49-F238E27FC236}">
              <a16:creationId xmlns="" xmlns:a16="http://schemas.microsoft.com/office/drawing/2014/main" id="{00000000-0008-0000-03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715581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16</xdr:row>
      <xdr:rowOff>0</xdr:rowOff>
    </xdr:from>
    <xdr:ext cx="133350" cy="9525"/>
    <xdr:pic>
      <xdr:nvPicPr>
        <xdr:cNvPr id="488" name="图片 16" descr="2_1">
          <a:extLst>
            <a:ext uri="{FF2B5EF4-FFF2-40B4-BE49-F238E27FC236}">
              <a16:creationId xmlns="" xmlns:a16="http://schemas.microsoft.com/office/drawing/2014/main" id="{00000000-0008-0000-03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784161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16</xdr:row>
      <xdr:rowOff>0</xdr:rowOff>
    </xdr:from>
    <xdr:ext cx="123825" cy="9525"/>
    <xdr:pic>
      <xdr:nvPicPr>
        <xdr:cNvPr id="489" name="图片 17" descr="3">
          <a:extLst>
            <a:ext uri="{FF2B5EF4-FFF2-40B4-BE49-F238E27FC236}">
              <a16:creationId xmlns="" xmlns:a16="http://schemas.microsoft.com/office/drawing/2014/main" id="{00000000-0008-0000-03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784161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16</xdr:row>
      <xdr:rowOff>0</xdr:rowOff>
    </xdr:from>
    <xdr:ext cx="38100" cy="9525"/>
    <xdr:pic>
      <xdr:nvPicPr>
        <xdr:cNvPr id="490" name="图片 18" descr="3_1">
          <a:extLst>
            <a:ext uri="{FF2B5EF4-FFF2-40B4-BE49-F238E27FC236}">
              <a16:creationId xmlns="" xmlns:a16="http://schemas.microsoft.com/office/drawing/2014/main" id="{00000000-0008-0000-03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784161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16</xdr:row>
      <xdr:rowOff>0</xdr:rowOff>
    </xdr:from>
    <xdr:ext cx="133350" cy="9525"/>
    <xdr:pic>
      <xdr:nvPicPr>
        <xdr:cNvPr id="491" name="图片 16" descr="2_1">
          <a:extLst>
            <a:ext uri="{FF2B5EF4-FFF2-40B4-BE49-F238E27FC236}">
              <a16:creationId xmlns="" xmlns:a16="http://schemas.microsoft.com/office/drawing/2014/main" id="{00000000-0008-0000-03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784161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16</xdr:row>
      <xdr:rowOff>0</xdr:rowOff>
    </xdr:from>
    <xdr:ext cx="123825" cy="9525"/>
    <xdr:pic>
      <xdr:nvPicPr>
        <xdr:cNvPr id="492" name="图片 17" descr="3">
          <a:extLst>
            <a:ext uri="{FF2B5EF4-FFF2-40B4-BE49-F238E27FC236}">
              <a16:creationId xmlns="" xmlns:a16="http://schemas.microsoft.com/office/drawing/2014/main" id="{00000000-0008-0000-03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784161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16</xdr:row>
      <xdr:rowOff>0</xdr:rowOff>
    </xdr:from>
    <xdr:ext cx="38100" cy="9525"/>
    <xdr:pic>
      <xdr:nvPicPr>
        <xdr:cNvPr id="493" name="图片 18" descr="3_1">
          <a:extLst>
            <a:ext uri="{FF2B5EF4-FFF2-40B4-BE49-F238E27FC236}">
              <a16:creationId xmlns="" xmlns:a16="http://schemas.microsoft.com/office/drawing/2014/main" id="{00000000-0008-0000-03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784161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13</xdr:row>
      <xdr:rowOff>0</xdr:rowOff>
    </xdr:from>
    <xdr:ext cx="133350" cy="9525"/>
    <xdr:pic>
      <xdr:nvPicPr>
        <xdr:cNvPr id="494" name="图片 16" descr="2_1">
          <a:extLst>
            <a:ext uri="{FF2B5EF4-FFF2-40B4-BE49-F238E27FC236}">
              <a16:creationId xmlns="" xmlns:a16="http://schemas.microsoft.com/office/drawing/2014/main" id="{00000000-0008-0000-03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681291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13</xdr:row>
      <xdr:rowOff>0</xdr:rowOff>
    </xdr:from>
    <xdr:ext cx="123825" cy="9525"/>
    <xdr:pic>
      <xdr:nvPicPr>
        <xdr:cNvPr id="495" name="图片 17" descr="3">
          <a:extLst>
            <a:ext uri="{FF2B5EF4-FFF2-40B4-BE49-F238E27FC236}">
              <a16:creationId xmlns="" xmlns:a16="http://schemas.microsoft.com/office/drawing/2014/main" id="{00000000-0008-0000-03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681291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13</xdr:row>
      <xdr:rowOff>0</xdr:rowOff>
    </xdr:from>
    <xdr:ext cx="38100" cy="9525"/>
    <xdr:pic>
      <xdr:nvPicPr>
        <xdr:cNvPr id="496" name="图片 18" descr="3_1">
          <a:extLst>
            <a:ext uri="{FF2B5EF4-FFF2-40B4-BE49-F238E27FC236}">
              <a16:creationId xmlns="" xmlns:a16="http://schemas.microsoft.com/office/drawing/2014/main" id="{00000000-0008-0000-03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681291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14</xdr:row>
      <xdr:rowOff>0</xdr:rowOff>
    </xdr:from>
    <xdr:ext cx="133350" cy="9525"/>
    <xdr:pic>
      <xdr:nvPicPr>
        <xdr:cNvPr id="497" name="图片 16" descr="2_1">
          <a:extLst>
            <a:ext uri="{FF2B5EF4-FFF2-40B4-BE49-F238E27FC236}">
              <a16:creationId xmlns="" xmlns:a16="http://schemas.microsoft.com/office/drawing/2014/main" id="{00000000-0008-0000-03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715581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14</xdr:row>
      <xdr:rowOff>0</xdr:rowOff>
    </xdr:from>
    <xdr:ext cx="123825" cy="9525"/>
    <xdr:pic>
      <xdr:nvPicPr>
        <xdr:cNvPr id="498" name="图片 17" descr="3">
          <a:extLst>
            <a:ext uri="{FF2B5EF4-FFF2-40B4-BE49-F238E27FC236}">
              <a16:creationId xmlns="" xmlns:a16="http://schemas.microsoft.com/office/drawing/2014/main" id="{00000000-0008-0000-03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715581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14</xdr:row>
      <xdr:rowOff>0</xdr:rowOff>
    </xdr:from>
    <xdr:ext cx="38100" cy="9525"/>
    <xdr:pic>
      <xdr:nvPicPr>
        <xdr:cNvPr id="499" name="图片 18" descr="3_1">
          <a:extLst>
            <a:ext uri="{FF2B5EF4-FFF2-40B4-BE49-F238E27FC236}">
              <a16:creationId xmlns="" xmlns:a16="http://schemas.microsoft.com/office/drawing/2014/main" id="{00000000-0008-0000-03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715581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15</xdr:row>
      <xdr:rowOff>0</xdr:rowOff>
    </xdr:from>
    <xdr:ext cx="133350" cy="9525"/>
    <xdr:pic>
      <xdr:nvPicPr>
        <xdr:cNvPr id="500" name="图片 16" descr="2_1">
          <a:extLst>
            <a:ext uri="{FF2B5EF4-FFF2-40B4-BE49-F238E27FC236}">
              <a16:creationId xmlns="" xmlns:a16="http://schemas.microsoft.com/office/drawing/2014/main" id="{00000000-0008-0000-03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749871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15</xdr:row>
      <xdr:rowOff>0</xdr:rowOff>
    </xdr:from>
    <xdr:ext cx="123825" cy="9525"/>
    <xdr:pic>
      <xdr:nvPicPr>
        <xdr:cNvPr id="501" name="图片 17" descr="3">
          <a:extLst>
            <a:ext uri="{FF2B5EF4-FFF2-40B4-BE49-F238E27FC236}">
              <a16:creationId xmlns="" xmlns:a16="http://schemas.microsoft.com/office/drawing/2014/main" id="{00000000-0008-0000-03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749871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15</xdr:row>
      <xdr:rowOff>0</xdr:rowOff>
    </xdr:from>
    <xdr:ext cx="38100" cy="9525"/>
    <xdr:pic>
      <xdr:nvPicPr>
        <xdr:cNvPr id="502" name="图片 18" descr="3_1">
          <a:extLst>
            <a:ext uri="{FF2B5EF4-FFF2-40B4-BE49-F238E27FC236}">
              <a16:creationId xmlns="" xmlns:a16="http://schemas.microsoft.com/office/drawing/2014/main" id="{00000000-0008-0000-03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749871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296" name="图片 16" descr="2_1">
          <a:extLst>
            <a:ext uri="{FF2B5EF4-FFF2-40B4-BE49-F238E27FC236}">
              <a16:creationId xmlns="" xmlns:a16="http://schemas.microsoft.com/office/drawing/2014/main" id="{00000000-0008-0000-03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531620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297" name="图片 17" descr="3">
          <a:extLst>
            <a:ext uri="{FF2B5EF4-FFF2-40B4-BE49-F238E27FC236}">
              <a16:creationId xmlns="" xmlns:a16="http://schemas.microsoft.com/office/drawing/2014/main" id="{00000000-0008-0000-03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531620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298" name="图片 18" descr="3_1">
          <a:extLst>
            <a:ext uri="{FF2B5EF4-FFF2-40B4-BE49-F238E27FC236}">
              <a16:creationId xmlns="" xmlns:a16="http://schemas.microsoft.com/office/drawing/2014/main" id="{00000000-0008-0000-03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531620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299" name="图片 16" descr="2_1">
          <a:extLst>
            <a:ext uri="{FF2B5EF4-FFF2-40B4-BE49-F238E27FC236}">
              <a16:creationId xmlns="" xmlns:a16="http://schemas.microsoft.com/office/drawing/2014/main" id="{00000000-0008-0000-03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565910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300" name="图片 17" descr="3">
          <a:extLst>
            <a:ext uri="{FF2B5EF4-FFF2-40B4-BE49-F238E27FC236}">
              <a16:creationId xmlns="" xmlns:a16="http://schemas.microsoft.com/office/drawing/2014/main" id="{00000000-0008-0000-03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565910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301" name="图片 18" descr="3_1">
          <a:extLst>
            <a:ext uri="{FF2B5EF4-FFF2-40B4-BE49-F238E27FC236}">
              <a16:creationId xmlns="" xmlns:a16="http://schemas.microsoft.com/office/drawing/2014/main" id="{00000000-0008-0000-03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565910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305" name="图片 16" descr="2_1">
          <a:extLst>
            <a:ext uri="{FF2B5EF4-FFF2-40B4-BE49-F238E27FC236}">
              <a16:creationId xmlns="" xmlns:a16="http://schemas.microsoft.com/office/drawing/2014/main" id="{00000000-0008-0000-03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531620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306" name="图片 17" descr="3">
          <a:extLst>
            <a:ext uri="{FF2B5EF4-FFF2-40B4-BE49-F238E27FC236}">
              <a16:creationId xmlns="" xmlns:a16="http://schemas.microsoft.com/office/drawing/2014/main" id="{00000000-0008-0000-03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531620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307" name="图片 18" descr="3_1">
          <a:extLst>
            <a:ext uri="{FF2B5EF4-FFF2-40B4-BE49-F238E27FC236}">
              <a16:creationId xmlns="" xmlns:a16="http://schemas.microsoft.com/office/drawing/2014/main" id="{00000000-0008-0000-03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531620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308" name="图片 16" descr="2_1">
          <a:extLst>
            <a:ext uri="{FF2B5EF4-FFF2-40B4-BE49-F238E27FC236}">
              <a16:creationId xmlns="" xmlns:a16="http://schemas.microsoft.com/office/drawing/2014/main" id="{00000000-0008-0000-03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565910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309" name="图片 17" descr="3">
          <a:extLst>
            <a:ext uri="{FF2B5EF4-FFF2-40B4-BE49-F238E27FC236}">
              <a16:creationId xmlns="" xmlns:a16="http://schemas.microsoft.com/office/drawing/2014/main" id="{00000000-0008-0000-03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565910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310" name="图片 18" descr="3_1">
          <a:extLst>
            <a:ext uri="{FF2B5EF4-FFF2-40B4-BE49-F238E27FC236}">
              <a16:creationId xmlns="" xmlns:a16="http://schemas.microsoft.com/office/drawing/2014/main" id="{00000000-0008-0000-03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565910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311" name="图片 16" descr="2_1">
          <a:extLst>
            <a:ext uri="{FF2B5EF4-FFF2-40B4-BE49-F238E27FC236}">
              <a16:creationId xmlns="" xmlns:a16="http://schemas.microsoft.com/office/drawing/2014/main" id="{00000000-0008-0000-03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76212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312" name="图片 17" descr="3">
          <a:extLst>
            <a:ext uri="{FF2B5EF4-FFF2-40B4-BE49-F238E27FC236}">
              <a16:creationId xmlns="" xmlns:a16="http://schemas.microsoft.com/office/drawing/2014/main" id="{00000000-0008-0000-03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76212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313" name="图片 18" descr="3_1">
          <a:extLst>
            <a:ext uri="{FF2B5EF4-FFF2-40B4-BE49-F238E27FC236}">
              <a16:creationId xmlns="" xmlns:a16="http://schemas.microsoft.com/office/drawing/2014/main" id="{00000000-0008-0000-03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76212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317" name="图片 16" descr="2_1">
          <a:extLst>
            <a:ext uri="{FF2B5EF4-FFF2-40B4-BE49-F238E27FC236}">
              <a16:creationId xmlns="" xmlns:a16="http://schemas.microsoft.com/office/drawing/2014/main" id="{00000000-0008-0000-03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79641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318" name="图片 17" descr="3">
          <a:extLst>
            <a:ext uri="{FF2B5EF4-FFF2-40B4-BE49-F238E27FC236}">
              <a16:creationId xmlns="" xmlns:a16="http://schemas.microsoft.com/office/drawing/2014/main" id="{00000000-0008-0000-03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79641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319" name="图片 18" descr="3_1">
          <a:extLst>
            <a:ext uri="{FF2B5EF4-FFF2-40B4-BE49-F238E27FC236}">
              <a16:creationId xmlns="" xmlns:a16="http://schemas.microsoft.com/office/drawing/2014/main" id="{00000000-0008-0000-03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79641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323" name="图片 16" descr="2_1">
          <a:extLst>
            <a:ext uri="{FF2B5EF4-FFF2-40B4-BE49-F238E27FC236}">
              <a16:creationId xmlns="" xmlns:a16="http://schemas.microsoft.com/office/drawing/2014/main" id="{00000000-0008-0000-03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76212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324" name="图片 17" descr="3">
          <a:extLst>
            <a:ext uri="{FF2B5EF4-FFF2-40B4-BE49-F238E27FC236}">
              <a16:creationId xmlns="" xmlns:a16="http://schemas.microsoft.com/office/drawing/2014/main" id="{00000000-0008-0000-03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76212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325" name="图片 18" descr="3_1">
          <a:extLst>
            <a:ext uri="{FF2B5EF4-FFF2-40B4-BE49-F238E27FC236}">
              <a16:creationId xmlns="" xmlns:a16="http://schemas.microsoft.com/office/drawing/2014/main" id="{00000000-0008-0000-03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76212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326" name="图片 16" descr="2_1">
          <a:extLst>
            <a:ext uri="{FF2B5EF4-FFF2-40B4-BE49-F238E27FC236}">
              <a16:creationId xmlns="" xmlns:a16="http://schemas.microsoft.com/office/drawing/2014/main" id="{00000000-0008-0000-03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79641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327" name="图片 17" descr="3">
          <a:extLst>
            <a:ext uri="{FF2B5EF4-FFF2-40B4-BE49-F238E27FC236}">
              <a16:creationId xmlns="" xmlns:a16="http://schemas.microsoft.com/office/drawing/2014/main" id="{00000000-0008-0000-03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79641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328" name="图片 18" descr="3_1">
          <a:extLst>
            <a:ext uri="{FF2B5EF4-FFF2-40B4-BE49-F238E27FC236}">
              <a16:creationId xmlns="" xmlns:a16="http://schemas.microsoft.com/office/drawing/2014/main" id="{00000000-0008-0000-03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79641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371" name="图片 16" descr="2_1">
          <a:extLst>
            <a:ext uri="{FF2B5EF4-FFF2-40B4-BE49-F238E27FC236}">
              <a16:creationId xmlns="" xmlns:a16="http://schemas.microsoft.com/office/drawing/2014/main" id="{00000000-0008-0000-03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69354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372" name="图片 17" descr="3">
          <a:extLst>
            <a:ext uri="{FF2B5EF4-FFF2-40B4-BE49-F238E27FC236}">
              <a16:creationId xmlns="" xmlns:a16="http://schemas.microsoft.com/office/drawing/2014/main" id="{00000000-0008-0000-03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69354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373" name="图片 18" descr="3_1">
          <a:extLst>
            <a:ext uri="{FF2B5EF4-FFF2-40B4-BE49-F238E27FC236}">
              <a16:creationId xmlns="" xmlns:a16="http://schemas.microsoft.com/office/drawing/2014/main" id="{00000000-0008-0000-03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69354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380" name="图片 16" descr="2_1">
          <a:extLst>
            <a:ext uri="{FF2B5EF4-FFF2-40B4-BE49-F238E27FC236}">
              <a16:creationId xmlns="" xmlns:a16="http://schemas.microsoft.com/office/drawing/2014/main" id="{00000000-0008-0000-03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72783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381" name="图片 17" descr="3">
          <a:extLst>
            <a:ext uri="{FF2B5EF4-FFF2-40B4-BE49-F238E27FC236}">
              <a16:creationId xmlns="" xmlns:a16="http://schemas.microsoft.com/office/drawing/2014/main" id="{00000000-0008-0000-03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72783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382" name="图片 18" descr="3_1">
          <a:extLst>
            <a:ext uri="{FF2B5EF4-FFF2-40B4-BE49-F238E27FC236}">
              <a16:creationId xmlns="" xmlns:a16="http://schemas.microsoft.com/office/drawing/2014/main" id="{00000000-0008-0000-03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72783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431" name="图片 16" descr="2_1">
          <a:extLst>
            <a:ext uri="{FF2B5EF4-FFF2-40B4-BE49-F238E27FC236}">
              <a16:creationId xmlns="" xmlns:a16="http://schemas.microsoft.com/office/drawing/2014/main" id="{00000000-0008-0000-03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69354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432" name="图片 17" descr="3">
          <a:extLst>
            <a:ext uri="{FF2B5EF4-FFF2-40B4-BE49-F238E27FC236}">
              <a16:creationId xmlns="" xmlns:a16="http://schemas.microsoft.com/office/drawing/2014/main" id="{00000000-0008-0000-03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69354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433" name="图片 18" descr="3_1">
          <a:extLst>
            <a:ext uri="{FF2B5EF4-FFF2-40B4-BE49-F238E27FC236}">
              <a16:creationId xmlns="" xmlns:a16="http://schemas.microsoft.com/office/drawing/2014/main" id="{00000000-0008-0000-03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69354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440" name="图片 16" descr="2_1">
          <a:extLst>
            <a:ext uri="{FF2B5EF4-FFF2-40B4-BE49-F238E27FC236}">
              <a16:creationId xmlns="" xmlns:a16="http://schemas.microsoft.com/office/drawing/2014/main" id="{00000000-0008-0000-03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72783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441" name="图片 17" descr="3">
          <a:extLst>
            <a:ext uri="{FF2B5EF4-FFF2-40B4-BE49-F238E27FC236}">
              <a16:creationId xmlns="" xmlns:a16="http://schemas.microsoft.com/office/drawing/2014/main" id="{00000000-0008-0000-03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72783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442" name="图片 18" descr="3_1">
          <a:extLst>
            <a:ext uri="{FF2B5EF4-FFF2-40B4-BE49-F238E27FC236}">
              <a16:creationId xmlns="" xmlns:a16="http://schemas.microsoft.com/office/drawing/2014/main" id="{00000000-0008-0000-03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72783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18</xdr:row>
      <xdr:rowOff>0</xdr:rowOff>
    </xdr:from>
    <xdr:ext cx="133350" cy="9525"/>
    <xdr:pic>
      <xdr:nvPicPr>
        <xdr:cNvPr id="461" name="图片 16" descr="2_1">
          <a:extLst>
            <a:ext uri="{FF2B5EF4-FFF2-40B4-BE49-F238E27FC236}">
              <a16:creationId xmlns="" xmlns:a16="http://schemas.microsoft.com/office/drawing/2014/main" id="{00000000-0008-0000-03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76212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18</xdr:row>
      <xdr:rowOff>0</xdr:rowOff>
    </xdr:from>
    <xdr:ext cx="123825" cy="9525"/>
    <xdr:pic>
      <xdr:nvPicPr>
        <xdr:cNvPr id="462" name="图片 17" descr="3">
          <a:extLst>
            <a:ext uri="{FF2B5EF4-FFF2-40B4-BE49-F238E27FC236}">
              <a16:creationId xmlns="" xmlns:a16="http://schemas.microsoft.com/office/drawing/2014/main" id="{00000000-0008-0000-03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76212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18</xdr:row>
      <xdr:rowOff>0</xdr:rowOff>
    </xdr:from>
    <xdr:ext cx="38100" cy="9525"/>
    <xdr:pic>
      <xdr:nvPicPr>
        <xdr:cNvPr id="463" name="图片 18" descr="3_1">
          <a:extLst>
            <a:ext uri="{FF2B5EF4-FFF2-40B4-BE49-F238E27FC236}">
              <a16:creationId xmlns="" xmlns:a16="http://schemas.microsoft.com/office/drawing/2014/main" id="{00000000-0008-0000-03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76212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464" name="图片 16" descr="2_1">
          <a:extLst>
            <a:ext uri="{FF2B5EF4-FFF2-40B4-BE49-F238E27FC236}">
              <a16:creationId xmlns="" xmlns:a16="http://schemas.microsoft.com/office/drawing/2014/main" id="{00000000-0008-0000-03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79641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465" name="图片 17" descr="3">
          <a:extLst>
            <a:ext uri="{FF2B5EF4-FFF2-40B4-BE49-F238E27FC236}">
              <a16:creationId xmlns="" xmlns:a16="http://schemas.microsoft.com/office/drawing/2014/main" id="{00000000-0008-0000-03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79641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466" name="图片 18" descr="3_1">
          <a:extLst>
            <a:ext uri="{FF2B5EF4-FFF2-40B4-BE49-F238E27FC236}">
              <a16:creationId xmlns="" xmlns:a16="http://schemas.microsoft.com/office/drawing/2014/main" id="{00000000-0008-0000-03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79641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18</xdr:row>
      <xdr:rowOff>0</xdr:rowOff>
    </xdr:from>
    <xdr:ext cx="133350" cy="9525"/>
    <xdr:pic>
      <xdr:nvPicPr>
        <xdr:cNvPr id="467" name="图片 16" descr="2_1">
          <a:extLst>
            <a:ext uri="{FF2B5EF4-FFF2-40B4-BE49-F238E27FC236}">
              <a16:creationId xmlns="" xmlns:a16="http://schemas.microsoft.com/office/drawing/2014/main" id="{00000000-0008-0000-03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76212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18</xdr:row>
      <xdr:rowOff>0</xdr:rowOff>
    </xdr:from>
    <xdr:ext cx="123825" cy="9525"/>
    <xdr:pic>
      <xdr:nvPicPr>
        <xdr:cNvPr id="468" name="图片 17" descr="3">
          <a:extLst>
            <a:ext uri="{FF2B5EF4-FFF2-40B4-BE49-F238E27FC236}">
              <a16:creationId xmlns="" xmlns:a16="http://schemas.microsoft.com/office/drawing/2014/main" id="{00000000-0008-0000-03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76212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18</xdr:row>
      <xdr:rowOff>0</xdr:rowOff>
    </xdr:from>
    <xdr:ext cx="38100" cy="9525"/>
    <xdr:pic>
      <xdr:nvPicPr>
        <xdr:cNvPr id="469" name="图片 18" descr="3_1">
          <a:extLst>
            <a:ext uri="{FF2B5EF4-FFF2-40B4-BE49-F238E27FC236}">
              <a16:creationId xmlns="" xmlns:a16="http://schemas.microsoft.com/office/drawing/2014/main" id="{00000000-0008-0000-03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76212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470" name="图片 16" descr="2_1">
          <a:extLst>
            <a:ext uri="{FF2B5EF4-FFF2-40B4-BE49-F238E27FC236}">
              <a16:creationId xmlns="" xmlns:a16="http://schemas.microsoft.com/office/drawing/2014/main" id="{00000000-0008-0000-03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79641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471" name="图片 17" descr="3">
          <a:extLst>
            <a:ext uri="{FF2B5EF4-FFF2-40B4-BE49-F238E27FC236}">
              <a16:creationId xmlns="" xmlns:a16="http://schemas.microsoft.com/office/drawing/2014/main" id="{00000000-0008-0000-03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79641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472" name="图片 18" descr="3_1">
          <a:extLst>
            <a:ext uri="{FF2B5EF4-FFF2-40B4-BE49-F238E27FC236}">
              <a16:creationId xmlns="" xmlns:a16="http://schemas.microsoft.com/office/drawing/2014/main" id="{00000000-0008-0000-03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79641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17</xdr:row>
      <xdr:rowOff>0</xdr:rowOff>
    </xdr:from>
    <xdr:ext cx="133350" cy="9525"/>
    <xdr:pic>
      <xdr:nvPicPr>
        <xdr:cNvPr id="473" name="图片 16" descr="2_1">
          <a:extLst>
            <a:ext uri="{FF2B5EF4-FFF2-40B4-BE49-F238E27FC236}">
              <a16:creationId xmlns="" xmlns:a16="http://schemas.microsoft.com/office/drawing/2014/main" id="{00000000-0008-0000-03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69354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17</xdr:row>
      <xdr:rowOff>0</xdr:rowOff>
    </xdr:from>
    <xdr:ext cx="123825" cy="9525"/>
    <xdr:pic>
      <xdr:nvPicPr>
        <xdr:cNvPr id="474" name="图片 17" descr="3">
          <a:extLst>
            <a:ext uri="{FF2B5EF4-FFF2-40B4-BE49-F238E27FC236}">
              <a16:creationId xmlns="" xmlns:a16="http://schemas.microsoft.com/office/drawing/2014/main" id="{00000000-0008-0000-03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69354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17</xdr:row>
      <xdr:rowOff>0</xdr:rowOff>
    </xdr:from>
    <xdr:ext cx="38100" cy="9525"/>
    <xdr:pic>
      <xdr:nvPicPr>
        <xdr:cNvPr id="475" name="图片 18" descr="3_1">
          <a:extLst>
            <a:ext uri="{FF2B5EF4-FFF2-40B4-BE49-F238E27FC236}">
              <a16:creationId xmlns="" xmlns:a16="http://schemas.microsoft.com/office/drawing/2014/main" id="{00000000-0008-0000-03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69354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17</xdr:row>
      <xdr:rowOff>0</xdr:rowOff>
    </xdr:from>
    <xdr:ext cx="133350" cy="9525"/>
    <xdr:pic>
      <xdr:nvPicPr>
        <xdr:cNvPr id="476" name="图片 16" descr="2_1">
          <a:extLst>
            <a:ext uri="{FF2B5EF4-FFF2-40B4-BE49-F238E27FC236}">
              <a16:creationId xmlns="" xmlns:a16="http://schemas.microsoft.com/office/drawing/2014/main" id="{00000000-0008-0000-03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72783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17</xdr:row>
      <xdr:rowOff>0</xdr:rowOff>
    </xdr:from>
    <xdr:ext cx="123825" cy="9525"/>
    <xdr:pic>
      <xdr:nvPicPr>
        <xdr:cNvPr id="477" name="图片 17" descr="3">
          <a:extLst>
            <a:ext uri="{FF2B5EF4-FFF2-40B4-BE49-F238E27FC236}">
              <a16:creationId xmlns="" xmlns:a16="http://schemas.microsoft.com/office/drawing/2014/main" id="{00000000-0008-0000-03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72783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17</xdr:row>
      <xdr:rowOff>0</xdr:rowOff>
    </xdr:from>
    <xdr:ext cx="38100" cy="9525"/>
    <xdr:pic>
      <xdr:nvPicPr>
        <xdr:cNvPr id="478" name="图片 18" descr="3_1">
          <a:extLst>
            <a:ext uri="{FF2B5EF4-FFF2-40B4-BE49-F238E27FC236}">
              <a16:creationId xmlns="" xmlns:a16="http://schemas.microsoft.com/office/drawing/2014/main" id="{00000000-0008-0000-03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72783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17</xdr:row>
      <xdr:rowOff>0</xdr:rowOff>
    </xdr:from>
    <xdr:ext cx="133350" cy="9525"/>
    <xdr:pic>
      <xdr:nvPicPr>
        <xdr:cNvPr id="503" name="图片 16" descr="2_1">
          <a:extLst>
            <a:ext uri="{FF2B5EF4-FFF2-40B4-BE49-F238E27FC236}">
              <a16:creationId xmlns="" xmlns:a16="http://schemas.microsoft.com/office/drawing/2014/main" id="{00000000-0008-0000-03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69354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17</xdr:row>
      <xdr:rowOff>0</xdr:rowOff>
    </xdr:from>
    <xdr:ext cx="123825" cy="9525"/>
    <xdr:pic>
      <xdr:nvPicPr>
        <xdr:cNvPr id="504" name="图片 17" descr="3">
          <a:extLst>
            <a:ext uri="{FF2B5EF4-FFF2-40B4-BE49-F238E27FC236}">
              <a16:creationId xmlns="" xmlns:a16="http://schemas.microsoft.com/office/drawing/2014/main" id="{00000000-0008-0000-03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69354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17</xdr:row>
      <xdr:rowOff>0</xdr:rowOff>
    </xdr:from>
    <xdr:ext cx="38100" cy="9525"/>
    <xdr:pic>
      <xdr:nvPicPr>
        <xdr:cNvPr id="505" name="图片 18" descr="3_1">
          <a:extLst>
            <a:ext uri="{FF2B5EF4-FFF2-40B4-BE49-F238E27FC236}">
              <a16:creationId xmlns="" xmlns:a16="http://schemas.microsoft.com/office/drawing/2014/main" id="{00000000-0008-0000-03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69354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17</xdr:row>
      <xdr:rowOff>0</xdr:rowOff>
    </xdr:from>
    <xdr:ext cx="133350" cy="9525"/>
    <xdr:pic>
      <xdr:nvPicPr>
        <xdr:cNvPr id="506" name="图片 16" descr="2_1">
          <a:extLst>
            <a:ext uri="{FF2B5EF4-FFF2-40B4-BE49-F238E27FC236}">
              <a16:creationId xmlns="" xmlns:a16="http://schemas.microsoft.com/office/drawing/2014/main" id="{00000000-0008-0000-03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9800" y="172783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17</xdr:row>
      <xdr:rowOff>0</xdr:rowOff>
    </xdr:from>
    <xdr:ext cx="123825" cy="9525"/>
    <xdr:pic>
      <xdr:nvPicPr>
        <xdr:cNvPr id="507" name="图片 17" descr="3">
          <a:extLst>
            <a:ext uri="{FF2B5EF4-FFF2-40B4-BE49-F238E27FC236}">
              <a16:creationId xmlns="" xmlns:a16="http://schemas.microsoft.com/office/drawing/2014/main" id="{00000000-0008-0000-03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19325" y="172783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17</xdr:row>
      <xdr:rowOff>0</xdr:rowOff>
    </xdr:from>
    <xdr:ext cx="38100" cy="9525"/>
    <xdr:pic>
      <xdr:nvPicPr>
        <xdr:cNvPr id="508" name="图片 18" descr="3_1">
          <a:extLst>
            <a:ext uri="{FF2B5EF4-FFF2-40B4-BE49-F238E27FC236}">
              <a16:creationId xmlns="" xmlns:a16="http://schemas.microsoft.com/office/drawing/2014/main" id="{00000000-0008-0000-03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05050" y="172783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509" name="图片 16" descr="2_1">
          <a:extLst>
            <a:ext uri="{FF2B5EF4-FFF2-40B4-BE49-F238E27FC236}">
              <a16:creationId xmlns="" xmlns:a16="http://schemas.microsoft.com/office/drawing/2014/main" id="{00000000-0008-0000-03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33550" y="2330767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510" name="图片 17" descr="3">
          <a:extLst>
            <a:ext uri="{FF2B5EF4-FFF2-40B4-BE49-F238E27FC236}">
              <a16:creationId xmlns="" xmlns:a16="http://schemas.microsoft.com/office/drawing/2014/main" id="{00000000-0008-0000-03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43075" y="2330767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511" name="图片 18" descr="3_1">
          <a:extLst>
            <a:ext uri="{FF2B5EF4-FFF2-40B4-BE49-F238E27FC236}">
              <a16:creationId xmlns="" xmlns:a16="http://schemas.microsoft.com/office/drawing/2014/main" id="{00000000-0008-0000-03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28800" y="2330767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512" name="图片 16" descr="2_1">
          <a:extLst>
            <a:ext uri="{FF2B5EF4-FFF2-40B4-BE49-F238E27FC236}">
              <a16:creationId xmlns="" xmlns:a16="http://schemas.microsoft.com/office/drawing/2014/main" id="{00000000-0008-0000-03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33550" y="2330767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513" name="图片 17" descr="3">
          <a:extLst>
            <a:ext uri="{FF2B5EF4-FFF2-40B4-BE49-F238E27FC236}">
              <a16:creationId xmlns="" xmlns:a16="http://schemas.microsoft.com/office/drawing/2014/main" id="{00000000-0008-0000-03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43075" y="2330767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514" name="图片 18" descr="3_1">
          <a:extLst>
            <a:ext uri="{FF2B5EF4-FFF2-40B4-BE49-F238E27FC236}">
              <a16:creationId xmlns="" xmlns:a16="http://schemas.microsoft.com/office/drawing/2014/main" id="{00000000-0008-0000-03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28800" y="2330767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515" name="图片 16" descr="2_1">
          <a:extLst>
            <a:ext uri="{FF2B5EF4-FFF2-40B4-BE49-F238E27FC236}">
              <a16:creationId xmlns="" xmlns:a16="http://schemas.microsoft.com/office/drawing/2014/main" id="{00000000-0008-0000-03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33550" y="2262187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516" name="图片 17" descr="3">
          <a:extLst>
            <a:ext uri="{FF2B5EF4-FFF2-40B4-BE49-F238E27FC236}">
              <a16:creationId xmlns="" xmlns:a16="http://schemas.microsoft.com/office/drawing/2014/main" id="{00000000-0008-0000-03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43075" y="2262187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517" name="图片 18" descr="3_1">
          <a:extLst>
            <a:ext uri="{FF2B5EF4-FFF2-40B4-BE49-F238E27FC236}">
              <a16:creationId xmlns="" xmlns:a16="http://schemas.microsoft.com/office/drawing/2014/main" id="{00000000-0008-0000-03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28800" y="2262187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518" name="图片 16" descr="2_1">
          <a:extLst>
            <a:ext uri="{FF2B5EF4-FFF2-40B4-BE49-F238E27FC236}">
              <a16:creationId xmlns="" xmlns:a16="http://schemas.microsoft.com/office/drawing/2014/main" id="{00000000-0008-0000-03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33550" y="2296477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519" name="图片 17" descr="3">
          <a:extLst>
            <a:ext uri="{FF2B5EF4-FFF2-40B4-BE49-F238E27FC236}">
              <a16:creationId xmlns="" xmlns:a16="http://schemas.microsoft.com/office/drawing/2014/main" id="{00000000-0008-0000-03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43075" y="2296477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520" name="图片 18" descr="3_1">
          <a:extLst>
            <a:ext uri="{FF2B5EF4-FFF2-40B4-BE49-F238E27FC236}">
              <a16:creationId xmlns="" xmlns:a16="http://schemas.microsoft.com/office/drawing/2014/main" id="{00000000-0008-0000-03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28800" y="2296477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521" name="图片 16" descr="2_1">
          <a:extLst>
            <a:ext uri="{FF2B5EF4-FFF2-40B4-BE49-F238E27FC236}">
              <a16:creationId xmlns="" xmlns:a16="http://schemas.microsoft.com/office/drawing/2014/main" id="{00000000-0008-0000-03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33550" y="2262187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522" name="图片 17" descr="3">
          <a:extLst>
            <a:ext uri="{FF2B5EF4-FFF2-40B4-BE49-F238E27FC236}">
              <a16:creationId xmlns="" xmlns:a16="http://schemas.microsoft.com/office/drawing/2014/main" id="{00000000-0008-0000-03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43075" y="2262187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523" name="图片 18" descr="3_1">
          <a:extLst>
            <a:ext uri="{FF2B5EF4-FFF2-40B4-BE49-F238E27FC236}">
              <a16:creationId xmlns="" xmlns:a16="http://schemas.microsoft.com/office/drawing/2014/main" id="{00000000-0008-0000-03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28800" y="2262187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524" name="图片 16" descr="2_1">
          <a:extLst>
            <a:ext uri="{FF2B5EF4-FFF2-40B4-BE49-F238E27FC236}">
              <a16:creationId xmlns="" xmlns:a16="http://schemas.microsoft.com/office/drawing/2014/main" id="{00000000-0008-0000-03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33550" y="2296477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525" name="图片 17" descr="3">
          <a:extLst>
            <a:ext uri="{FF2B5EF4-FFF2-40B4-BE49-F238E27FC236}">
              <a16:creationId xmlns="" xmlns:a16="http://schemas.microsoft.com/office/drawing/2014/main" id="{00000000-0008-0000-03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43075" y="2296477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526" name="图片 18" descr="3_1">
          <a:extLst>
            <a:ext uri="{FF2B5EF4-FFF2-40B4-BE49-F238E27FC236}">
              <a16:creationId xmlns="" xmlns:a16="http://schemas.microsoft.com/office/drawing/2014/main" id="{00000000-0008-0000-03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28800" y="2296477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527" name="图片 16" descr="2_1">
          <a:extLst>
            <a:ext uri="{FF2B5EF4-FFF2-40B4-BE49-F238E27FC236}">
              <a16:creationId xmlns="" xmlns:a16="http://schemas.microsoft.com/office/drawing/2014/main" id="{00000000-0008-0000-03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33550" y="2193607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528" name="图片 17" descr="3">
          <a:extLst>
            <a:ext uri="{FF2B5EF4-FFF2-40B4-BE49-F238E27FC236}">
              <a16:creationId xmlns="" xmlns:a16="http://schemas.microsoft.com/office/drawing/2014/main" id="{00000000-0008-0000-03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43075" y="2193607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529" name="图片 18" descr="3_1">
          <a:extLst>
            <a:ext uri="{FF2B5EF4-FFF2-40B4-BE49-F238E27FC236}">
              <a16:creationId xmlns="" xmlns:a16="http://schemas.microsoft.com/office/drawing/2014/main" id="{00000000-0008-0000-03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28800" y="2193607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530" name="图片 16" descr="2_1">
          <a:extLst>
            <a:ext uri="{FF2B5EF4-FFF2-40B4-BE49-F238E27FC236}">
              <a16:creationId xmlns="" xmlns:a16="http://schemas.microsoft.com/office/drawing/2014/main" id="{00000000-0008-0000-03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33550" y="2227897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531" name="图片 17" descr="3">
          <a:extLst>
            <a:ext uri="{FF2B5EF4-FFF2-40B4-BE49-F238E27FC236}">
              <a16:creationId xmlns="" xmlns:a16="http://schemas.microsoft.com/office/drawing/2014/main" id="{00000000-0008-0000-03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43075" y="2227897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532" name="图片 18" descr="3_1">
          <a:extLst>
            <a:ext uri="{FF2B5EF4-FFF2-40B4-BE49-F238E27FC236}">
              <a16:creationId xmlns="" xmlns:a16="http://schemas.microsoft.com/office/drawing/2014/main" id="{00000000-0008-0000-03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28800" y="2227897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533" name="图片 16" descr="2_1">
          <a:extLst>
            <a:ext uri="{FF2B5EF4-FFF2-40B4-BE49-F238E27FC236}">
              <a16:creationId xmlns="" xmlns:a16="http://schemas.microsoft.com/office/drawing/2014/main" id="{00000000-0008-0000-03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33550" y="2193607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534" name="图片 17" descr="3">
          <a:extLst>
            <a:ext uri="{FF2B5EF4-FFF2-40B4-BE49-F238E27FC236}">
              <a16:creationId xmlns="" xmlns:a16="http://schemas.microsoft.com/office/drawing/2014/main" id="{00000000-0008-0000-03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43075" y="2193607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535" name="图片 18" descr="3_1">
          <a:extLst>
            <a:ext uri="{FF2B5EF4-FFF2-40B4-BE49-F238E27FC236}">
              <a16:creationId xmlns="" xmlns:a16="http://schemas.microsoft.com/office/drawing/2014/main" id="{00000000-0008-0000-03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28800" y="2193607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536" name="图片 16" descr="2_1">
          <a:extLst>
            <a:ext uri="{FF2B5EF4-FFF2-40B4-BE49-F238E27FC236}">
              <a16:creationId xmlns="" xmlns:a16="http://schemas.microsoft.com/office/drawing/2014/main" id="{00000000-0008-0000-03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33550" y="2227897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537" name="图片 17" descr="3">
          <a:extLst>
            <a:ext uri="{FF2B5EF4-FFF2-40B4-BE49-F238E27FC236}">
              <a16:creationId xmlns="" xmlns:a16="http://schemas.microsoft.com/office/drawing/2014/main" id="{00000000-0008-0000-03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43075" y="2227897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538" name="图片 18" descr="3_1">
          <a:extLst>
            <a:ext uri="{FF2B5EF4-FFF2-40B4-BE49-F238E27FC236}">
              <a16:creationId xmlns="" xmlns:a16="http://schemas.microsoft.com/office/drawing/2014/main" id="{00000000-0008-0000-03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28800" y="2227897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539" name="图片 16" descr="2_1">
          <a:extLst>
            <a:ext uri="{FF2B5EF4-FFF2-40B4-BE49-F238E27FC236}">
              <a16:creationId xmlns="" xmlns:a16="http://schemas.microsoft.com/office/drawing/2014/main" id="{00000000-0008-0000-03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33550" y="2330767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540" name="图片 17" descr="3">
          <a:extLst>
            <a:ext uri="{FF2B5EF4-FFF2-40B4-BE49-F238E27FC236}">
              <a16:creationId xmlns="" xmlns:a16="http://schemas.microsoft.com/office/drawing/2014/main" id="{00000000-0008-0000-03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43075" y="2330767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541" name="图片 18" descr="3_1">
          <a:extLst>
            <a:ext uri="{FF2B5EF4-FFF2-40B4-BE49-F238E27FC236}">
              <a16:creationId xmlns="" xmlns:a16="http://schemas.microsoft.com/office/drawing/2014/main" id="{00000000-0008-0000-03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28800" y="2330767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542" name="图片 16" descr="2_1">
          <a:extLst>
            <a:ext uri="{FF2B5EF4-FFF2-40B4-BE49-F238E27FC236}">
              <a16:creationId xmlns="" xmlns:a16="http://schemas.microsoft.com/office/drawing/2014/main" id="{00000000-0008-0000-03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33550" y="2330767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543" name="图片 17" descr="3">
          <a:extLst>
            <a:ext uri="{FF2B5EF4-FFF2-40B4-BE49-F238E27FC236}">
              <a16:creationId xmlns="" xmlns:a16="http://schemas.microsoft.com/office/drawing/2014/main" id="{00000000-0008-0000-03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43075" y="2330767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544" name="图片 18" descr="3_1">
          <a:extLst>
            <a:ext uri="{FF2B5EF4-FFF2-40B4-BE49-F238E27FC236}">
              <a16:creationId xmlns="" xmlns:a16="http://schemas.microsoft.com/office/drawing/2014/main" id="{00000000-0008-0000-03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28800" y="2330767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545" name="图片 16" descr="2_1">
          <a:extLst>
            <a:ext uri="{FF2B5EF4-FFF2-40B4-BE49-F238E27FC236}">
              <a16:creationId xmlns="" xmlns:a16="http://schemas.microsoft.com/office/drawing/2014/main" id="{00000000-0008-0000-03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33550" y="2262187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546" name="图片 17" descr="3">
          <a:extLst>
            <a:ext uri="{FF2B5EF4-FFF2-40B4-BE49-F238E27FC236}">
              <a16:creationId xmlns="" xmlns:a16="http://schemas.microsoft.com/office/drawing/2014/main" id="{00000000-0008-0000-03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43075" y="2262187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547" name="图片 18" descr="3_1">
          <a:extLst>
            <a:ext uri="{FF2B5EF4-FFF2-40B4-BE49-F238E27FC236}">
              <a16:creationId xmlns="" xmlns:a16="http://schemas.microsoft.com/office/drawing/2014/main" id="{00000000-0008-0000-03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28800" y="2262187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548" name="图片 16" descr="2_1">
          <a:extLst>
            <a:ext uri="{FF2B5EF4-FFF2-40B4-BE49-F238E27FC236}">
              <a16:creationId xmlns="" xmlns:a16="http://schemas.microsoft.com/office/drawing/2014/main" id="{00000000-0008-0000-03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33550" y="2296477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549" name="图片 17" descr="3">
          <a:extLst>
            <a:ext uri="{FF2B5EF4-FFF2-40B4-BE49-F238E27FC236}">
              <a16:creationId xmlns="" xmlns:a16="http://schemas.microsoft.com/office/drawing/2014/main" id="{00000000-0008-0000-03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43075" y="2296477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550" name="图片 18" descr="3_1">
          <a:extLst>
            <a:ext uri="{FF2B5EF4-FFF2-40B4-BE49-F238E27FC236}">
              <a16:creationId xmlns="" xmlns:a16="http://schemas.microsoft.com/office/drawing/2014/main" id="{00000000-0008-0000-03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28800" y="2296477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551" name="图片 16" descr="2_1">
          <a:extLst>
            <a:ext uri="{FF2B5EF4-FFF2-40B4-BE49-F238E27FC236}">
              <a16:creationId xmlns="" xmlns:a16="http://schemas.microsoft.com/office/drawing/2014/main" id="{00000000-0008-0000-03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33550" y="2262187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552" name="图片 17" descr="3">
          <a:extLst>
            <a:ext uri="{FF2B5EF4-FFF2-40B4-BE49-F238E27FC236}">
              <a16:creationId xmlns="" xmlns:a16="http://schemas.microsoft.com/office/drawing/2014/main" id="{00000000-0008-0000-03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43075" y="2262187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553" name="图片 18" descr="3_1">
          <a:extLst>
            <a:ext uri="{FF2B5EF4-FFF2-40B4-BE49-F238E27FC236}">
              <a16:creationId xmlns="" xmlns:a16="http://schemas.microsoft.com/office/drawing/2014/main" id="{00000000-0008-0000-03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28800" y="2262187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554" name="图片 16" descr="2_1">
          <a:extLst>
            <a:ext uri="{FF2B5EF4-FFF2-40B4-BE49-F238E27FC236}">
              <a16:creationId xmlns="" xmlns:a16="http://schemas.microsoft.com/office/drawing/2014/main" id="{00000000-0008-0000-03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33550" y="2296477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555" name="图片 17" descr="3">
          <a:extLst>
            <a:ext uri="{FF2B5EF4-FFF2-40B4-BE49-F238E27FC236}">
              <a16:creationId xmlns="" xmlns:a16="http://schemas.microsoft.com/office/drawing/2014/main" id="{00000000-0008-0000-03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43075" y="2296477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556" name="图片 18" descr="3_1">
          <a:extLst>
            <a:ext uri="{FF2B5EF4-FFF2-40B4-BE49-F238E27FC236}">
              <a16:creationId xmlns="" xmlns:a16="http://schemas.microsoft.com/office/drawing/2014/main" id="{00000000-0008-0000-03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28800" y="2296477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557" name="图片 16" descr="2_1">
          <a:extLst>
            <a:ext uri="{FF2B5EF4-FFF2-40B4-BE49-F238E27FC236}">
              <a16:creationId xmlns="" xmlns:a16="http://schemas.microsoft.com/office/drawing/2014/main" id="{00000000-0008-0000-03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33550" y="2193607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558" name="图片 17" descr="3">
          <a:extLst>
            <a:ext uri="{FF2B5EF4-FFF2-40B4-BE49-F238E27FC236}">
              <a16:creationId xmlns="" xmlns:a16="http://schemas.microsoft.com/office/drawing/2014/main" id="{00000000-0008-0000-03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43075" y="2193607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559" name="图片 18" descr="3_1">
          <a:extLst>
            <a:ext uri="{FF2B5EF4-FFF2-40B4-BE49-F238E27FC236}">
              <a16:creationId xmlns="" xmlns:a16="http://schemas.microsoft.com/office/drawing/2014/main" id="{00000000-0008-0000-03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28800" y="2193607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560" name="图片 16" descr="2_1">
          <a:extLst>
            <a:ext uri="{FF2B5EF4-FFF2-40B4-BE49-F238E27FC236}">
              <a16:creationId xmlns="" xmlns:a16="http://schemas.microsoft.com/office/drawing/2014/main" id="{00000000-0008-0000-03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33550" y="2227897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561" name="图片 17" descr="3">
          <a:extLst>
            <a:ext uri="{FF2B5EF4-FFF2-40B4-BE49-F238E27FC236}">
              <a16:creationId xmlns="" xmlns:a16="http://schemas.microsoft.com/office/drawing/2014/main" id="{00000000-0008-0000-03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43075" y="2227897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562" name="图片 18" descr="3_1">
          <a:extLst>
            <a:ext uri="{FF2B5EF4-FFF2-40B4-BE49-F238E27FC236}">
              <a16:creationId xmlns="" xmlns:a16="http://schemas.microsoft.com/office/drawing/2014/main" id="{00000000-0008-0000-03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28800" y="2227897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563" name="图片 16" descr="2_1">
          <a:extLst>
            <a:ext uri="{FF2B5EF4-FFF2-40B4-BE49-F238E27FC236}">
              <a16:creationId xmlns="" xmlns:a16="http://schemas.microsoft.com/office/drawing/2014/main" id="{00000000-0008-0000-03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33550" y="2193607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564" name="图片 17" descr="3">
          <a:extLst>
            <a:ext uri="{FF2B5EF4-FFF2-40B4-BE49-F238E27FC236}">
              <a16:creationId xmlns="" xmlns:a16="http://schemas.microsoft.com/office/drawing/2014/main" id="{00000000-0008-0000-03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43075" y="2193607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565" name="图片 18" descr="3_1">
          <a:extLst>
            <a:ext uri="{FF2B5EF4-FFF2-40B4-BE49-F238E27FC236}">
              <a16:creationId xmlns="" xmlns:a16="http://schemas.microsoft.com/office/drawing/2014/main" id="{00000000-0008-0000-03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28800" y="2193607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566" name="图片 16" descr="2_1">
          <a:extLst>
            <a:ext uri="{FF2B5EF4-FFF2-40B4-BE49-F238E27FC236}">
              <a16:creationId xmlns="" xmlns:a16="http://schemas.microsoft.com/office/drawing/2014/main" id="{00000000-0008-0000-03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33550" y="22278975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567" name="图片 17" descr="3">
          <a:extLst>
            <a:ext uri="{FF2B5EF4-FFF2-40B4-BE49-F238E27FC236}">
              <a16:creationId xmlns="" xmlns:a16="http://schemas.microsoft.com/office/drawing/2014/main" id="{00000000-0008-0000-03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43075" y="22278975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568" name="图片 18" descr="3_1">
          <a:extLst>
            <a:ext uri="{FF2B5EF4-FFF2-40B4-BE49-F238E27FC236}">
              <a16:creationId xmlns="" xmlns:a16="http://schemas.microsoft.com/office/drawing/2014/main" id="{00000000-0008-0000-03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28800" y="22278975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569" name="图片 16" descr="2_1">
          <a:extLst>
            <a:ext uri="{FF2B5EF4-FFF2-40B4-BE49-F238E27FC236}">
              <a16:creationId xmlns="" xmlns:a16="http://schemas.microsoft.com/office/drawing/2014/main" id="{00000000-0008-0000-03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33550" y="230314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570" name="图片 17" descr="3">
          <a:extLst>
            <a:ext uri="{FF2B5EF4-FFF2-40B4-BE49-F238E27FC236}">
              <a16:creationId xmlns="" xmlns:a16="http://schemas.microsoft.com/office/drawing/2014/main" id="{00000000-0008-0000-03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43075" y="230314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571" name="图片 18" descr="3_1">
          <a:extLst>
            <a:ext uri="{FF2B5EF4-FFF2-40B4-BE49-F238E27FC236}">
              <a16:creationId xmlns="" xmlns:a16="http://schemas.microsoft.com/office/drawing/2014/main" id="{00000000-0008-0000-03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28800" y="230314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9525</xdr:colOff>
      <xdr:row>19</xdr:row>
      <xdr:rowOff>0</xdr:rowOff>
    </xdr:from>
    <xdr:ext cx="133350" cy="9525"/>
    <xdr:pic>
      <xdr:nvPicPr>
        <xdr:cNvPr id="572" name="图片 16" descr="2_1">
          <a:extLst>
            <a:ext uri="{FF2B5EF4-FFF2-40B4-BE49-F238E27FC236}">
              <a16:creationId xmlns="" xmlns:a16="http://schemas.microsoft.com/office/drawing/2014/main" id="{00000000-0008-0000-03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33550" y="23031450"/>
          <a:ext cx="1333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19050</xdr:colOff>
      <xdr:row>19</xdr:row>
      <xdr:rowOff>0</xdr:rowOff>
    </xdr:from>
    <xdr:ext cx="123825" cy="9525"/>
    <xdr:pic>
      <xdr:nvPicPr>
        <xdr:cNvPr id="573" name="图片 17" descr="3">
          <a:extLst>
            <a:ext uri="{FF2B5EF4-FFF2-40B4-BE49-F238E27FC236}">
              <a16:creationId xmlns="" xmlns:a16="http://schemas.microsoft.com/office/drawing/2014/main" id="{00000000-0008-0000-03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43075" y="23031450"/>
          <a:ext cx="1238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19</xdr:row>
      <xdr:rowOff>0</xdr:rowOff>
    </xdr:from>
    <xdr:ext cx="38100" cy="9525"/>
    <xdr:pic>
      <xdr:nvPicPr>
        <xdr:cNvPr id="574" name="图片 18" descr="3_1">
          <a:extLst>
            <a:ext uri="{FF2B5EF4-FFF2-40B4-BE49-F238E27FC236}">
              <a16:creationId xmlns="" xmlns:a16="http://schemas.microsoft.com/office/drawing/2014/main" id="{00000000-0008-0000-03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28800" y="23031450"/>
          <a:ext cx="38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18</xdr:row>
      <xdr:rowOff>0</xdr:rowOff>
    </xdr:from>
    <xdr:to>
      <xdr:col>3</xdr:col>
      <xdr:colOff>142875</xdr:colOff>
      <xdr:row>18</xdr:row>
      <xdr:rowOff>0</xdr:rowOff>
    </xdr:to>
    <xdr:pic>
      <xdr:nvPicPr>
        <xdr:cNvPr id="2" name="图片 1" descr="2_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90700" y="13858875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18</xdr:row>
      <xdr:rowOff>0</xdr:rowOff>
    </xdr:from>
    <xdr:to>
      <xdr:col>3</xdr:col>
      <xdr:colOff>142875</xdr:colOff>
      <xdr:row>18</xdr:row>
      <xdr:rowOff>0</xdr:rowOff>
    </xdr:to>
    <xdr:pic>
      <xdr:nvPicPr>
        <xdr:cNvPr id="3" name="图片 2" descr="3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00225" y="13858875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18</xdr:row>
      <xdr:rowOff>0</xdr:rowOff>
    </xdr:from>
    <xdr:to>
      <xdr:col>3</xdr:col>
      <xdr:colOff>142875</xdr:colOff>
      <xdr:row>18</xdr:row>
      <xdr:rowOff>0</xdr:rowOff>
    </xdr:to>
    <xdr:pic>
      <xdr:nvPicPr>
        <xdr:cNvPr id="4" name="图片 3" descr="3_1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85950" y="13858875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18</xdr:row>
      <xdr:rowOff>0</xdr:rowOff>
    </xdr:from>
    <xdr:to>
      <xdr:col>3</xdr:col>
      <xdr:colOff>142875</xdr:colOff>
      <xdr:row>18</xdr:row>
      <xdr:rowOff>0</xdr:rowOff>
    </xdr:to>
    <xdr:pic>
      <xdr:nvPicPr>
        <xdr:cNvPr id="5" name="图片 4" descr="2_1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90700" y="565785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18</xdr:row>
      <xdr:rowOff>0</xdr:rowOff>
    </xdr:from>
    <xdr:to>
      <xdr:col>3</xdr:col>
      <xdr:colOff>142875</xdr:colOff>
      <xdr:row>18</xdr:row>
      <xdr:rowOff>0</xdr:rowOff>
    </xdr:to>
    <xdr:pic>
      <xdr:nvPicPr>
        <xdr:cNvPr id="6" name="图片 5" descr="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00225" y="565785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18</xdr:row>
      <xdr:rowOff>0</xdr:rowOff>
    </xdr:from>
    <xdr:to>
      <xdr:col>3</xdr:col>
      <xdr:colOff>142875</xdr:colOff>
      <xdr:row>18</xdr:row>
      <xdr:rowOff>0</xdr:rowOff>
    </xdr:to>
    <xdr:pic>
      <xdr:nvPicPr>
        <xdr:cNvPr id="7" name="图片 6" descr="3_1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85950" y="565785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18</xdr:row>
      <xdr:rowOff>0</xdr:rowOff>
    </xdr:from>
    <xdr:to>
      <xdr:col>3</xdr:col>
      <xdr:colOff>142875</xdr:colOff>
      <xdr:row>18</xdr:row>
      <xdr:rowOff>0</xdr:rowOff>
    </xdr:to>
    <xdr:pic>
      <xdr:nvPicPr>
        <xdr:cNvPr id="8" name="图片 7" descr="2_1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90700" y="565785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18</xdr:row>
      <xdr:rowOff>0</xdr:rowOff>
    </xdr:from>
    <xdr:to>
      <xdr:col>3</xdr:col>
      <xdr:colOff>142875</xdr:colOff>
      <xdr:row>18</xdr:row>
      <xdr:rowOff>0</xdr:rowOff>
    </xdr:to>
    <xdr:pic>
      <xdr:nvPicPr>
        <xdr:cNvPr id="9" name="图片 8" descr="3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00225" y="565785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18</xdr:row>
      <xdr:rowOff>0</xdr:rowOff>
    </xdr:from>
    <xdr:to>
      <xdr:col>3</xdr:col>
      <xdr:colOff>142875</xdr:colOff>
      <xdr:row>18</xdr:row>
      <xdr:rowOff>0</xdr:rowOff>
    </xdr:to>
    <xdr:pic>
      <xdr:nvPicPr>
        <xdr:cNvPr id="10" name="图片 9" descr="3_1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85950" y="565785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13</xdr:row>
      <xdr:rowOff>0</xdr:rowOff>
    </xdr:from>
    <xdr:to>
      <xdr:col>3</xdr:col>
      <xdr:colOff>142875</xdr:colOff>
      <xdr:row>13</xdr:row>
      <xdr:rowOff>0</xdr:rowOff>
    </xdr:to>
    <xdr:pic>
      <xdr:nvPicPr>
        <xdr:cNvPr id="11" name="图片 10" descr="2_1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90700" y="662940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13</xdr:row>
      <xdr:rowOff>0</xdr:rowOff>
    </xdr:from>
    <xdr:to>
      <xdr:col>3</xdr:col>
      <xdr:colOff>142875</xdr:colOff>
      <xdr:row>13</xdr:row>
      <xdr:rowOff>0</xdr:rowOff>
    </xdr:to>
    <xdr:pic>
      <xdr:nvPicPr>
        <xdr:cNvPr id="12" name="图片 11" descr="3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00225" y="662940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13</xdr:row>
      <xdr:rowOff>0</xdr:rowOff>
    </xdr:from>
    <xdr:to>
      <xdr:col>3</xdr:col>
      <xdr:colOff>142875</xdr:colOff>
      <xdr:row>13</xdr:row>
      <xdr:rowOff>0</xdr:rowOff>
    </xdr:to>
    <xdr:pic>
      <xdr:nvPicPr>
        <xdr:cNvPr id="13" name="图片 12" descr="3_1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85950" y="662940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13</xdr:row>
      <xdr:rowOff>0</xdr:rowOff>
    </xdr:from>
    <xdr:to>
      <xdr:col>3</xdr:col>
      <xdr:colOff>142875</xdr:colOff>
      <xdr:row>13</xdr:row>
      <xdr:rowOff>0</xdr:rowOff>
    </xdr:to>
    <xdr:pic>
      <xdr:nvPicPr>
        <xdr:cNvPr id="14" name="图片 13" descr="2_1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90700" y="662940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13</xdr:row>
      <xdr:rowOff>0</xdr:rowOff>
    </xdr:from>
    <xdr:to>
      <xdr:col>3</xdr:col>
      <xdr:colOff>142875</xdr:colOff>
      <xdr:row>13</xdr:row>
      <xdr:rowOff>0</xdr:rowOff>
    </xdr:to>
    <xdr:pic>
      <xdr:nvPicPr>
        <xdr:cNvPr id="15" name="图片 14" descr="3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00225" y="662940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13</xdr:row>
      <xdr:rowOff>0</xdr:rowOff>
    </xdr:from>
    <xdr:to>
      <xdr:col>3</xdr:col>
      <xdr:colOff>142875</xdr:colOff>
      <xdr:row>13</xdr:row>
      <xdr:rowOff>0</xdr:rowOff>
    </xdr:to>
    <xdr:pic>
      <xdr:nvPicPr>
        <xdr:cNvPr id="16" name="图片 15" descr="3_1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85950" y="662940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13</xdr:row>
      <xdr:rowOff>0</xdr:rowOff>
    </xdr:from>
    <xdr:to>
      <xdr:col>3</xdr:col>
      <xdr:colOff>142875</xdr:colOff>
      <xdr:row>13</xdr:row>
      <xdr:rowOff>0</xdr:rowOff>
    </xdr:to>
    <xdr:pic>
      <xdr:nvPicPr>
        <xdr:cNvPr id="17" name="图片 16" descr="2_1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90700" y="422910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13</xdr:row>
      <xdr:rowOff>0</xdr:rowOff>
    </xdr:from>
    <xdr:to>
      <xdr:col>3</xdr:col>
      <xdr:colOff>142875</xdr:colOff>
      <xdr:row>13</xdr:row>
      <xdr:rowOff>0</xdr:rowOff>
    </xdr:to>
    <xdr:pic>
      <xdr:nvPicPr>
        <xdr:cNvPr id="18" name="图片 17" descr="3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00225" y="422910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13</xdr:row>
      <xdr:rowOff>0</xdr:rowOff>
    </xdr:from>
    <xdr:to>
      <xdr:col>3</xdr:col>
      <xdr:colOff>142875</xdr:colOff>
      <xdr:row>13</xdr:row>
      <xdr:rowOff>0</xdr:rowOff>
    </xdr:to>
    <xdr:pic>
      <xdr:nvPicPr>
        <xdr:cNvPr id="19" name="图片 18" descr="3_1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85950" y="422910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13</xdr:row>
      <xdr:rowOff>0</xdr:rowOff>
    </xdr:from>
    <xdr:to>
      <xdr:col>3</xdr:col>
      <xdr:colOff>142875</xdr:colOff>
      <xdr:row>13</xdr:row>
      <xdr:rowOff>0</xdr:rowOff>
    </xdr:to>
    <xdr:pic>
      <xdr:nvPicPr>
        <xdr:cNvPr id="20" name="图片 19" descr="2_1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90700" y="422910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13</xdr:row>
      <xdr:rowOff>0</xdr:rowOff>
    </xdr:from>
    <xdr:to>
      <xdr:col>3</xdr:col>
      <xdr:colOff>142875</xdr:colOff>
      <xdr:row>13</xdr:row>
      <xdr:rowOff>0</xdr:rowOff>
    </xdr:to>
    <xdr:pic>
      <xdr:nvPicPr>
        <xdr:cNvPr id="21" name="图片 20" descr="3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00225" y="422910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13</xdr:row>
      <xdr:rowOff>0</xdr:rowOff>
    </xdr:from>
    <xdr:to>
      <xdr:col>3</xdr:col>
      <xdr:colOff>142875</xdr:colOff>
      <xdr:row>13</xdr:row>
      <xdr:rowOff>0</xdr:rowOff>
    </xdr:to>
    <xdr:pic>
      <xdr:nvPicPr>
        <xdr:cNvPr id="22" name="图片 21" descr="3_1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85950" y="422910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6</xdr:row>
      <xdr:rowOff>0</xdr:rowOff>
    </xdr:from>
    <xdr:to>
      <xdr:col>3</xdr:col>
      <xdr:colOff>142875</xdr:colOff>
      <xdr:row>6</xdr:row>
      <xdr:rowOff>0</xdr:rowOff>
    </xdr:to>
    <xdr:pic>
      <xdr:nvPicPr>
        <xdr:cNvPr id="2" name="图片 1" descr="2_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90700" y="445770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6</xdr:row>
      <xdr:rowOff>0</xdr:rowOff>
    </xdr:from>
    <xdr:to>
      <xdr:col>3</xdr:col>
      <xdr:colOff>142875</xdr:colOff>
      <xdr:row>6</xdr:row>
      <xdr:rowOff>0</xdr:rowOff>
    </xdr:to>
    <xdr:pic>
      <xdr:nvPicPr>
        <xdr:cNvPr id="3" name="图片 2" descr="3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00225" y="445770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6</xdr:row>
      <xdr:rowOff>0</xdr:rowOff>
    </xdr:from>
    <xdr:to>
      <xdr:col>3</xdr:col>
      <xdr:colOff>142875</xdr:colOff>
      <xdr:row>6</xdr:row>
      <xdr:rowOff>0</xdr:rowOff>
    </xdr:to>
    <xdr:pic>
      <xdr:nvPicPr>
        <xdr:cNvPr id="4" name="图片 3" descr="3_1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85950" y="445770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39</xdr:row>
      <xdr:rowOff>0</xdr:rowOff>
    </xdr:from>
    <xdr:to>
      <xdr:col>3</xdr:col>
      <xdr:colOff>142875</xdr:colOff>
      <xdr:row>39</xdr:row>
      <xdr:rowOff>0</xdr:rowOff>
    </xdr:to>
    <xdr:pic>
      <xdr:nvPicPr>
        <xdr:cNvPr id="2" name="图片 1" descr="2_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90850" y="2238375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39</xdr:row>
      <xdr:rowOff>0</xdr:rowOff>
    </xdr:from>
    <xdr:to>
      <xdr:col>3</xdr:col>
      <xdr:colOff>142875</xdr:colOff>
      <xdr:row>39</xdr:row>
      <xdr:rowOff>0</xdr:rowOff>
    </xdr:to>
    <xdr:pic>
      <xdr:nvPicPr>
        <xdr:cNvPr id="3" name="图片 2" descr="3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000375" y="2238375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39</xdr:row>
      <xdr:rowOff>0</xdr:rowOff>
    </xdr:from>
    <xdr:to>
      <xdr:col>3</xdr:col>
      <xdr:colOff>142875</xdr:colOff>
      <xdr:row>39</xdr:row>
      <xdr:rowOff>0</xdr:rowOff>
    </xdr:to>
    <xdr:pic>
      <xdr:nvPicPr>
        <xdr:cNvPr id="4" name="图片 3" descr="3_1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086100" y="2238375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8</xdr:row>
      <xdr:rowOff>0</xdr:rowOff>
    </xdr:from>
    <xdr:to>
      <xdr:col>3</xdr:col>
      <xdr:colOff>142875</xdr:colOff>
      <xdr:row>8</xdr:row>
      <xdr:rowOff>0</xdr:rowOff>
    </xdr:to>
    <xdr:pic>
      <xdr:nvPicPr>
        <xdr:cNvPr id="2" name="图片 1" descr="2_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90700" y="240030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8</xdr:row>
      <xdr:rowOff>0</xdr:rowOff>
    </xdr:from>
    <xdr:to>
      <xdr:col>3</xdr:col>
      <xdr:colOff>142875</xdr:colOff>
      <xdr:row>8</xdr:row>
      <xdr:rowOff>0</xdr:rowOff>
    </xdr:to>
    <xdr:pic>
      <xdr:nvPicPr>
        <xdr:cNvPr id="3" name="图片 2" descr="3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00225" y="240030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8</xdr:row>
      <xdr:rowOff>0</xdr:rowOff>
    </xdr:from>
    <xdr:to>
      <xdr:col>3</xdr:col>
      <xdr:colOff>142875</xdr:colOff>
      <xdr:row>8</xdr:row>
      <xdr:rowOff>0</xdr:rowOff>
    </xdr:to>
    <xdr:pic>
      <xdr:nvPicPr>
        <xdr:cNvPr id="4" name="图片 3" descr="3_1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85950" y="240030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RTX%20Files\di.lu\&#22269;&#27888;&#23433;&#24515;&#25615;&#39588;&#20572;&#38498;&#21069;&#24613;&#25937;&#34394;&#25311;&#20223;&#30495;&#23454;&#35757;&#36719;&#20214;V1.0_&#39033;&#30446;&#20272;&#31639;&#34920;03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RTX%20Files\di.lu\&#22269;&#27888;&#23433;&#24515;&#25615;&#39588;&#20572;&#38498;&#21069;&#24613;&#25937;&#34394;&#25311;&#20223;&#30495;&#23454;&#35757;&#36719;&#20214;V1.0_&#39033;&#30446;&#20272;&#31639;&#34920;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项目总体评估 "/>
      <sheetName val="UI_工作量评估"/>
      <sheetName val=".NET_工作量评估"/>
      <sheetName val="U3D_工作量评估"/>
      <sheetName val="建模_工作量评估"/>
      <sheetName val="场景_工作量评估"/>
      <sheetName val="动画_工作量评估"/>
      <sheetName val="特效_工作量评估"/>
      <sheetName val="基础信息"/>
      <sheetName val="技术复杂度评估表"/>
      <sheetName val="附录-节假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F3">
            <v>0.3</v>
          </cell>
        </row>
        <row r="11">
          <cell r="D11" t="str">
            <v>综合评分</v>
          </cell>
          <cell r="E11" t="str">
            <v>加权系数</v>
          </cell>
        </row>
        <row r="12">
          <cell r="D12" t="str">
            <v>高高</v>
          </cell>
          <cell r="E12">
            <v>2</v>
          </cell>
        </row>
        <row r="13">
          <cell r="D13" t="str">
            <v>高中</v>
          </cell>
          <cell r="E13">
            <v>1.5</v>
          </cell>
        </row>
        <row r="14">
          <cell r="D14" t="str">
            <v>中高</v>
          </cell>
          <cell r="E14">
            <v>1.5</v>
          </cell>
        </row>
        <row r="15">
          <cell r="D15" t="str">
            <v>中中</v>
          </cell>
          <cell r="E15">
            <v>1</v>
          </cell>
        </row>
        <row r="16">
          <cell r="D16" t="str">
            <v>高低</v>
          </cell>
          <cell r="E16">
            <v>0.8</v>
          </cell>
        </row>
        <row r="17">
          <cell r="D17" t="str">
            <v>低高</v>
          </cell>
          <cell r="E17">
            <v>0.8</v>
          </cell>
        </row>
        <row r="18">
          <cell r="D18" t="str">
            <v>中低</v>
          </cell>
          <cell r="E18">
            <v>0.5</v>
          </cell>
        </row>
        <row r="19">
          <cell r="D19" t="str">
            <v>低中</v>
          </cell>
          <cell r="E19">
            <v>0.5</v>
          </cell>
        </row>
        <row r="20">
          <cell r="D20" t="str">
            <v>低低</v>
          </cell>
          <cell r="E20">
            <v>0.5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项目总体评估 "/>
      <sheetName val="UI_工作量评估"/>
      <sheetName val=".NET_工作量评估"/>
      <sheetName val="U3D_工作量评估"/>
      <sheetName val="建模_工作量评估"/>
      <sheetName val="场景_工作量评估"/>
      <sheetName val="动画_工作量评估"/>
      <sheetName val="特效_工作量评估"/>
      <sheetName val="基础信息"/>
      <sheetName val="技术复杂度评估表"/>
      <sheetName val="附录-节假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F3">
            <v>0.3</v>
          </cell>
        </row>
        <row r="11">
          <cell r="D11" t="str">
            <v>综合评分</v>
          </cell>
          <cell r="E11" t="str">
            <v>加权系数</v>
          </cell>
        </row>
        <row r="12">
          <cell r="D12" t="str">
            <v>高高</v>
          </cell>
          <cell r="E12">
            <v>2</v>
          </cell>
        </row>
        <row r="13">
          <cell r="D13" t="str">
            <v>高中</v>
          </cell>
          <cell r="E13">
            <v>1.5</v>
          </cell>
        </row>
        <row r="14">
          <cell r="D14" t="str">
            <v>中高</v>
          </cell>
          <cell r="E14">
            <v>1.5</v>
          </cell>
        </row>
        <row r="15">
          <cell r="D15" t="str">
            <v>中中</v>
          </cell>
          <cell r="E15">
            <v>1</v>
          </cell>
        </row>
        <row r="16">
          <cell r="D16" t="str">
            <v>高低</v>
          </cell>
          <cell r="E16">
            <v>0.8</v>
          </cell>
        </row>
        <row r="17">
          <cell r="D17" t="str">
            <v>低高</v>
          </cell>
          <cell r="E17">
            <v>0.8</v>
          </cell>
        </row>
        <row r="18">
          <cell r="D18" t="str">
            <v>中低</v>
          </cell>
          <cell r="E18">
            <v>0.5</v>
          </cell>
        </row>
        <row r="19">
          <cell r="D19" t="str">
            <v>低中</v>
          </cell>
          <cell r="E19">
            <v>0.5</v>
          </cell>
        </row>
        <row r="20">
          <cell r="D20" t="str">
            <v>低低</v>
          </cell>
          <cell r="E20">
            <v>0.5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Y74"/>
  <sheetViews>
    <sheetView tabSelected="1" topLeftCell="A22" workbookViewId="0">
      <selection activeCell="F5" sqref="F5"/>
    </sheetView>
  </sheetViews>
  <sheetFormatPr defaultColWidth="9" defaultRowHeight="13.5"/>
  <cols>
    <col min="1" max="1" width="9" style="47"/>
    <col min="2" max="2" width="12.625" style="47" customWidth="1"/>
    <col min="3" max="4" width="17.375" style="47" customWidth="1"/>
    <col min="5" max="5" width="13.625" style="47" customWidth="1"/>
    <col min="6" max="6" width="11.25" style="47" customWidth="1"/>
    <col min="7" max="7" width="10.25" style="47" customWidth="1"/>
    <col min="8" max="8" width="11.125" style="47" customWidth="1"/>
    <col min="9" max="11" width="11.25" style="47" customWidth="1"/>
    <col min="12" max="12" width="17" style="47" customWidth="1"/>
    <col min="13" max="13" width="11.875" style="47" customWidth="1"/>
    <col min="14" max="14" width="11.25" style="47" customWidth="1"/>
    <col min="15" max="15" width="13" style="47" customWidth="1"/>
    <col min="16" max="16" width="10.875" style="47" customWidth="1"/>
    <col min="17" max="17" width="12.5" style="47" customWidth="1"/>
    <col min="18" max="18" width="12.25" style="47" customWidth="1"/>
    <col min="19" max="19" width="10.875" style="47" customWidth="1"/>
    <col min="20" max="20" width="12.5" style="47" customWidth="1"/>
    <col min="21" max="21" width="12.25" style="47" customWidth="1"/>
    <col min="22" max="22" width="14.625" style="47" customWidth="1"/>
    <col min="23" max="23" width="10.625" style="47" customWidth="1"/>
    <col min="24" max="28" width="9" style="47"/>
    <col min="29" max="29" width="19.375" style="47" customWidth="1"/>
    <col min="30" max="16384" width="9" style="47"/>
  </cols>
  <sheetData>
    <row r="3" spans="1:17" ht="39.950000000000003" customHeight="1">
      <c r="A3" s="161" t="s">
        <v>0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</row>
    <row r="4" spans="1:17" ht="39.950000000000003" customHeight="1">
      <c r="A4" s="82"/>
      <c r="B4" s="162" t="s">
        <v>1</v>
      </c>
      <c r="C4" s="163"/>
      <c r="D4" s="163"/>
      <c r="E4" s="163"/>
      <c r="F4" s="160">
        <f>F12+F14+F17+F18</f>
        <v>59</v>
      </c>
      <c r="G4" s="164" t="s">
        <v>2</v>
      </c>
      <c r="H4" s="164"/>
      <c r="I4" s="85">
        <f>(F30-H30)/F30</f>
        <v>0</v>
      </c>
      <c r="J4" s="164" t="s">
        <v>3</v>
      </c>
      <c r="K4" s="164"/>
      <c r="L4" s="108">
        <f>技术复杂度评估表!E1</f>
        <v>0.65999999999999992</v>
      </c>
      <c r="M4" s="159"/>
      <c r="N4" s="82"/>
    </row>
    <row r="5" spans="1:17" ht="27">
      <c r="B5" s="165" t="s">
        <v>4</v>
      </c>
      <c r="C5" s="166"/>
      <c r="D5" s="166"/>
      <c r="E5" s="166"/>
      <c r="F5" s="48" t="s">
        <v>5</v>
      </c>
      <c r="G5" s="48" t="s">
        <v>6</v>
      </c>
      <c r="H5" s="48" t="s">
        <v>7</v>
      </c>
      <c r="I5" s="48" t="s">
        <v>6</v>
      </c>
      <c r="J5" s="166" t="s">
        <v>8</v>
      </c>
      <c r="K5" s="166"/>
      <c r="L5" s="167"/>
      <c r="M5" s="110"/>
      <c r="N5" s="110"/>
      <c r="O5" s="110"/>
    </row>
    <row r="6" spans="1:17" ht="45.75" customHeight="1">
      <c r="B6" s="196" t="s">
        <v>9</v>
      </c>
      <c r="C6" s="168" t="s">
        <v>10</v>
      </c>
      <c r="D6" s="168"/>
      <c r="E6" s="168"/>
      <c r="F6" s="86">
        <v>2</v>
      </c>
      <c r="G6" s="87"/>
      <c r="H6" s="86">
        <v>2</v>
      </c>
      <c r="I6" s="87"/>
      <c r="J6" s="169" t="s">
        <v>256</v>
      </c>
      <c r="K6" s="168"/>
      <c r="L6" s="170"/>
      <c r="M6" s="220"/>
      <c r="N6" s="110"/>
      <c r="O6" s="110"/>
    </row>
    <row r="7" spans="1:17" ht="37.5" customHeight="1">
      <c r="B7" s="196"/>
      <c r="C7" s="168" t="s">
        <v>11</v>
      </c>
      <c r="D7" s="168"/>
      <c r="E7" s="168"/>
      <c r="F7" s="86">
        <v>0</v>
      </c>
      <c r="G7" s="87"/>
      <c r="H7" s="86">
        <v>0</v>
      </c>
      <c r="I7" s="87"/>
      <c r="J7" s="171" t="s">
        <v>255</v>
      </c>
      <c r="K7" s="168"/>
      <c r="L7" s="170"/>
      <c r="M7" s="220"/>
      <c r="N7" s="110"/>
      <c r="O7" s="110"/>
    </row>
    <row r="8" spans="1:17" ht="71.45" customHeight="1">
      <c r="B8" s="197" t="s">
        <v>12</v>
      </c>
      <c r="C8" s="172" t="s">
        <v>13</v>
      </c>
      <c r="D8" s="172"/>
      <c r="E8" s="172"/>
      <c r="F8" s="56">
        <f>$F$32*G8</f>
        <v>3.393333333333334</v>
      </c>
      <c r="G8" s="89">
        <v>0.02</v>
      </c>
      <c r="H8" s="56">
        <f>$H$32*I8</f>
        <v>3.393333333333334</v>
      </c>
      <c r="I8" s="89">
        <v>0.02</v>
      </c>
      <c r="J8" s="173" t="s">
        <v>257</v>
      </c>
      <c r="K8" s="172"/>
      <c r="L8" s="174"/>
      <c r="M8" s="220"/>
      <c r="N8" s="110"/>
      <c r="O8" s="110"/>
    </row>
    <row r="9" spans="1:17" ht="18" customHeight="1">
      <c r="B9" s="198"/>
      <c r="C9" s="176" t="s">
        <v>14</v>
      </c>
      <c r="D9" s="152"/>
      <c r="E9" s="88" t="s">
        <v>15</v>
      </c>
      <c r="F9" s="90">
        <v>2</v>
      </c>
      <c r="G9" s="177">
        <v>0.02</v>
      </c>
      <c r="H9" s="90">
        <v>2</v>
      </c>
      <c r="I9" s="177">
        <v>0.02</v>
      </c>
      <c r="J9" s="224" t="s">
        <v>16</v>
      </c>
      <c r="K9" s="225"/>
      <c r="L9" s="226"/>
      <c r="M9" s="111"/>
      <c r="N9" s="110"/>
      <c r="O9" s="110"/>
    </row>
    <row r="10" spans="1:17" ht="29.25" customHeight="1">
      <c r="B10" s="198"/>
      <c r="C10" s="176"/>
      <c r="D10" s="152"/>
      <c r="E10" s="91" t="s">
        <v>17</v>
      </c>
      <c r="F10" s="56">
        <f>$F$32*G9-F9</f>
        <v>1.393333333333334</v>
      </c>
      <c r="G10" s="178"/>
      <c r="H10" s="56">
        <f>$H$32*I9-H9</f>
        <v>1.393333333333334</v>
      </c>
      <c r="I10" s="178"/>
      <c r="J10" s="173" t="s">
        <v>258</v>
      </c>
      <c r="K10" s="172"/>
      <c r="L10" s="174"/>
      <c r="M10" s="110"/>
      <c r="N10" s="110"/>
      <c r="O10" s="110"/>
    </row>
    <row r="11" spans="1:17" ht="67.7" customHeight="1">
      <c r="B11" s="198"/>
      <c r="C11" s="172" t="s">
        <v>18</v>
      </c>
      <c r="D11" s="172"/>
      <c r="E11" s="172"/>
      <c r="F11" s="56">
        <f>$F$32*G11</f>
        <v>0</v>
      </c>
      <c r="G11" s="89">
        <v>0</v>
      </c>
      <c r="H11" s="56">
        <f>$H$32*I11</f>
        <v>0</v>
      </c>
      <c r="I11" s="89">
        <v>0</v>
      </c>
      <c r="J11" s="175" t="s">
        <v>255</v>
      </c>
      <c r="K11" s="172"/>
      <c r="L11" s="174"/>
      <c r="M11" s="110"/>
      <c r="N11" s="110"/>
      <c r="O11" s="110"/>
    </row>
    <row r="12" spans="1:17" ht="13.7" customHeight="1">
      <c r="B12" s="198"/>
      <c r="C12" s="176" t="s">
        <v>19</v>
      </c>
      <c r="D12" s="152"/>
      <c r="E12" s="92" t="s">
        <v>20</v>
      </c>
      <c r="F12" s="93">
        <f>UI_工作量评估!T9</f>
        <v>0.5</v>
      </c>
      <c r="G12" s="179">
        <v>0.7</v>
      </c>
      <c r="H12" s="93">
        <f>UI_工作量评估!W9</f>
        <v>0.5</v>
      </c>
      <c r="I12" s="179">
        <v>0.7</v>
      </c>
      <c r="J12" s="173" t="s">
        <v>259</v>
      </c>
      <c r="K12" s="172"/>
      <c r="L12" s="174"/>
      <c r="M12" s="110"/>
      <c r="N12" s="110"/>
      <c r="O12" s="110"/>
    </row>
    <row r="13" spans="1:17" ht="13.7" customHeight="1">
      <c r="B13" s="198"/>
      <c r="C13" s="176"/>
      <c r="D13" s="152"/>
      <c r="E13" s="92" t="s">
        <v>21</v>
      </c>
      <c r="F13" s="93"/>
      <c r="G13" s="179"/>
      <c r="H13" s="93"/>
      <c r="I13" s="179"/>
      <c r="J13" s="180"/>
      <c r="K13" s="172"/>
      <c r="L13" s="174"/>
      <c r="M13" s="110"/>
      <c r="N13" s="110"/>
      <c r="O13" s="110"/>
    </row>
    <row r="14" spans="1:17" ht="13.7" customHeight="1">
      <c r="B14" s="198"/>
      <c r="C14" s="176"/>
      <c r="D14" s="152"/>
      <c r="E14" s="92" t="s">
        <v>22</v>
      </c>
      <c r="F14" s="93">
        <f>U3D_工作量评估!R20</f>
        <v>24.400000000000002</v>
      </c>
      <c r="G14" s="179"/>
      <c r="H14" s="93">
        <f>U3D_工作量评估!U20</f>
        <v>24.400000000000002</v>
      </c>
      <c r="I14" s="179"/>
      <c r="J14" s="180"/>
      <c r="K14" s="172"/>
      <c r="L14" s="174"/>
      <c r="M14" s="110"/>
      <c r="N14" s="110"/>
      <c r="O14" s="110"/>
    </row>
    <row r="15" spans="1:17" ht="13.7" customHeight="1">
      <c r="B15" s="198"/>
      <c r="C15" s="176"/>
      <c r="D15" s="152"/>
      <c r="E15" s="92" t="s">
        <v>23</v>
      </c>
      <c r="F15" s="93">
        <f>建模_工作量评估!R19</f>
        <v>56.766666666666666</v>
      </c>
      <c r="G15" s="179"/>
      <c r="H15" s="93">
        <f>建模_工作量评估!U19</f>
        <v>56.766666666666666</v>
      </c>
      <c r="I15" s="179"/>
      <c r="J15" s="180"/>
      <c r="K15" s="172"/>
      <c r="L15" s="174"/>
      <c r="M15" s="110"/>
      <c r="N15" s="110"/>
      <c r="O15" s="110"/>
    </row>
    <row r="16" spans="1:17" ht="13.7" customHeight="1">
      <c r="B16" s="198"/>
      <c r="C16" s="176"/>
      <c r="D16" s="152"/>
      <c r="E16" s="73" t="s">
        <v>24</v>
      </c>
      <c r="F16" s="93">
        <f>场景_工作量评估!R7</f>
        <v>0</v>
      </c>
      <c r="G16" s="179"/>
      <c r="H16" s="93">
        <f>场景_工作量评估!U7</f>
        <v>0</v>
      </c>
      <c r="I16" s="179"/>
      <c r="J16" s="180"/>
      <c r="K16" s="172"/>
      <c r="L16" s="174"/>
      <c r="M16" s="110"/>
      <c r="N16" s="110"/>
      <c r="O16" s="110"/>
    </row>
    <row r="17" spans="2:15" ht="13.7" customHeight="1">
      <c r="B17" s="198"/>
      <c r="C17" s="176"/>
      <c r="D17" s="152"/>
      <c r="E17" s="92" t="s">
        <v>25</v>
      </c>
      <c r="F17" s="93">
        <f>动画_工作量评估!R40</f>
        <v>32.099999999999994</v>
      </c>
      <c r="G17" s="179"/>
      <c r="H17" s="93">
        <f>动画_工作量评估!U40</f>
        <v>32.099999999999994</v>
      </c>
      <c r="I17" s="179"/>
      <c r="J17" s="180"/>
      <c r="K17" s="172"/>
      <c r="L17" s="174"/>
      <c r="M17" s="110"/>
      <c r="N17" s="110"/>
      <c r="O17" s="110"/>
    </row>
    <row r="18" spans="2:15" ht="13.7" customHeight="1">
      <c r="B18" s="198"/>
      <c r="C18" s="176"/>
      <c r="D18" s="152"/>
      <c r="E18" s="92" t="s">
        <v>26</v>
      </c>
      <c r="F18" s="93">
        <f>特效_工作量评估!R9</f>
        <v>2</v>
      </c>
      <c r="G18" s="179"/>
      <c r="H18" s="93">
        <f>特效_工作量评估!U9</f>
        <v>2</v>
      </c>
      <c r="I18" s="179"/>
      <c r="J18" s="180"/>
      <c r="K18" s="172"/>
      <c r="L18" s="174"/>
      <c r="M18" s="110"/>
      <c r="N18" s="110"/>
      <c r="O18" s="110"/>
    </row>
    <row r="19" spans="2:15" ht="13.7" customHeight="1">
      <c r="B19" s="198"/>
      <c r="C19" s="176"/>
      <c r="D19" s="152"/>
      <c r="E19" s="73" t="s">
        <v>27</v>
      </c>
      <c r="F19" s="92">
        <v>3</v>
      </c>
      <c r="G19" s="179"/>
      <c r="H19" s="92">
        <v>3</v>
      </c>
      <c r="I19" s="179"/>
      <c r="J19" s="180"/>
      <c r="K19" s="172"/>
      <c r="L19" s="174"/>
      <c r="M19" s="110"/>
      <c r="N19" s="110"/>
      <c r="O19" s="110"/>
    </row>
    <row r="20" spans="2:15" ht="48.2" customHeight="1">
      <c r="B20" s="198"/>
      <c r="C20" s="172" t="s">
        <v>28</v>
      </c>
      <c r="D20" s="172"/>
      <c r="E20" s="172"/>
      <c r="F20" s="56">
        <f t="shared" ref="F20:F24" si="0">$F$32*G20</f>
        <v>5.0900000000000007</v>
      </c>
      <c r="G20" s="89">
        <v>0.03</v>
      </c>
      <c r="H20" s="56">
        <f t="shared" ref="H20:H24" si="1">$H$32*I20</f>
        <v>5.0900000000000007</v>
      </c>
      <c r="I20" s="89">
        <v>0.03</v>
      </c>
      <c r="J20" s="173" t="s">
        <v>260</v>
      </c>
      <c r="K20" s="172"/>
      <c r="L20" s="174"/>
      <c r="M20" s="110"/>
      <c r="N20" s="110"/>
      <c r="O20" s="110"/>
    </row>
    <row r="21" spans="2:15" ht="48.2" customHeight="1">
      <c r="B21" s="198"/>
      <c r="C21" s="172" t="s">
        <v>29</v>
      </c>
      <c r="D21" s="172"/>
      <c r="E21" s="172"/>
      <c r="F21" s="56">
        <f t="shared" si="0"/>
        <v>0</v>
      </c>
      <c r="G21" s="89">
        <v>0</v>
      </c>
      <c r="H21" s="56">
        <f t="shared" si="1"/>
        <v>0</v>
      </c>
      <c r="I21" s="89">
        <v>0</v>
      </c>
      <c r="J21" s="175" t="s">
        <v>255</v>
      </c>
      <c r="K21" s="172"/>
      <c r="L21" s="174"/>
      <c r="M21" s="110"/>
      <c r="N21" s="110"/>
      <c r="O21" s="110"/>
    </row>
    <row r="22" spans="2:15" ht="29.25" customHeight="1">
      <c r="B22" s="198"/>
      <c r="C22" s="176" t="s">
        <v>30</v>
      </c>
      <c r="D22" s="152"/>
      <c r="E22" s="91" t="s">
        <v>30</v>
      </c>
      <c r="F22" s="56">
        <f>$F$32*G22*42%</f>
        <v>7.1260000000000003</v>
      </c>
      <c r="G22" s="179">
        <v>0.1</v>
      </c>
      <c r="H22" s="56">
        <f>$H$32*I22*42%</f>
        <v>7.1260000000000003</v>
      </c>
      <c r="I22" s="179">
        <v>0.1</v>
      </c>
      <c r="J22" s="172" t="s">
        <v>31</v>
      </c>
      <c r="K22" s="172"/>
      <c r="L22" s="174"/>
      <c r="M22" s="110"/>
      <c r="N22" s="110"/>
      <c r="O22" s="110"/>
    </row>
    <row r="23" spans="2:15" ht="31.7" customHeight="1">
      <c r="B23" s="198"/>
      <c r="C23" s="176"/>
      <c r="D23" s="152"/>
      <c r="E23" s="91" t="s">
        <v>32</v>
      </c>
      <c r="F23" s="56">
        <f>$F$32*G22*58%</f>
        <v>9.8406666666666673</v>
      </c>
      <c r="G23" s="179"/>
      <c r="H23" s="56">
        <f>$H$32*I22*58%</f>
        <v>9.8406666666666673</v>
      </c>
      <c r="I23" s="179"/>
      <c r="J23" s="172"/>
      <c r="K23" s="172"/>
      <c r="L23" s="174"/>
      <c r="M23" s="110"/>
      <c r="N23" s="110"/>
      <c r="O23" s="110"/>
    </row>
    <row r="24" spans="2:15" ht="43.5" customHeight="1">
      <c r="B24" s="199"/>
      <c r="C24" s="172" t="s">
        <v>33</v>
      </c>
      <c r="D24" s="172"/>
      <c r="E24" s="172"/>
      <c r="F24" s="56">
        <f t="shared" si="0"/>
        <v>1.696666666666667</v>
      </c>
      <c r="G24" s="89">
        <v>0.01</v>
      </c>
      <c r="H24" s="56">
        <f t="shared" si="1"/>
        <v>1.696666666666667</v>
      </c>
      <c r="I24" s="89">
        <v>0.01</v>
      </c>
      <c r="J24" s="180" t="s">
        <v>34</v>
      </c>
      <c r="K24" s="172"/>
      <c r="L24" s="174"/>
      <c r="M24" s="110"/>
      <c r="N24" s="110"/>
      <c r="O24" s="110"/>
    </row>
    <row r="25" spans="2:15" ht="43.5" customHeight="1">
      <c r="B25" s="181" t="s">
        <v>35</v>
      </c>
      <c r="C25" s="182"/>
      <c r="D25" s="182"/>
      <c r="E25" s="182"/>
      <c r="F25" s="56">
        <f t="shared" ref="F25:I25" si="2">SUM(F8:F24)</f>
        <v>149.30666666666664</v>
      </c>
      <c r="G25" s="95">
        <f t="shared" si="2"/>
        <v>0.88</v>
      </c>
      <c r="H25" s="56">
        <f t="shared" si="2"/>
        <v>149.30666666666664</v>
      </c>
      <c r="I25" s="95">
        <f t="shared" si="2"/>
        <v>0.88</v>
      </c>
      <c r="J25" s="183"/>
      <c r="K25" s="184"/>
      <c r="L25" s="185"/>
      <c r="M25" s="110"/>
      <c r="N25" s="110"/>
      <c r="O25" s="110"/>
    </row>
    <row r="26" spans="2:15" ht="30.2" customHeight="1">
      <c r="B26" s="200" t="s">
        <v>36</v>
      </c>
      <c r="C26" s="176"/>
      <c r="D26" s="176"/>
      <c r="E26" s="176"/>
      <c r="F26" s="56">
        <f>$F$32*G26</f>
        <v>0</v>
      </c>
      <c r="G26" s="89">
        <v>0</v>
      </c>
      <c r="H26" s="56">
        <f>$H$32*I26</f>
        <v>0</v>
      </c>
      <c r="I26" s="89">
        <v>0</v>
      </c>
      <c r="J26" s="180" t="s">
        <v>37</v>
      </c>
      <c r="K26" s="172"/>
      <c r="L26" s="174"/>
      <c r="M26" s="110"/>
      <c r="N26" s="110"/>
      <c r="O26" s="110"/>
    </row>
    <row r="27" spans="2:15" ht="30.2" customHeight="1">
      <c r="B27" s="204" t="s">
        <v>38</v>
      </c>
      <c r="C27" s="205"/>
      <c r="D27" s="205"/>
      <c r="E27" s="206"/>
      <c r="F27" s="56">
        <f t="shared" ref="F27:F29" si="3">$F$32*G27</f>
        <v>3.393333333333334</v>
      </c>
      <c r="G27" s="96">
        <v>0.02</v>
      </c>
      <c r="H27" s="56">
        <f t="shared" ref="H27:H29" si="4">$H$32*I27</f>
        <v>3.393333333333334</v>
      </c>
      <c r="I27" s="96">
        <v>0.02</v>
      </c>
      <c r="J27" s="175" t="s">
        <v>261</v>
      </c>
      <c r="K27" s="172"/>
      <c r="L27" s="174"/>
      <c r="M27" s="110"/>
      <c r="N27" s="110"/>
      <c r="O27" s="110"/>
    </row>
    <row r="28" spans="2:15" ht="32.25" customHeight="1">
      <c r="B28" s="204" t="s">
        <v>39</v>
      </c>
      <c r="C28" s="207"/>
      <c r="D28" s="207"/>
      <c r="E28" s="208"/>
      <c r="F28" s="56">
        <f t="shared" si="3"/>
        <v>3.393333333333334</v>
      </c>
      <c r="G28" s="96">
        <v>0.02</v>
      </c>
      <c r="H28" s="56">
        <f t="shared" si="4"/>
        <v>3.393333333333334</v>
      </c>
      <c r="I28" s="96">
        <v>0.02</v>
      </c>
      <c r="J28" s="175" t="s">
        <v>261</v>
      </c>
      <c r="K28" s="172"/>
      <c r="L28" s="174"/>
      <c r="M28" s="110"/>
      <c r="N28" s="110"/>
      <c r="O28" s="110"/>
    </row>
    <row r="29" spans="2:15" ht="29.25" customHeight="1">
      <c r="B29" s="200" t="s">
        <v>40</v>
      </c>
      <c r="C29" s="176"/>
      <c r="D29" s="176"/>
      <c r="E29" s="176"/>
      <c r="F29" s="56">
        <f t="shared" si="3"/>
        <v>13.573333333333336</v>
      </c>
      <c r="G29" s="89">
        <v>0.08</v>
      </c>
      <c r="H29" s="56">
        <f t="shared" si="4"/>
        <v>13.573333333333336</v>
      </c>
      <c r="I29" s="89">
        <v>0.08</v>
      </c>
      <c r="J29" s="175" t="s">
        <v>262</v>
      </c>
      <c r="K29" s="172"/>
      <c r="L29" s="174"/>
      <c r="M29" s="110"/>
      <c r="N29" s="110"/>
      <c r="O29" s="110"/>
    </row>
    <row r="30" spans="2:15" ht="30.2" customHeight="1">
      <c r="B30" s="202" t="s">
        <v>41</v>
      </c>
      <c r="C30" s="203" t="s">
        <v>42</v>
      </c>
      <c r="D30" s="203"/>
      <c r="E30" s="203"/>
      <c r="F30" s="97">
        <f>SUM(F6:F7)+SUM(F25:F29)</f>
        <v>171.66666666666666</v>
      </c>
      <c r="G30" s="98">
        <f>SUM(G25:G29)</f>
        <v>1</v>
      </c>
      <c r="H30" s="97">
        <f>SUM(H6:H7)+SUM(H25:H29)</f>
        <v>171.66666666666666</v>
      </c>
      <c r="I30" s="98">
        <f>SUM(I25:I29)</f>
        <v>1</v>
      </c>
      <c r="J30" s="222"/>
      <c r="K30" s="222"/>
      <c r="L30" s="223"/>
      <c r="M30" s="110"/>
      <c r="N30" s="110"/>
      <c r="O30" s="110"/>
    </row>
    <row r="31" spans="2:15" ht="30.2" customHeight="1">
      <c r="B31" s="202" t="s">
        <v>43</v>
      </c>
      <c r="C31" s="203"/>
      <c r="D31" s="203"/>
      <c r="E31" s="203"/>
      <c r="F31" s="97">
        <f>F30/21.75</f>
        <v>7.8927203065134099</v>
      </c>
      <c r="G31" s="97"/>
      <c r="H31" s="97">
        <f>H30/21.75</f>
        <v>7.8927203065134099</v>
      </c>
      <c r="I31" s="97"/>
      <c r="J31" s="222"/>
      <c r="K31" s="222"/>
      <c r="L31" s="223"/>
      <c r="M31" s="110"/>
      <c r="N31" s="110"/>
      <c r="O31" s="110"/>
    </row>
    <row r="32" spans="2:15" ht="30.2" customHeight="1">
      <c r="B32" s="181" t="s">
        <v>44</v>
      </c>
      <c r="C32" s="182" t="s">
        <v>42</v>
      </c>
      <c r="D32" s="182"/>
      <c r="E32" s="182"/>
      <c r="F32" s="56">
        <f>SUM($F$12:$F$19)/$G$12</f>
        <v>169.66666666666669</v>
      </c>
      <c r="G32" s="56"/>
      <c r="H32" s="56">
        <f>SUM($H$12:$H$19)/$I$12</f>
        <v>169.66666666666669</v>
      </c>
      <c r="I32" s="56"/>
      <c r="J32" s="189"/>
      <c r="K32" s="189"/>
      <c r="L32" s="190"/>
      <c r="M32" s="110"/>
      <c r="N32" s="110"/>
      <c r="O32" s="110"/>
    </row>
    <row r="33" spans="1:25" ht="30.2" customHeight="1">
      <c r="B33" s="191" t="s">
        <v>45</v>
      </c>
      <c r="C33" s="192"/>
      <c r="D33" s="192"/>
      <c r="E33" s="192"/>
      <c r="F33" s="100">
        <f>F32/21.75</f>
        <v>7.8007662835249052</v>
      </c>
      <c r="G33" s="100"/>
      <c r="H33" s="132">
        <f>H32/21.75</f>
        <v>7.8007662835249052</v>
      </c>
      <c r="I33" s="100"/>
      <c r="J33" s="193" t="s">
        <v>46</v>
      </c>
      <c r="K33" s="193"/>
      <c r="L33" s="194"/>
      <c r="M33" s="110"/>
      <c r="N33" s="110"/>
      <c r="O33" s="110"/>
    </row>
    <row r="34" spans="1:25" ht="18.75">
      <c r="M34" s="82"/>
      <c r="N34" s="82"/>
      <c r="O34" s="82"/>
    </row>
    <row r="35" spans="1:25" ht="39.950000000000003" customHeight="1">
      <c r="A35" s="161" t="s">
        <v>47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</row>
    <row r="36" spans="1:25" ht="41.25" customHeight="1">
      <c r="B36" s="162" t="s">
        <v>48</v>
      </c>
      <c r="C36" s="163"/>
      <c r="D36" s="145"/>
      <c r="E36" s="163" t="s">
        <v>49</v>
      </c>
      <c r="F36" s="163"/>
      <c r="G36" s="163"/>
      <c r="H36" s="163"/>
      <c r="I36" s="163"/>
      <c r="J36" s="163" t="s">
        <v>50</v>
      </c>
      <c r="K36" s="163"/>
      <c r="L36" s="163"/>
      <c r="M36" s="163"/>
      <c r="N36" s="221"/>
      <c r="P36" s="82"/>
      <c r="Q36" s="82"/>
      <c r="R36" s="82"/>
    </row>
    <row r="37" spans="1:25" ht="27" customHeight="1">
      <c r="B37" s="165"/>
      <c r="C37" s="166"/>
      <c r="D37" s="154"/>
      <c r="E37" s="48" t="s">
        <v>51</v>
      </c>
      <c r="F37" s="48" t="s">
        <v>52</v>
      </c>
      <c r="G37" s="48" t="s">
        <v>53</v>
      </c>
      <c r="H37" s="48" t="s">
        <v>54</v>
      </c>
      <c r="I37" s="48" t="s">
        <v>55</v>
      </c>
      <c r="J37" s="48" t="s">
        <v>51</v>
      </c>
      <c r="K37" s="48" t="s">
        <v>52</v>
      </c>
      <c r="L37" s="48" t="s">
        <v>53</v>
      </c>
      <c r="M37" s="48" t="s">
        <v>54</v>
      </c>
      <c r="N37" s="109" t="s">
        <v>55</v>
      </c>
      <c r="P37" s="82"/>
      <c r="Q37" s="82"/>
      <c r="R37" s="82"/>
    </row>
    <row r="38" spans="1:25" ht="18.75">
      <c r="B38" s="195" t="s">
        <v>254</v>
      </c>
      <c r="C38" s="172"/>
      <c r="D38" s="146"/>
      <c r="E38" s="155">
        <f>C63</f>
        <v>5.0540000000000003</v>
      </c>
      <c r="F38" s="152">
        <v>1</v>
      </c>
      <c r="G38" s="155">
        <f>E38/F38</f>
        <v>5.0540000000000003</v>
      </c>
      <c r="H38" s="101">
        <v>43363</v>
      </c>
      <c r="I38" s="144">
        <v>43369</v>
      </c>
      <c r="J38" s="155">
        <f>E38</f>
        <v>5.0540000000000003</v>
      </c>
      <c r="K38" s="152">
        <v>1</v>
      </c>
      <c r="L38" s="155">
        <f>J38/K38</f>
        <v>5.0540000000000003</v>
      </c>
      <c r="M38" s="101">
        <v>43363</v>
      </c>
      <c r="N38" s="144">
        <v>43369</v>
      </c>
      <c r="P38" s="149"/>
      <c r="Q38" s="149"/>
      <c r="R38" s="149"/>
    </row>
    <row r="39" spans="1:25" ht="18.75">
      <c r="B39" s="201" t="s">
        <v>13</v>
      </c>
      <c r="C39" s="172"/>
      <c r="D39" s="146"/>
      <c r="E39" s="56">
        <f>D63</f>
        <v>5.429333333333334</v>
      </c>
      <c r="F39" s="66">
        <v>4</v>
      </c>
      <c r="G39" s="56">
        <f>E39/F39</f>
        <v>1.3573333333333335</v>
      </c>
      <c r="H39" s="101">
        <v>43370</v>
      </c>
      <c r="I39" s="102">
        <v>43370</v>
      </c>
      <c r="J39" s="56">
        <f>E39</f>
        <v>5.429333333333334</v>
      </c>
      <c r="K39" s="143">
        <v>4</v>
      </c>
      <c r="L39" s="56">
        <f>J39/K39</f>
        <v>1.3573333333333335</v>
      </c>
      <c r="M39" s="101">
        <v>43370</v>
      </c>
      <c r="N39" s="102">
        <f>IF((L39-1)&lt;1,M39,WORKDAY(M39,(L39-1),'附录-节假日'!$A$2:$A$32))</f>
        <v>43370</v>
      </c>
      <c r="P39" s="82"/>
      <c r="Q39" s="82"/>
      <c r="R39" s="82"/>
    </row>
    <row r="40" spans="1:25" ht="18.75">
      <c r="B40" s="176" t="s">
        <v>14</v>
      </c>
      <c r="C40" s="103" t="s">
        <v>15</v>
      </c>
      <c r="D40" s="103"/>
      <c r="E40" s="56">
        <f t="shared" ref="E40:E55" si="5">F9</f>
        <v>2</v>
      </c>
      <c r="F40" s="66">
        <v>1</v>
      </c>
      <c r="G40" s="56">
        <f t="shared" ref="G40:G41" si="6">E40/F40</f>
        <v>2</v>
      </c>
      <c r="H40" s="186">
        <v>43370</v>
      </c>
      <c r="I40" s="186">
        <f>IF((MAX(G40:G41)-1)&lt;1,H40,WORKDAY(H40,(MAX(G40:G41)-1),'附录-节假日'!$A$2:$A$32))</f>
        <v>43371</v>
      </c>
      <c r="J40" s="56">
        <f t="shared" ref="J40:J55" si="7">H9</f>
        <v>2</v>
      </c>
      <c r="K40" s="143">
        <v>1</v>
      </c>
      <c r="L40" s="56">
        <f t="shared" ref="L40:L41" si="8">J40/K40</f>
        <v>2</v>
      </c>
      <c r="M40" s="186">
        <v>43370</v>
      </c>
      <c r="N40" s="186">
        <f>IF((MAX(L40:L41)-1)&lt;1,M40,WORKDAY(M40,(MAX(L40:L41)-1),'附录-节假日'!$A$2:$A$32))</f>
        <v>43371</v>
      </c>
      <c r="P40" s="82"/>
      <c r="Q40" s="82"/>
      <c r="R40" s="82"/>
    </row>
    <row r="41" spans="1:25" ht="18.75">
      <c r="B41" s="176"/>
      <c r="C41" s="104" t="s">
        <v>17</v>
      </c>
      <c r="D41" s="104"/>
      <c r="E41" s="56">
        <f t="shared" si="5"/>
        <v>1.393333333333334</v>
      </c>
      <c r="F41" s="66">
        <v>2</v>
      </c>
      <c r="G41" s="56">
        <f t="shared" si="6"/>
        <v>0.69666666666666699</v>
      </c>
      <c r="H41" s="187"/>
      <c r="I41" s="187"/>
      <c r="J41" s="56">
        <f t="shared" si="7"/>
        <v>1.393333333333334</v>
      </c>
      <c r="K41" s="143">
        <v>2</v>
      </c>
      <c r="L41" s="56">
        <f t="shared" si="8"/>
        <v>0.69666666666666699</v>
      </c>
      <c r="M41" s="187"/>
      <c r="N41" s="187"/>
      <c r="P41" s="82"/>
      <c r="Q41" s="82"/>
      <c r="R41" s="82"/>
    </row>
    <row r="42" spans="1:25" ht="18.75">
      <c r="B42" s="201" t="s">
        <v>18</v>
      </c>
      <c r="C42" s="172"/>
      <c r="D42" s="146"/>
      <c r="E42" s="56">
        <f t="shared" si="5"/>
        <v>0</v>
      </c>
      <c r="F42" s="66">
        <v>9</v>
      </c>
      <c r="G42" s="56">
        <f t="shared" ref="G42:G55" si="9">E42/F42</f>
        <v>0</v>
      </c>
      <c r="H42" s="102">
        <f>I40</f>
        <v>43371</v>
      </c>
      <c r="I42" s="102">
        <f>IF((G42-1)&lt;1,H42,WORKDAY(H42,(G42-1),'附录-节假日'!$A$2:$A$32))</f>
        <v>43371</v>
      </c>
      <c r="J42" s="56">
        <f t="shared" si="7"/>
        <v>0</v>
      </c>
      <c r="K42" s="143">
        <v>9</v>
      </c>
      <c r="L42" s="56">
        <f t="shared" ref="L42:L55" si="10">J42/K42</f>
        <v>0</v>
      </c>
      <c r="M42" s="102">
        <f>N40</f>
        <v>43371</v>
      </c>
      <c r="N42" s="102">
        <f>IF((L42-1)&lt;1,M42,WORKDAY(M42,(L42-1),'附录-节假日'!$A$2:$A$32))</f>
        <v>43371</v>
      </c>
      <c r="P42" s="82"/>
      <c r="Q42" s="82"/>
      <c r="R42" s="82"/>
    </row>
    <row r="43" spans="1:25" ht="18.75">
      <c r="B43" s="200" t="s">
        <v>19</v>
      </c>
      <c r="C43" s="92" t="s">
        <v>20</v>
      </c>
      <c r="D43" s="92"/>
      <c r="E43" s="56">
        <f t="shared" si="5"/>
        <v>0.5</v>
      </c>
      <c r="F43" s="66">
        <v>1</v>
      </c>
      <c r="G43" s="56">
        <f t="shared" si="9"/>
        <v>0.5</v>
      </c>
      <c r="H43" s="211">
        <v>43370</v>
      </c>
      <c r="I43" s="186">
        <f>IF((MAX(G43:G45)-1)&lt;1,H43,WORKDAY(H43,(MAX(G43:G45)-1),'附录-节假日'!$A$2:$A$32))</f>
        <v>43392</v>
      </c>
      <c r="J43" s="56">
        <f t="shared" si="7"/>
        <v>0.5</v>
      </c>
      <c r="K43" s="143">
        <v>1</v>
      </c>
      <c r="L43" s="56">
        <f t="shared" si="10"/>
        <v>0.5</v>
      </c>
      <c r="M43" s="211">
        <v>43370</v>
      </c>
      <c r="N43" s="186">
        <f>IF((MAX(L43:L45)-1)&lt;1,M43,WORKDAY(M43,(MAX(L43:L45)-1),'附录-节假日'!$A$2:$A$32))</f>
        <v>43392</v>
      </c>
      <c r="P43" s="82"/>
      <c r="Q43" s="82"/>
      <c r="R43" s="82"/>
    </row>
    <row r="44" spans="1:25" ht="18.75">
      <c r="B44" s="200"/>
      <c r="C44" s="92" t="s">
        <v>56</v>
      </c>
      <c r="D44" s="92"/>
      <c r="E44" s="56">
        <f t="shared" si="5"/>
        <v>0</v>
      </c>
      <c r="F44" s="66">
        <v>1</v>
      </c>
      <c r="G44" s="56">
        <f t="shared" si="9"/>
        <v>0</v>
      </c>
      <c r="H44" s="211"/>
      <c r="I44" s="188"/>
      <c r="J44" s="56">
        <f t="shared" si="7"/>
        <v>0</v>
      </c>
      <c r="K44" s="143">
        <v>1</v>
      </c>
      <c r="L44" s="56">
        <f t="shared" si="10"/>
        <v>0</v>
      </c>
      <c r="M44" s="211"/>
      <c r="N44" s="188"/>
      <c r="P44" s="82"/>
      <c r="Q44" s="82"/>
      <c r="R44" s="82"/>
    </row>
    <row r="45" spans="1:25" ht="18.75">
      <c r="B45" s="200"/>
      <c r="C45" s="92" t="s">
        <v>22</v>
      </c>
      <c r="D45" s="92"/>
      <c r="E45" s="56">
        <f t="shared" si="5"/>
        <v>24.400000000000002</v>
      </c>
      <c r="F45" s="66">
        <v>2</v>
      </c>
      <c r="G45" s="56">
        <f t="shared" si="9"/>
        <v>12.200000000000001</v>
      </c>
      <c r="H45" s="211"/>
      <c r="I45" s="188"/>
      <c r="J45" s="56">
        <f t="shared" si="7"/>
        <v>24.400000000000002</v>
      </c>
      <c r="K45" s="143">
        <v>2</v>
      </c>
      <c r="L45" s="56">
        <f t="shared" si="10"/>
        <v>12.200000000000001</v>
      </c>
      <c r="M45" s="211"/>
      <c r="N45" s="188"/>
      <c r="P45" s="82"/>
      <c r="Q45" s="82"/>
      <c r="R45" s="82"/>
    </row>
    <row r="46" spans="1:25" ht="18.75">
      <c r="B46" s="200"/>
      <c r="C46" s="92" t="s">
        <v>23</v>
      </c>
      <c r="D46" s="92"/>
      <c r="E46" s="56">
        <f t="shared" si="5"/>
        <v>56.766666666666666</v>
      </c>
      <c r="F46" s="66">
        <v>1</v>
      </c>
      <c r="G46" s="56">
        <f t="shared" si="9"/>
        <v>56.766666666666666</v>
      </c>
      <c r="H46" s="211"/>
      <c r="I46" s="188"/>
      <c r="J46" s="56">
        <f t="shared" si="7"/>
        <v>56.766666666666666</v>
      </c>
      <c r="K46" s="143">
        <v>1</v>
      </c>
      <c r="L46" s="56">
        <f t="shared" si="10"/>
        <v>56.766666666666666</v>
      </c>
      <c r="M46" s="211"/>
      <c r="N46" s="188"/>
      <c r="P46" s="82"/>
      <c r="Q46" s="82"/>
      <c r="R46" s="82"/>
    </row>
    <row r="47" spans="1:25" ht="18.75">
      <c r="B47" s="200"/>
      <c r="C47" s="73" t="s">
        <v>24</v>
      </c>
      <c r="D47" s="73"/>
      <c r="E47" s="56">
        <f t="shared" si="5"/>
        <v>0</v>
      </c>
      <c r="F47" s="66">
        <v>2</v>
      </c>
      <c r="G47" s="56">
        <f t="shared" si="9"/>
        <v>0</v>
      </c>
      <c r="H47" s="211"/>
      <c r="I47" s="188"/>
      <c r="J47" s="56">
        <f t="shared" si="7"/>
        <v>0</v>
      </c>
      <c r="K47" s="143">
        <v>2</v>
      </c>
      <c r="L47" s="56">
        <f t="shared" si="10"/>
        <v>0</v>
      </c>
      <c r="M47" s="211"/>
      <c r="N47" s="188"/>
      <c r="P47" s="82"/>
      <c r="Q47" s="82"/>
      <c r="R47" s="82"/>
    </row>
    <row r="48" spans="1:25" ht="18.75">
      <c r="B48" s="200"/>
      <c r="C48" s="92" t="s">
        <v>25</v>
      </c>
      <c r="D48" s="92"/>
      <c r="E48" s="56">
        <f t="shared" si="5"/>
        <v>32.099999999999994</v>
      </c>
      <c r="F48" s="66">
        <v>1</v>
      </c>
      <c r="G48" s="56">
        <f t="shared" si="9"/>
        <v>32.099999999999994</v>
      </c>
      <c r="H48" s="211"/>
      <c r="I48" s="188"/>
      <c r="J48" s="56">
        <f t="shared" si="7"/>
        <v>32.099999999999994</v>
      </c>
      <c r="K48" s="143">
        <v>1</v>
      </c>
      <c r="L48" s="56">
        <f t="shared" si="10"/>
        <v>32.099999999999994</v>
      </c>
      <c r="M48" s="211"/>
      <c r="N48" s="188"/>
      <c r="P48" s="82"/>
      <c r="Q48" s="82"/>
      <c r="R48" s="82"/>
    </row>
    <row r="49" spans="1:18" ht="18.75">
      <c r="B49" s="200"/>
      <c r="C49" s="92" t="s">
        <v>26</v>
      </c>
      <c r="D49" s="92"/>
      <c r="E49" s="56">
        <f t="shared" si="5"/>
        <v>2</v>
      </c>
      <c r="F49" s="66">
        <v>1</v>
      </c>
      <c r="G49" s="56">
        <f t="shared" si="9"/>
        <v>2</v>
      </c>
      <c r="H49" s="211"/>
      <c r="I49" s="188"/>
      <c r="J49" s="56">
        <f t="shared" si="7"/>
        <v>2</v>
      </c>
      <c r="K49" s="143">
        <v>1</v>
      </c>
      <c r="L49" s="56">
        <f t="shared" si="10"/>
        <v>2</v>
      </c>
      <c r="M49" s="211"/>
      <c r="N49" s="188"/>
      <c r="P49" s="82"/>
      <c r="Q49" s="82"/>
      <c r="R49" s="82"/>
    </row>
    <row r="50" spans="1:18" ht="18.75">
      <c r="B50" s="200"/>
      <c r="C50" s="73" t="s">
        <v>27</v>
      </c>
      <c r="D50" s="73"/>
      <c r="E50" s="56">
        <f t="shared" si="5"/>
        <v>3</v>
      </c>
      <c r="F50" s="66">
        <v>1</v>
      </c>
      <c r="G50" s="56">
        <f t="shared" si="9"/>
        <v>3</v>
      </c>
      <c r="H50" s="211"/>
      <c r="I50" s="187"/>
      <c r="J50" s="56">
        <f t="shared" si="7"/>
        <v>3</v>
      </c>
      <c r="K50" s="143">
        <v>1</v>
      </c>
      <c r="L50" s="56">
        <f t="shared" si="10"/>
        <v>3</v>
      </c>
      <c r="M50" s="211"/>
      <c r="N50" s="187"/>
      <c r="P50" s="82"/>
      <c r="Q50" s="82"/>
      <c r="R50" s="82"/>
    </row>
    <row r="51" spans="1:18" ht="18.75">
      <c r="B51" s="201" t="s">
        <v>28</v>
      </c>
      <c r="C51" s="172"/>
      <c r="D51" s="146"/>
      <c r="E51" s="56">
        <f t="shared" si="5"/>
        <v>5.0900000000000007</v>
      </c>
      <c r="F51" s="66">
        <v>3</v>
      </c>
      <c r="G51" s="56">
        <f t="shared" si="9"/>
        <v>1.696666666666667</v>
      </c>
      <c r="H51" s="102">
        <v>43395</v>
      </c>
      <c r="I51" s="102">
        <f>IF((G51-1)&lt;1,H51,WORKDAY(H51,(G51-1),'附录-节假日'!$A$2:$A$32))</f>
        <v>43395</v>
      </c>
      <c r="J51" s="56">
        <f t="shared" si="7"/>
        <v>5.0900000000000007</v>
      </c>
      <c r="K51" s="143">
        <v>3</v>
      </c>
      <c r="L51" s="56">
        <f t="shared" si="10"/>
        <v>1.696666666666667</v>
      </c>
      <c r="M51" s="102">
        <v>43395</v>
      </c>
      <c r="N51" s="102">
        <f>IF((L51-1)&lt;1,M51,WORKDAY(M51,(L51-1),'附录-节假日'!$A$2:$A$32))</f>
        <v>43395</v>
      </c>
      <c r="P51" s="82"/>
      <c r="Q51" s="82"/>
      <c r="R51" s="82"/>
    </row>
    <row r="52" spans="1:18" ht="18.75">
      <c r="B52" s="201" t="s">
        <v>29</v>
      </c>
      <c r="C52" s="172"/>
      <c r="D52" s="146"/>
      <c r="E52" s="56">
        <f t="shared" si="5"/>
        <v>0</v>
      </c>
      <c r="F52" s="66">
        <v>9</v>
      </c>
      <c r="G52" s="56">
        <f t="shared" si="9"/>
        <v>0</v>
      </c>
      <c r="H52" s="102">
        <f>I51+1</f>
        <v>43396</v>
      </c>
      <c r="I52" s="102">
        <f>IF((G52-1)&lt;1,H52,WORKDAY(H52,(G52-1),'附录-节假日'!$A$2:$A$32))</f>
        <v>43396</v>
      </c>
      <c r="J52" s="56">
        <f t="shared" si="7"/>
        <v>0</v>
      </c>
      <c r="K52" s="143">
        <v>9</v>
      </c>
      <c r="L52" s="56">
        <f t="shared" si="10"/>
        <v>0</v>
      </c>
      <c r="M52" s="102">
        <f t="shared" ref="M52" si="11">N51+1</f>
        <v>43396</v>
      </c>
      <c r="N52" s="102">
        <f>IF((L52-1)&lt;1,M52,WORKDAY(M52,(L52-1),'附录-节假日'!$A$2:$A$32))</f>
        <v>43396</v>
      </c>
      <c r="P52" s="82"/>
      <c r="Q52" s="82"/>
      <c r="R52" s="82"/>
    </row>
    <row r="53" spans="1:18" ht="18.75">
      <c r="B53" s="200" t="s">
        <v>30</v>
      </c>
      <c r="C53" s="91" t="s">
        <v>30</v>
      </c>
      <c r="D53" s="91"/>
      <c r="E53" s="56">
        <f t="shared" si="5"/>
        <v>7.1260000000000003</v>
      </c>
      <c r="F53" s="66">
        <v>1</v>
      </c>
      <c r="G53" s="56">
        <f t="shared" si="9"/>
        <v>7.1260000000000003</v>
      </c>
      <c r="H53" s="102">
        <f>I52</f>
        <v>43396</v>
      </c>
      <c r="I53" s="102">
        <f>IF((G53-1)&lt;1,H53,WORKDAY(H53,(G53-1),'附录-节假日'!$A$2:$A$32))</f>
        <v>43404</v>
      </c>
      <c r="J53" s="56">
        <f t="shared" si="7"/>
        <v>7.1260000000000003</v>
      </c>
      <c r="K53" s="143">
        <v>1</v>
      </c>
      <c r="L53" s="56">
        <f t="shared" si="10"/>
        <v>7.1260000000000003</v>
      </c>
      <c r="M53" s="102">
        <f>N52</f>
        <v>43396</v>
      </c>
      <c r="N53" s="102">
        <f>IF((L53-1)&lt;1,M53,WORKDAY(M53,(L53-1),'附录-节假日'!$A$2:$A$32))</f>
        <v>43404</v>
      </c>
      <c r="P53" s="82"/>
      <c r="Q53" s="82"/>
      <c r="R53" s="82"/>
    </row>
    <row r="54" spans="1:18" ht="18.75">
      <c r="B54" s="200"/>
      <c r="C54" s="91" t="s">
        <v>32</v>
      </c>
      <c r="D54" s="91"/>
      <c r="E54" s="56">
        <f t="shared" si="5"/>
        <v>9.8406666666666673</v>
      </c>
      <c r="F54" s="66">
        <v>2</v>
      </c>
      <c r="G54" s="56">
        <f t="shared" si="9"/>
        <v>4.9203333333333337</v>
      </c>
      <c r="H54" s="102">
        <v>43396</v>
      </c>
      <c r="I54" s="102">
        <v>43404</v>
      </c>
      <c r="J54" s="56">
        <f t="shared" si="7"/>
        <v>9.8406666666666673</v>
      </c>
      <c r="K54" s="143">
        <v>2</v>
      </c>
      <c r="L54" s="56">
        <f t="shared" si="10"/>
        <v>4.9203333333333337</v>
      </c>
      <c r="M54" s="102">
        <v>43396</v>
      </c>
      <c r="N54" s="102">
        <v>43404</v>
      </c>
      <c r="P54" s="82"/>
      <c r="Q54" s="82"/>
      <c r="R54" s="82"/>
    </row>
    <row r="55" spans="1:18" ht="18.75">
      <c r="B55" s="201" t="s">
        <v>33</v>
      </c>
      <c r="C55" s="172"/>
      <c r="D55" s="146"/>
      <c r="E55" s="56">
        <f t="shared" si="5"/>
        <v>1.696666666666667</v>
      </c>
      <c r="F55" s="66">
        <v>2</v>
      </c>
      <c r="G55" s="56">
        <f t="shared" si="9"/>
        <v>0.84833333333333349</v>
      </c>
      <c r="H55" s="102">
        <v>43404</v>
      </c>
      <c r="I55" s="102">
        <f>IF((G55-1)&lt;1,H55,WORKDAY(H55,(G55-1),'附录-节假日'!$A$2:$A$32))</f>
        <v>43404</v>
      </c>
      <c r="J55" s="56">
        <f t="shared" si="7"/>
        <v>1.696666666666667</v>
      </c>
      <c r="K55" s="143">
        <v>2</v>
      </c>
      <c r="L55" s="56">
        <f t="shared" si="10"/>
        <v>0.84833333333333349</v>
      </c>
      <c r="M55" s="102">
        <v>43404</v>
      </c>
      <c r="N55" s="102">
        <f>IF((L55-1)&lt;1,M55,WORKDAY(M55,(L55-1),'附录-节假日'!$A$2:$A$32))</f>
        <v>43404</v>
      </c>
      <c r="P55" s="82"/>
      <c r="Q55" s="82"/>
      <c r="R55" s="82"/>
    </row>
    <row r="56" spans="1:18" ht="18.75">
      <c r="B56" s="218" t="s">
        <v>36</v>
      </c>
      <c r="C56" s="219"/>
      <c r="D56" s="150"/>
      <c r="E56" s="92"/>
      <c r="F56" s="66"/>
      <c r="G56" s="56">
        <v>3</v>
      </c>
      <c r="H56" s="102"/>
      <c r="I56" s="102"/>
      <c r="J56" s="92"/>
      <c r="K56" s="66"/>
      <c r="L56" s="56">
        <v>3</v>
      </c>
      <c r="M56" s="102"/>
      <c r="N56" s="102"/>
      <c r="O56" s="82"/>
      <c r="P56" s="82"/>
      <c r="Q56" s="82"/>
    </row>
    <row r="57" spans="1:18" ht="40.700000000000003" customHeight="1">
      <c r="B57" s="191" t="s">
        <v>57</v>
      </c>
      <c r="C57" s="192"/>
      <c r="D57" s="151"/>
      <c r="E57" s="105"/>
      <c r="F57" s="105"/>
      <c r="G57" s="100">
        <v>29</v>
      </c>
      <c r="H57" s="105"/>
      <c r="I57" s="105"/>
      <c r="J57" s="105"/>
      <c r="K57" s="105"/>
      <c r="L57" s="100">
        <v>29</v>
      </c>
      <c r="M57" s="112"/>
      <c r="N57" s="113"/>
      <c r="O57" s="82"/>
      <c r="P57" s="82"/>
      <c r="Q57" s="82"/>
    </row>
    <row r="58" spans="1:18" ht="18.75">
      <c r="M58" s="82"/>
      <c r="N58" s="82"/>
      <c r="O58" s="82"/>
    </row>
    <row r="59" spans="1:18" ht="18.75">
      <c r="A59" s="161" t="s">
        <v>58</v>
      </c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</row>
    <row r="60" spans="1:18" ht="36" customHeight="1">
      <c r="A60" s="212" t="s">
        <v>59</v>
      </c>
      <c r="B60" s="212"/>
      <c r="C60" s="212"/>
      <c r="D60" s="212"/>
      <c r="E60" s="212"/>
      <c r="F60" s="212"/>
      <c r="G60" s="212"/>
      <c r="H60" s="212"/>
      <c r="M60" s="82"/>
      <c r="N60" s="82"/>
      <c r="O60" s="82"/>
    </row>
    <row r="61" spans="1:18" ht="19.5" customHeight="1">
      <c r="B61" s="213" t="s">
        <v>60</v>
      </c>
      <c r="C61" s="213"/>
      <c r="D61" s="213"/>
      <c r="E61" s="213"/>
      <c r="F61" s="213"/>
      <c r="G61" s="213"/>
      <c r="H61" s="213"/>
      <c r="M61" s="82"/>
      <c r="N61" s="82"/>
      <c r="O61" s="82"/>
    </row>
    <row r="62" spans="1:18" ht="18.75">
      <c r="B62" s="106" t="s">
        <v>61</v>
      </c>
      <c r="C62" s="83" t="s">
        <v>252</v>
      </c>
      <c r="D62" s="153" t="s">
        <v>253</v>
      </c>
      <c r="E62" s="106" t="s">
        <v>14</v>
      </c>
      <c r="F62" s="106" t="s">
        <v>62</v>
      </c>
      <c r="G62" s="106" t="s">
        <v>63</v>
      </c>
      <c r="H62" s="106" t="s">
        <v>64</v>
      </c>
      <c r="M62" s="82"/>
      <c r="N62" s="82"/>
      <c r="O62" s="82"/>
    </row>
    <row r="63" spans="1:18" ht="27">
      <c r="B63" s="83" t="s">
        <v>65</v>
      </c>
      <c r="C63" s="107">
        <f>SUM(H26:H29)*15%+H6</f>
        <v>5.0540000000000003</v>
      </c>
      <c r="D63" s="107">
        <f>H8+SUM(H26:H29)*10%</f>
        <v>5.429333333333334</v>
      </c>
      <c r="E63" s="107">
        <f>H9+H10+H11+SUM(H26:H29)*10%</f>
        <v>5.429333333333334</v>
      </c>
      <c r="F63" s="107">
        <f>SUM(H12:H21)+SUM(H26:H29)*35%</f>
        <v>130.98266666666666</v>
      </c>
      <c r="G63" s="107">
        <f>H22+H23+SUM(H26:H29)*20%</f>
        <v>21.038666666666671</v>
      </c>
      <c r="H63" s="107">
        <f>H24+SUM(H26:H29)*10%</f>
        <v>3.7326666666666677</v>
      </c>
      <c r="J63" s="157"/>
      <c r="M63" s="82"/>
      <c r="N63" s="82"/>
      <c r="O63" s="82"/>
    </row>
    <row r="64" spans="1:18" ht="27.75" customHeight="1">
      <c r="C64" s="214" t="s">
        <v>66</v>
      </c>
      <c r="D64" s="215"/>
      <c r="E64" s="215"/>
      <c r="F64" s="215"/>
      <c r="G64" s="215"/>
      <c r="H64" s="216"/>
      <c r="M64" s="82"/>
      <c r="N64" s="82"/>
      <c r="O64" s="82"/>
    </row>
    <row r="65" spans="1:17" ht="25.5" customHeight="1">
      <c r="C65" s="156">
        <f>C63/H30</f>
        <v>2.9440776699029128E-2</v>
      </c>
      <c r="D65" s="156">
        <f>D63/H30</f>
        <v>3.162718446601942E-2</v>
      </c>
      <c r="E65" s="156">
        <f>E63/H30</f>
        <v>3.162718446601942E-2</v>
      </c>
      <c r="F65" s="156">
        <f>F63/H30</f>
        <v>0.76300582524271843</v>
      </c>
      <c r="G65" s="156">
        <f>G63/H30</f>
        <v>0.12255533980582528</v>
      </c>
      <c r="H65" s="156">
        <f>H63/H30</f>
        <v>2.1743689320388358E-2</v>
      </c>
      <c r="M65" s="82"/>
      <c r="N65" s="82"/>
      <c r="O65" s="82"/>
    </row>
    <row r="66" spans="1:17" ht="18.75">
      <c r="D66" s="158"/>
      <c r="E66" s="158"/>
      <c r="F66" s="158"/>
      <c r="G66" s="158"/>
      <c r="M66" s="82"/>
      <c r="N66" s="82"/>
      <c r="O66" s="82"/>
    </row>
    <row r="67" spans="1:17" ht="18.75">
      <c r="M67" s="82"/>
      <c r="N67" s="82"/>
      <c r="O67" s="82"/>
    </row>
    <row r="68" spans="1:17" ht="18.75">
      <c r="M68" s="82"/>
      <c r="N68" s="82"/>
      <c r="O68" s="82"/>
    </row>
    <row r="69" spans="1:17" ht="31.7" customHeight="1">
      <c r="A69" s="161" t="s">
        <v>67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</row>
    <row r="70" spans="1:17" ht="35.1" customHeight="1">
      <c r="B70" s="217" t="s">
        <v>68</v>
      </c>
      <c r="C70" s="217"/>
      <c r="D70" s="217"/>
      <c r="E70" s="217"/>
      <c r="F70" s="217"/>
      <c r="G70" s="217"/>
    </row>
    <row r="71" spans="1:17" ht="27">
      <c r="B71" s="106" t="s">
        <v>69</v>
      </c>
      <c r="C71" s="84" t="s">
        <v>70</v>
      </c>
      <c r="D71" s="145"/>
      <c r="E71" s="84" t="s">
        <v>71</v>
      </c>
      <c r="F71" s="84" t="s">
        <v>72</v>
      </c>
    </row>
    <row r="72" spans="1:17">
      <c r="B72" s="94" t="s">
        <v>73</v>
      </c>
      <c r="C72" s="114">
        <f>H31</f>
        <v>7.8927203065134099</v>
      </c>
      <c r="D72" s="147"/>
      <c r="E72" s="209">
        <v>2</v>
      </c>
      <c r="F72" s="114">
        <f>C72*E72</f>
        <v>15.78544061302682</v>
      </c>
    </row>
    <row r="73" spans="1:17">
      <c r="B73" s="94" t="s">
        <v>74</v>
      </c>
      <c r="C73" s="114">
        <f>C74-C72</f>
        <v>0</v>
      </c>
      <c r="D73" s="147"/>
      <c r="E73" s="209"/>
      <c r="F73" s="114">
        <f>C73*E72</f>
        <v>0</v>
      </c>
    </row>
    <row r="74" spans="1:17">
      <c r="B74" s="99" t="s">
        <v>75</v>
      </c>
      <c r="C74" s="115">
        <f>F31</f>
        <v>7.8927203065134099</v>
      </c>
      <c r="D74" s="148"/>
      <c r="E74" s="210"/>
      <c r="F74" s="115">
        <f>C74*E72</f>
        <v>15.78544061302682</v>
      </c>
    </row>
  </sheetData>
  <mergeCells count="84">
    <mergeCell ref="M6:M8"/>
    <mergeCell ref="M40:M41"/>
    <mergeCell ref="M43:M50"/>
    <mergeCell ref="N40:N41"/>
    <mergeCell ref="N43:N50"/>
    <mergeCell ref="J36:N36"/>
    <mergeCell ref="J29:L29"/>
    <mergeCell ref="J30:L30"/>
    <mergeCell ref="J31:L31"/>
    <mergeCell ref="J26:L26"/>
    <mergeCell ref="J27:L27"/>
    <mergeCell ref="J28:L28"/>
    <mergeCell ref="J9:L9"/>
    <mergeCell ref="J10:L10"/>
    <mergeCell ref="E72:E74"/>
    <mergeCell ref="G9:G10"/>
    <mergeCell ref="G12:G19"/>
    <mergeCell ref="G22:G23"/>
    <mergeCell ref="H40:H41"/>
    <mergeCell ref="H43:H50"/>
    <mergeCell ref="A60:H60"/>
    <mergeCell ref="B61:H61"/>
    <mergeCell ref="C64:H64"/>
    <mergeCell ref="A69:Q69"/>
    <mergeCell ref="B70:G70"/>
    <mergeCell ref="B55:C55"/>
    <mergeCell ref="B56:C56"/>
    <mergeCell ref="B57:C57"/>
    <mergeCell ref="A59:Q59"/>
    <mergeCell ref="E36:I36"/>
    <mergeCell ref="B6:B7"/>
    <mergeCell ref="B8:B24"/>
    <mergeCell ref="B40:B41"/>
    <mergeCell ref="B43:B50"/>
    <mergeCell ref="B53:B54"/>
    <mergeCell ref="B36:C37"/>
    <mergeCell ref="B52:C52"/>
    <mergeCell ref="B39:C39"/>
    <mergeCell ref="B42:C42"/>
    <mergeCell ref="B51:C51"/>
    <mergeCell ref="B29:E29"/>
    <mergeCell ref="B30:E30"/>
    <mergeCell ref="B31:E31"/>
    <mergeCell ref="B26:E26"/>
    <mergeCell ref="B27:E27"/>
    <mergeCell ref="B28:E28"/>
    <mergeCell ref="I40:I41"/>
    <mergeCell ref="I43:I50"/>
    <mergeCell ref="B32:E32"/>
    <mergeCell ref="J32:L32"/>
    <mergeCell ref="B33:E33"/>
    <mergeCell ref="J33:L33"/>
    <mergeCell ref="A35:Q35"/>
    <mergeCell ref="B38:C38"/>
    <mergeCell ref="C21:E21"/>
    <mergeCell ref="J21:L21"/>
    <mergeCell ref="C24:E24"/>
    <mergeCell ref="J24:L24"/>
    <mergeCell ref="B25:E25"/>
    <mergeCell ref="J25:L25"/>
    <mergeCell ref="C22:C23"/>
    <mergeCell ref="I22:I23"/>
    <mergeCell ref="J22:L23"/>
    <mergeCell ref="C11:E11"/>
    <mergeCell ref="J11:L11"/>
    <mergeCell ref="C20:E20"/>
    <mergeCell ref="J20:L20"/>
    <mergeCell ref="C9:C10"/>
    <mergeCell ref="C12:C19"/>
    <mergeCell ref="I9:I10"/>
    <mergeCell ref="I12:I19"/>
    <mergeCell ref="J12:L19"/>
    <mergeCell ref="C6:E6"/>
    <mergeCell ref="J6:L6"/>
    <mergeCell ref="C7:E7"/>
    <mergeCell ref="J7:L7"/>
    <mergeCell ref="C8:E8"/>
    <mergeCell ref="J8:L8"/>
    <mergeCell ref="A3:Q3"/>
    <mergeCell ref="B4:E4"/>
    <mergeCell ref="G4:H4"/>
    <mergeCell ref="J4:K4"/>
    <mergeCell ref="B5:E5"/>
    <mergeCell ref="J5:L5"/>
  </mergeCells>
  <phoneticPr fontId="25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showGridLines="0" workbookViewId="0">
      <selection activeCell="E3" sqref="E3"/>
    </sheetView>
  </sheetViews>
  <sheetFormatPr defaultColWidth="7.875" defaultRowHeight="12"/>
  <cols>
    <col min="1" max="1" width="7.875" style="23"/>
    <col min="2" max="2" width="14.25" style="23" customWidth="1"/>
    <col min="3" max="3" width="16.5" style="23" customWidth="1"/>
    <col min="4" max="4" width="26" style="23" customWidth="1"/>
    <col min="5" max="5" width="30.375" style="23" customWidth="1"/>
    <col min="6" max="16384" width="7.875" style="23"/>
  </cols>
  <sheetData>
    <row r="1" spans="1:9" ht="32.25" customHeight="1">
      <c r="A1" s="266" t="s">
        <v>120</v>
      </c>
      <c r="B1" s="266"/>
      <c r="C1" s="267"/>
      <c r="D1" s="24" t="s">
        <v>121</v>
      </c>
      <c r="E1" s="25">
        <f>0.6+0.01*SUM(E3:E15)</f>
        <v>0.65999999999999992</v>
      </c>
    </row>
    <row r="2" spans="1:9" ht="27" customHeight="1">
      <c r="A2" s="24" t="s">
        <v>122</v>
      </c>
      <c r="B2" s="24" t="s">
        <v>123</v>
      </c>
      <c r="C2" s="24" t="s">
        <v>124</v>
      </c>
      <c r="D2" s="24" t="s">
        <v>125</v>
      </c>
      <c r="E2" s="24" t="s">
        <v>126</v>
      </c>
    </row>
    <row r="3" spans="1:9" ht="18" customHeight="1">
      <c r="A3" s="26">
        <v>1</v>
      </c>
      <c r="B3" s="26" t="s">
        <v>127</v>
      </c>
      <c r="C3" s="26" t="s">
        <v>128</v>
      </c>
      <c r="D3" s="27" t="s">
        <v>129</v>
      </c>
      <c r="E3" s="28"/>
    </row>
    <row r="4" spans="1:9" ht="18" customHeight="1">
      <c r="A4" s="26">
        <v>2</v>
      </c>
      <c r="B4" s="26" t="s">
        <v>130</v>
      </c>
      <c r="C4" s="26" t="s">
        <v>128</v>
      </c>
      <c r="D4" s="27" t="s">
        <v>131</v>
      </c>
      <c r="E4" s="28">
        <v>3</v>
      </c>
    </row>
    <row r="5" spans="1:9" ht="18" customHeight="1">
      <c r="A5" s="26">
        <v>3</v>
      </c>
      <c r="B5" s="26" t="s">
        <v>132</v>
      </c>
      <c r="C5" s="26" t="s">
        <v>128</v>
      </c>
      <c r="D5" s="27" t="s">
        <v>133</v>
      </c>
      <c r="E5" s="28"/>
    </row>
    <row r="6" spans="1:9" ht="18" customHeight="1">
      <c r="A6" s="26">
        <v>4</v>
      </c>
      <c r="B6" s="26" t="s">
        <v>134</v>
      </c>
      <c r="C6" s="26" t="s">
        <v>128</v>
      </c>
      <c r="D6" s="27" t="s">
        <v>135</v>
      </c>
      <c r="E6" s="28"/>
    </row>
    <row r="7" spans="1:9" ht="18" customHeight="1">
      <c r="A7" s="26">
        <v>5</v>
      </c>
      <c r="B7" s="26" t="s">
        <v>136</v>
      </c>
      <c r="C7" s="26" t="s">
        <v>128</v>
      </c>
      <c r="D7" s="27" t="s">
        <v>137</v>
      </c>
      <c r="E7" s="28"/>
    </row>
    <row r="8" spans="1:9" ht="18" customHeight="1">
      <c r="A8" s="26">
        <v>6</v>
      </c>
      <c r="B8" s="26" t="s">
        <v>138</v>
      </c>
      <c r="C8" s="26" t="s">
        <v>128</v>
      </c>
      <c r="D8" s="27" t="s">
        <v>139</v>
      </c>
      <c r="E8" s="28">
        <v>3</v>
      </c>
      <c r="H8" s="29"/>
      <c r="I8" s="29"/>
    </row>
    <row r="9" spans="1:9" ht="18" customHeight="1">
      <c r="A9" s="26">
        <v>7</v>
      </c>
      <c r="B9" s="26" t="s">
        <v>140</v>
      </c>
      <c r="C9" s="26" t="s">
        <v>128</v>
      </c>
      <c r="D9" s="27" t="s">
        <v>141</v>
      </c>
      <c r="E9" s="28"/>
      <c r="H9" s="29"/>
      <c r="I9" s="29"/>
    </row>
    <row r="10" spans="1:9" ht="18" customHeight="1">
      <c r="A10" s="26">
        <v>8</v>
      </c>
      <c r="B10" s="26" t="s">
        <v>142</v>
      </c>
      <c r="C10" s="26" t="s">
        <v>128</v>
      </c>
      <c r="D10" s="27" t="s">
        <v>143</v>
      </c>
      <c r="E10" s="28"/>
      <c r="H10" s="29"/>
      <c r="I10" s="29"/>
    </row>
    <row r="11" spans="1:9" ht="18" customHeight="1">
      <c r="A11" s="26">
        <v>9</v>
      </c>
      <c r="B11" s="26" t="s">
        <v>144</v>
      </c>
      <c r="C11" s="26" t="s">
        <v>128</v>
      </c>
      <c r="D11" s="27" t="s">
        <v>145</v>
      </c>
      <c r="E11" s="28"/>
      <c r="H11" s="30"/>
      <c r="I11" s="29"/>
    </row>
    <row r="12" spans="1:9" ht="18" customHeight="1">
      <c r="A12" s="26">
        <v>10</v>
      </c>
      <c r="B12" s="26" t="s">
        <v>146</v>
      </c>
      <c r="C12" s="26" t="s">
        <v>128</v>
      </c>
      <c r="D12" s="27" t="s">
        <v>147</v>
      </c>
      <c r="E12" s="28"/>
      <c r="H12" s="29"/>
      <c r="I12" s="29"/>
    </row>
    <row r="13" spans="1:9" ht="18" customHeight="1">
      <c r="A13" s="26">
        <v>11</v>
      </c>
      <c r="B13" s="26" t="s">
        <v>148</v>
      </c>
      <c r="C13" s="26" t="s">
        <v>128</v>
      </c>
      <c r="D13" s="27" t="s">
        <v>149</v>
      </c>
      <c r="E13" s="28"/>
      <c r="H13" s="29"/>
      <c r="I13" s="29"/>
    </row>
    <row r="14" spans="1:9" ht="18" customHeight="1">
      <c r="A14" s="26">
        <v>12</v>
      </c>
      <c r="B14" s="26" t="s">
        <v>150</v>
      </c>
      <c r="C14" s="26" t="s">
        <v>128</v>
      </c>
      <c r="D14" s="27" t="s">
        <v>151</v>
      </c>
      <c r="E14" s="28"/>
      <c r="H14" s="29"/>
      <c r="I14" s="29"/>
    </row>
    <row r="15" spans="1:9" ht="18" customHeight="1">
      <c r="A15" s="26">
        <v>13</v>
      </c>
      <c r="B15" s="26" t="s">
        <v>152</v>
      </c>
      <c r="C15" s="26" t="s">
        <v>128</v>
      </c>
      <c r="D15" s="27" t="s">
        <v>153</v>
      </c>
      <c r="E15" s="28"/>
    </row>
    <row r="18" spans="1:5">
      <c r="A18" s="268" t="s">
        <v>154</v>
      </c>
      <c r="B18" s="269"/>
      <c r="C18" s="269"/>
      <c r="D18" s="269"/>
      <c r="E18" s="270"/>
    </row>
    <row r="19" spans="1:5">
      <c r="A19" s="271"/>
      <c r="B19" s="272"/>
      <c r="C19" s="272"/>
      <c r="D19" s="272"/>
      <c r="E19" s="273"/>
    </row>
    <row r="20" spans="1:5">
      <c r="A20" s="271"/>
      <c r="B20" s="272"/>
      <c r="C20" s="272"/>
      <c r="D20" s="272"/>
      <c r="E20" s="273"/>
    </row>
    <row r="21" spans="1:5" ht="35.450000000000003" customHeight="1">
      <c r="A21" s="274"/>
      <c r="B21" s="275"/>
      <c r="C21" s="275"/>
      <c r="D21" s="275"/>
      <c r="E21" s="276"/>
    </row>
  </sheetData>
  <mergeCells count="2">
    <mergeCell ref="A1:C1"/>
    <mergeCell ref="A18:E21"/>
  </mergeCells>
  <phoneticPr fontId="2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B32" sqref="B32"/>
    </sheetView>
  </sheetViews>
  <sheetFormatPr defaultColWidth="8" defaultRowHeight="12"/>
  <cols>
    <col min="1" max="1" width="14.625" style="15" customWidth="1"/>
    <col min="2" max="2" width="9.75" style="15" customWidth="1"/>
    <col min="3" max="3" width="42.625" style="15" customWidth="1"/>
    <col min="4" max="4" width="9.375" style="15" customWidth="1"/>
    <col min="5" max="16384" width="8" style="15"/>
  </cols>
  <sheetData>
    <row r="1" spans="1:4" ht="21.2" customHeight="1">
      <c r="A1" s="16" t="s">
        <v>155</v>
      </c>
      <c r="B1" s="16" t="s">
        <v>156</v>
      </c>
      <c r="C1" s="16" t="s">
        <v>8</v>
      </c>
    </row>
    <row r="2" spans="1:4" ht="15.95" customHeight="1">
      <c r="A2" s="17">
        <v>43099</v>
      </c>
      <c r="B2" s="18" t="s">
        <v>157</v>
      </c>
      <c r="C2" s="19"/>
      <c r="D2" s="20"/>
    </row>
    <row r="3" spans="1:4" ht="15.95" customHeight="1">
      <c r="A3" s="17">
        <v>43100</v>
      </c>
      <c r="B3" s="18" t="s">
        <v>157</v>
      </c>
      <c r="C3" s="19"/>
      <c r="D3" s="20"/>
    </row>
    <row r="4" spans="1:4" ht="15.95" customHeight="1">
      <c r="A4" s="17">
        <v>43101</v>
      </c>
      <c r="B4" s="18" t="s">
        <v>157</v>
      </c>
      <c r="C4" s="19"/>
      <c r="D4" s="20"/>
    </row>
    <row r="5" spans="1:4" ht="15.95" customHeight="1">
      <c r="A5" s="17">
        <v>43144</v>
      </c>
      <c r="B5" s="18" t="s">
        <v>158</v>
      </c>
      <c r="C5" s="21"/>
      <c r="D5" s="20"/>
    </row>
    <row r="6" spans="1:4" ht="15.95" customHeight="1">
      <c r="A6" s="17">
        <v>43145</v>
      </c>
      <c r="B6" s="18" t="s">
        <v>158</v>
      </c>
      <c r="C6" s="22"/>
      <c r="D6" s="20"/>
    </row>
    <row r="7" spans="1:4" ht="15.95" customHeight="1">
      <c r="A7" s="17">
        <v>43146</v>
      </c>
      <c r="B7" s="18" t="s">
        <v>158</v>
      </c>
      <c r="C7" s="22"/>
      <c r="D7" s="20"/>
    </row>
    <row r="8" spans="1:4" ht="15.95" customHeight="1">
      <c r="A8" s="17">
        <v>43147</v>
      </c>
      <c r="B8" s="18" t="s">
        <v>158</v>
      </c>
      <c r="C8" s="22"/>
      <c r="D8" s="20"/>
    </row>
    <row r="9" spans="1:4" ht="15.95" customHeight="1">
      <c r="A9" s="17">
        <v>43148</v>
      </c>
      <c r="B9" s="18" t="s">
        <v>158</v>
      </c>
      <c r="C9" s="22"/>
      <c r="D9" s="20"/>
    </row>
    <row r="10" spans="1:4" ht="15.95" customHeight="1">
      <c r="A10" s="17">
        <v>43149</v>
      </c>
      <c r="B10" s="18" t="s">
        <v>158</v>
      </c>
      <c r="C10" s="22"/>
      <c r="D10" s="20"/>
    </row>
    <row r="11" spans="1:4" ht="15.95" customHeight="1">
      <c r="A11" s="17">
        <v>43150</v>
      </c>
      <c r="B11" s="18" t="s">
        <v>158</v>
      </c>
      <c r="C11" s="22"/>
      <c r="D11" s="20"/>
    </row>
    <row r="12" spans="1:4" ht="15.95" customHeight="1">
      <c r="A12" s="17">
        <v>43151</v>
      </c>
      <c r="B12" s="18" t="s">
        <v>158</v>
      </c>
      <c r="C12" s="22"/>
      <c r="D12" s="20"/>
    </row>
    <row r="13" spans="1:4" ht="15.95" customHeight="1">
      <c r="A13" s="17">
        <v>43152</v>
      </c>
      <c r="B13" s="18" t="s">
        <v>158</v>
      </c>
      <c r="C13" s="22"/>
      <c r="D13" s="20"/>
    </row>
    <row r="14" spans="1:4" ht="15.95" customHeight="1">
      <c r="A14" s="17">
        <v>43195</v>
      </c>
      <c r="B14" s="18" t="s">
        <v>159</v>
      </c>
      <c r="C14" s="19"/>
      <c r="D14" s="20"/>
    </row>
    <row r="15" spans="1:4" ht="15.95" customHeight="1">
      <c r="A15" s="17">
        <v>43196</v>
      </c>
      <c r="B15" s="18" t="s">
        <v>159</v>
      </c>
      <c r="C15" s="19"/>
      <c r="D15" s="20"/>
    </row>
    <row r="16" spans="1:4" ht="15.95" customHeight="1">
      <c r="A16" s="17">
        <v>43197</v>
      </c>
      <c r="B16" s="18" t="s">
        <v>159</v>
      </c>
      <c r="C16" s="19"/>
      <c r="D16" s="20"/>
    </row>
    <row r="17" spans="1:4" ht="15.95" customHeight="1">
      <c r="A17" s="17">
        <v>43219</v>
      </c>
      <c r="B17" s="18" t="s">
        <v>160</v>
      </c>
      <c r="C17" s="19"/>
      <c r="D17" s="20"/>
    </row>
    <row r="18" spans="1:4" ht="15.95" customHeight="1">
      <c r="A18" s="17">
        <v>43220</v>
      </c>
      <c r="B18" s="18" t="s">
        <v>160</v>
      </c>
      <c r="C18" s="19"/>
      <c r="D18" s="20"/>
    </row>
    <row r="19" spans="1:4" ht="15.95" customHeight="1">
      <c r="A19" s="17">
        <v>43221</v>
      </c>
      <c r="B19" s="18" t="s">
        <v>160</v>
      </c>
      <c r="C19" s="19"/>
      <c r="D19" s="20"/>
    </row>
    <row r="20" spans="1:4" ht="15.95" customHeight="1">
      <c r="A20" s="17">
        <v>43267</v>
      </c>
      <c r="B20" s="18" t="s">
        <v>161</v>
      </c>
      <c r="C20" s="19"/>
      <c r="D20" s="20"/>
    </row>
    <row r="21" spans="1:4" ht="15.95" customHeight="1">
      <c r="A21" s="17">
        <v>43268</v>
      </c>
      <c r="B21" s="18" t="s">
        <v>161</v>
      </c>
      <c r="C21" s="19"/>
      <c r="D21" s="20"/>
    </row>
    <row r="22" spans="1:4" ht="15.95" customHeight="1">
      <c r="A22" s="17">
        <v>43269</v>
      </c>
      <c r="B22" s="18" t="s">
        <v>161</v>
      </c>
      <c r="C22" s="19"/>
      <c r="D22" s="20"/>
    </row>
    <row r="23" spans="1:4" ht="15.95" customHeight="1">
      <c r="A23" s="17">
        <v>43365</v>
      </c>
      <c r="B23" s="18" t="s">
        <v>162</v>
      </c>
      <c r="C23" s="19"/>
      <c r="D23" s="20"/>
    </row>
    <row r="24" spans="1:4" ht="15.95" customHeight="1">
      <c r="A24" s="17">
        <v>43366</v>
      </c>
      <c r="B24" s="18" t="s">
        <v>162</v>
      </c>
      <c r="C24" s="19"/>
      <c r="D24" s="20"/>
    </row>
    <row r="25" spans="1:4" ht="15.95" customHeight="1">
      <c r="A25" s="17">
        <v>43367</v>
      </c>
      <c r="B25" s="18" t="s">
        <v>162</v>
      </c>
      <c r="C25" s="19"/>
      <c r="D25" s="20"/>
    </row>
    <row r="26" spans="1:4" ht="15.95" customHeight="1">
      <c r="A26" s="17">
        <v>43374</v>
      </c>
      <c r="B26" s="18" t="s">
        <v>163</v>
      </c>
      <c r="C26" s="19"/>
      <c r="D26" s="20"/>
    </row>
    <row r="27" spans="1:4" ht="15.95" customHeight="1">
      <c r="A27" s="17">
        <v>43375</v>
      </c>
      <c r="B27" s="18" t="s">
        <v>163</v>
      </c>
      <c r="C27" s="19"/>
      <c r="D27" s="20"/>
    </row>
    <row r="28" spans="1:4" ht="15.95" customHeight="1">
      <c r="A28" s="17">
        <v>43376</v>
      </c>
      <c r="B28" s="18" t="s">
        <v>163</v>
      </c>
      <c r="C28" s="19"/>
      <c r="D28" s="20"/>
    </row>
    <row r="29" spans="1:4" ht="15.95" customHeight="1">
      <c r="A29" s="17">
        <v>43377</v>
      </c>
      <c r="B29" s="18" t="s">
        <v>163</v>
      </c>
      <c r="C29" s="19"/>
      <c r="D29" s="20"/>
    </row>
    <row r="30" spans="1:4">
      <c r="A30" s="17">
        <v>43378</v>
      </c>
      <c r="B30" s="18" t="s">
        <v>163</v>
      </c>
      <c r="C30" s="19"/>
    </row>
    <row r="31" spans="1:4">
      <c r="A31" s="17">
        <v>43379</v>
      </c>
      <c r="B31" s="18" t="s">
        <v>163</v>
      </c>
      <c r="C31" s="19"/>
    </row>
    <row r="32" spans="1:4">
      <c r="A32" s="17">
        <v>43380</v>
      </c>
      <c r="B32" s="18" t="s">
        <v>163</v>
      </c>
      <c r="C32" s="19"/>
    </row>
  </sheetData>
  <phoneticPr fontId="2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G14" sqref="G14:I14"/>
    </sheetView>
  </sheetViews>
  <sheetFormatPr defaultColWidth="9" defaultRowHeight="13.5"/>
  <cols>
    <col min="1" max="3" width="9" style="1"/>
    <col min="4" max="4" width="12.25" style="1" customWidth="1"/>
    <col min="5" max="7" width="9" style="1"/>
    <col min="8" max="8" width="12.75" style="1" customWidth="1"/>
    <col min="9" max="9" width="9" style="1"/>
    <col min="10" max="10" width="36.125" style="1" customWidth="1"/>
    <col min="11" max="16384" width="9" style="1"/>
  </cols>
  <sheetData>
    <row r="2" spans="2:10" ht="36" customHeight="1">
      <c r="B2" s="283" t="s">
        <v>164</v>
      </c>
      <c r="C2" s="283"/>
      <c r="D2" s="282" t="s">
        <v>165</v>
      </c>
      <c r="E2" s="282"/>
      <c r="F2" s="282"/>
      <c r="G2" s="282" t="s">
        <v>166</v>
      </c>
      <c r="H2" s="282"/>
      <c r="I2" s="282"/>
      <c r="J2" s="282" t="s">
        <v>8</v>
      </c>
    </row>
    <row r="3" spans="2:10" ht="40.5">
      <c r="B3" s="283"/>
      <c r="C3" s="283"/>
      <c r="D3" s="2" t="s">
        <v>51</v>
      </c>
      <c r="E3" s="2" t="s">
        <v>167</v>
      </c>
      <c r="F3" s="2" t="s">
        <v>168</v>
      </c>
      <c r="G3" s="2" t="s">
        <v>51</v>
      </c>
      <c r="H3" s="2" t="s">
        <v>167</v>
      </c>
      <c r="I3" s="2" t="s">
        <v>168</v>
      </c>
      <c r="J3" s="282"/>
    </row>
    <row r="4" spans="2:10" ht="30" customHeight="1">
      <c r="B4" s="287" t="s">
        <v>9</v>
      </c>
      <c r="C4" s="279"/>
      <c r="D4" s="3">
        <v>6</v>
      </c>
      <c r="E4" s="3">
        <v>2</v>
      </c>
      <c r="F4" s="3" t="s">
        <v>169</v>
      </c>
      <c r="G4" s="3"/>
      <c r="H4" s="3"/>
      <c r="I4" s="3" t="s">
        <v>169</v>
      </c>
      <c r="J4" s="11" t="s">
        <v>170</v>
      </c>
    </row>
    <row r="5" spans="2:10" ht="30" customHeight="1">
      <c r="B5" s="284" t="s">
        <v>62</v>
      </c>
      <c r="C5" s="4" t="s">
        <v>20</v>
      </c>
      <c r="D5" s="4">
        <v>4.2</v>
      </c>
      <c r="E5" s="278">
        <f>SUM(D5:D11)</f>
        <v>71.23333333333332</v>
      </c>
      <c r="F5" s="280">
        <v>0.7</v>
      </c>
      <c r="G5" s="4"/>
      <c r="H5" s="278">
        <f>SUM(G5:G11)</f>
        <v>0</v>
      </c>
      <c r="I5" s="280">
        <v>0.71</v>
      </c>
      <c r="J5" s="11" t="s">
        <v>171</v>
      </c>
    </row>
    <row r="6" spans="2:10" ht="30" customHeight="1">
      <c r="B6" s="285"/>
      <c r="C6" s="4" t="s">
        <v>22</v>
      </c>
      <c r="D6" s="4">
        <v>43.033333333333324</v>
      </c>
      <c r="E6" s="279"/>
      <c r="F6" s="279"/>
      <c r="G6" s="4"/>
      <c r="H6" s="279"/>
      <c r="I6" s="280"/>
      <c r="J6" s="11" t="s">
        <v>172</v>
      </c>
    </row>
    <row r="7" spans="2:10" ht="30" customHeight="1">
      <c r="B7" s="285"/>
      <c r="C7" s="4" t="s">
        <v>23</v>
      </c>
      <c r="D7" s="4">
        <v>14.5</v>
      </c>
      <c r="E7" s="279"/>
      <c r="F7" s="279"/>
      <c r="G7" s="4"/>
      <c r="H7" s="279"/>
      <c r="I7" s="280"/>
      <c r="J7" s="12" t="s">
        <v>173</v>
      </c>
    </row>
    <row r="8" spans="2:10" ht="30" customHeight="1">
      <c r="B8" s="285"/>
      <c r="C8" s="5" t="s">
        <v>174</v>
      </c>
      <c r="D8" s="4">
        <v>0</v>
      </c>
      <c r="E8" s="279"/>
      <c r="F8" s="279"/>
      <c r="G8" s="4"/>
      <c r="H8" s="279"/>
      <c r="I8" s="280"/>
      <c r="J8" s="11" t="s">
        <v>170</v>
      </c>
    </row>
    <row r="9" spans="2:10" ht="30" customHeight="1">
      <c r="B9" s="285"/>
      <c r="C9" s="4" t="s">
        <v>25</v>
      </c>
      <c r="D9" s="4">
        <v>5.5</v>
      </c>
      <c r="E9" s="279"/>
      <c r="F9" s="279"/>
      <c r="G9" s="4"/>
      <c r="H9" s="279"/>
      <c r="I9" s="280"/>
      <c r="J9" s="11" t="s">
        <v>170</v>
      </c>
    </row>
    <row r="10" spans="2:10" ht="30" customHeight="1">
      <c r="B10" s="285"/>
      <c r="C10" s="4" t="s">
        <v>26</v>
      </c>
      <c r="D10" s="4">
        <v>2</v>
      </c>
      <c r="E10" s="279"/>
      <c r="F10" s="279"/>
      <c r="G10" s="4"/>
      <c r="H10" s="279"/>
      <c r="I10" s="280"/>
      <c r="J10" s="11" t="s">
        <v>170</v>
      </c>
    </row>
    <row r="11" spans="2:10" ht="30" customHeight="1">
      <c r="B11" s="285"/>
      <c r="C11" s="5" t="s">
        <v>27</v>
      </c>
      <c r="D11" s="4">
        <v>2</v>
      </c>
      <c r="E11" s="279"/>
      <c r="F11" s="279"/>
      <c r="G11" s="4"/>
      <c r="H11" s="279"/>
      <c r="I11" s="280"/>
      <c r="J11" s="11" t="s">
        <v>170</v>
      </c>
    </row>
    <row r="12" spans="2:10" ht="30" customHeight="1">
      <c r="B12" s="284" t="s">
        <v>175</v>
      </c>
      <c r="C12" s="284"/>
      <c r="D12" s="281">
        <v>1.5</v>
      </c>
      <c r="E12" s="281"/>
      <c r="F12" s="281"/>
      <c r="G12" s="281"/>
      <c r="H12" s="281"/>
      <c r="I12" s="281"/>
      <c r="J12" s="11"/>
    </row>
    <row r="13" spans="2:10" ht="30" customHeight="1">
      <c r="B13" s="6"/>
      <c r="C13" s="6"/>
      <c r="D13" s="6"/>
      <c r="E13" s="6"/>
      <c r="F13" s="6"/>
      <c r="G13" s="6"/>
      <c r="H13" s="6"/>
      <c r="I13" s="6"/>
      <c r="J13" s="6"/>
    </row>
    <row r="14" spans="2:10" ht="30" customHeight="1">
      <c r="B14" s="286" t="s">
        <v>164</v>
      </c>
      <c r="C14" s="282" t="s">
        <v>165</v>
      </c>
      <c r="D14" s="282"/>
      <c r="E14" s="282"/>
      <c r="F14" s="7"/>
      <c r="G14" s="282" t="s">
        <v>166</v>
      </c>
      <c r="H14" s="282"/>
      <c r="I14" s="282"/>
      <c r="J14" s="283" t="s">
        <v>8</v>
      </c>
    </row>
    <row r="15" spans="2:10" ht="30" customHeight="1">
      <c r="B15" s="286"/>
      <c r="C15" s="8" t="s">
        <v>70</v>
      </c>
      <c r="D15" s="8" t="s">
        <v>71</v>
      </c>
      <c r="E15" s="8" t="s">
        <v>176</v>
      </c>
      <c r="F15" s="7"/>
      <c r="G15" s="8" t="s">
        <v>70</v>
      </c>
      <c r="H15" s="8" t="s">
        <v>71</v>
      </c>
      <c r="I15" s="8" t="s">
        <v>176</v>
      </c>
      <c r="J15" s="283"/>
    </row>
    <row r="16" spans="2:10" ht="30" customHeight="1">
      <c r="B16" s="9" t="s">
        <v>177</v>
      </c>
      <c r="C16" s="10">
        <f>E5/(F5*21.75)</f>
        <v>4.6787082649151603</v>
      </c>
      <c r="D16" s="277">
        <v>2</v>
      </c>
      <c r="E16" s="10">
        <f>C16*D16</f>
        <v>9.3574165298303207</v>
      </c>
      <c r="F16" s="7"/>
      <c r="G16" s="10">
        <f>H5/(I5*21.75)</f>
        <v>0</v>
      </c>
      <c r="H16" s="277">
        <v>2</v>
      </c>
      <c r="I16" s="10">
        <f>G16*H16</f>
        <v>0</v>
      </c>
      <c r="J16" s="13"/>
    </row>
    <row r="17" spans="2:10" ht="30" customHeight="1">
      <c r="B17" s="9" t="s">
        <v>178</v>
      </c>
      <c r="C17" s="10">
        <f>E5/(F5*21.75)+E4/21.75</f>
        <v>4.770662287903666</v>
      </c>
      <c r="D17" s="277"/>
      <c r="E17" s="10">
        <f>C17*D16</f>
        <v>9.541324575807332</v>
      </c>
      <c r="F17" s="7"/>
      <c r="G17" s="10">
        <f>H5/(I5*21.75)+H4/21.75</f>
        <v>0</v>
      </c>
      <c r="H17" s="277"/>
      <c r="I17" s="10">
        <f>G17*H16</f>
        <v>0</v>
      </c>
      <c r="J17" s="14"/>
    </row>
  </sheetData>
  <mergeCells count="19">
    <mergeCell ref="J2:J3"/>
    <mergeCell ref="J14:J15"/>
    <mergeCell ref="B2:C3"/>
    <mergeCell ref="C14:E14"/>
    <mergeCell ref="G14:I14"/>
    <mergeCell ref="B5:B11"/>
    <mergeCell ref="B14:B15"/>
    <mergeCell ref="I5:I11"/>
    <mergeCell ref="D2:F2"/>
    <mergeCell ref="G2:I2"/>
    <mergeCell ref="B4:C4"/>
    <mergeCell ref="B12:C12"/>
    <mergeCell ref="D16:D17"/>
    <mergeCell ref="E5:E11"/>
    <mergeCell ref="F5:F11"/>
    <mergeCell ref="H5:H11"/>
    <mergeCell ref="H16:H17"/>
    <mergeCell ref="D12:F12"/>
    <mergeCell ref="G12:I12"/>
  </mergeCells>
  <phoneticPr fontId="2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1"/>
  <sheetViews>
    <sheetView workbookViewId="0">
      <pane xSplit="10" ySplit="4" topLeftCell="K5" activePane="bottomRight" state="frozen"/>
      <selection pane="topRight"/>
      <selection pane="bottomLeft"/>
      <selection pane="bottomRight" activeCell="J5" sqref="J5"/>
    </sheetView>
  </sheetViews>
  <sheetFormatPr defaultColWidth="9" defaultRowHeight="13.5"/>
  <cols>
    <col min="1" max="1" width="1.875" style="47" customWidth="1"/>
    <col min="2" max="2" width="5.125" style="47" customWidth="1"/>
    <col min="3" max="3" width="27.875" style="47" customWidth="1"/>
    <col min="4" max="4" width="7.5" style="47" customWidth="1"/>
    <col min="5" max="7" width="9.75" style="47" customWidth="1"/>
    <col min="8" max="8" width="11.25" style="47" customWidth="1"/>
    <col min="9" max="9" width="11.875" style="47" customWidth="1"/>
    <col min="10" max="10" width="11.25" style="47" customWidth="1"/>
    <col min="11" max="11" width="3.125" style="47" customWidth="1"/>
    <col min="12" max="13" width="11.25" style="47" hidden="1" customWidth="1"/>
    <col min="14" max="14" width="9.75" style="47" customWidth="1"/>
    <col min="15" max="20" width="12.75" style="47" customWidth="1"/>
    <col min="21" max="22" width="9.75" style="47" customWidth="1"/>
    <col min="23" max="23" width="11.875" style="47" customWidth="1"/>
    <col min="24" max="24" width="30.375" style="47" customWidth="1"/>
    <col min="25" max="16384" width="9" style="47"/>
  </cols>
  <sheetData>
    <row r="1" spans="2:24" ht="34.5" customHeight="1"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</row>
    <row r="2" spans="2:24" ht="21.2" customHeight="1"/>
    <row r="3" spans="2:24" s="46" customFormat="1" ht="20.25">
      <c r="B3" s="231" t="s">
        <v>76</v>
      </c>
      <c r="C3" s="231" t="s">
        <v>77</v>
      </c>
      <c r="D3" s="231" t="s">
        <v>78</v>
      </c>
      <c r="E3" s="231" t="s">
        <v>79</v>
      </c>
      <c r="F3" s="231" t="s">
        <v>80</v>
      </c>
      <c r="G3" s="231" t="s">
        <v>81</v>
      </c>
      <c r="H3" s="228" t="s">
        <v>82</v>
      </c>
      <c r="I3" s="229"/>
      <c r="J3" s="230"/>
      <c r="K3" s="228" t="s">
        <v>83</v>
      </c>
      <c r="L3" s="229"/>
      <c r="M3" s="230"/>
      <c r="N3" s="231" t="s">
        <v>84</v>
      </c>
      <c r="O3" s="231" t="s">
        <v>85</v>
      </c>
      <c r="P3" s="231" t="s">
        <v>86</v>
      </c>
      <c r="Q3" s="231" t="s">
        <v>87</v>
      </c>
      <c r="R3" s="231" t="s">
        <v>88</v>
      </c>
      <c r="S3" s="231" t="s">
        <v>89</v>
      </c>
      <c r="T3" s="231" t="s">
        <v>90</v>
      </c>
      <c r="U3" s="231" t="s">
        <v>91</v>
      </c>
      <c r="V3" s="231" t="s">
        <v>92</v>
      </c>
      <c r="W3" s="231" t="s">
        <v>93</v>
      </c>
      <c r="X3" s="231" t="s">
        <v>8</v>
      </c>
    </row>
    <row r="4" spans="2:24" s="46" customFormat="1" ht="20.25" customHeight="1">
      <c r="B4" s="232"/>
      <c r="C4" s="232"/>
      <c r="D4" s="232"/>
      <c r="E4" s="232"/>
      <c r="F4" s="232"/>
      <c r="G4" s="232"/>
      <c r="H4" s="48" t="s">
        <v>94</v>
      </c>
      <c r="I4" s="48" t="s">
        <v>95</v>
      </c>
      <c r="J4" s="48" t="s">
        <v>96</v>
      </c>
      <c r="K4" s="71" t="s">
        <v>94</v>
      </c>
      <c r="L4" s="71" t="s">
        <v>95</v>
      </c>
      <c r="M4" s="71" t="s">
        <v>96</v>
      </c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</row>
    <row r="5" spans="2:24" ht="27" customHeight="1">
      <c r="B5" s="49">
        <v>1</v>
      </c>
      <c r="C5" s="118" t="s">
        <v>210</v>
      </c>
      <c r="D5" s="76"/>
      <c r="E5" s="53" t="s">
        <v>97</v>
      </c>
      <c r="F5" s="53" t="s">
        <v>97</v>
      </c>
      <c r="G5" s="53" t="s">
        <v>98</v>
      </c>
      <c r="H5" s="67">
        <v>0.5</v>
      </c>
      <c r="I5" s="67">
        <v>0.5</v>
      </c>
      <c r="J5" s="67">
        <v>0.5</v>
      </c>
      <c r="K5" s="57"/>
      <c r="L5" s="57"/>
      <c r="M5" s="57"/>
      <c r="N5" s="58">
        <f>MIN(H5:J5)</f>
        <v>0.5</v>
      </c>
      <c r="O5" s="58">
        <f>IF(AND(ISBLANK(H5),ISBLANK(I5),ISBLANK(J5)),,AVERAGE(H5:J5))</f>
        <v>0.5</v>
      </c>
      <c r="P5" s="58">
        <f>MAX(H5:J5)</f>
        <v>0.5</v>
      </c>
      <c r="Q5" s="59">
        <f>IF(AND(ISNUMBER(O5),O5&lt;&gt;0),MAX(O5-N5,P5-O5)/O5,"")</f>
        <v>0</v>
      </c>
      <c r="R5" s="60" t="str">
        <f>IF(Q5&gt;[1]基础信息!$F$3,"N","Y")</f>
        <v>Y</v>
      </c>
      <c r="S5" s="60">
        <f>VLOOKUP(E5&amp;F5,[1]基础信息!$D$11:$E$20,2,0)</f>
        <v>1</v>
      </c>
      <c r="T5" s="58">
        <f>O5*S5</f>
        <v>0.5</v>
      </c>
      <c r="U5" s="72"/>
      <c r="V5" s="58">
        <f>IF(G5="是",T5*U5,0)</f>
        <v>0</v>
      </c>
      <c r="W5" s="58">
        <f>T5-V5</f>
        <v>0.5</v>
      </c>
      <c r="X5" s="62"/>
    </row>
    <row r="6" spans="2:24" ht="27" customHeight="1">
      <c r="B6" s="49">
        <v>2</v>
      </c>
      <c r="C6" s="76"/>
      <c r="D6" s="53"/>
      <c r="E6" s="53" t="s">
        <v>97</v>
      </c>
      <c r="F6" s="53" t="s">
        <v>97</v>
      </c>
      <c r="G6" s="53" t="s">
        <v>98</v>
      </c>
      <c r="H6" s="67"/>
      <c r="I6" s="67"/>
      <c r="J6" s="67"/>
      <c r="K6" s="57"/>
      <c r="L6" s="57"/>
      <c r="M6" s="57"/>
      <c r="N6" s="58">
        <f t="shared" ref="N6" si="0">MIN(H6:J6)</f>
        <v>0</v>
      </c>
      <c r="O6" s="58">
        <f t="shared" ref="O6" si="1">IF(AND(ISBLANK(H6),ISBLANK(I6),ISBLANK(J6)),,AVERAGE(H6:J6))</f>
        <v>0</v>
      </c>
      <c r="P6" s="58">
        <f t="shared" ref="P6" si="2">MAX(H6:J6)</f>
        <v>0</v>
      </c>
      <c r="Q6" s="59" t="str">
        <f t="shared" ref="Q6" si="3">IF(AND(ISNUMBER(O6),O6&lt;&gt;0),MAX(O6-N6,P6-O6)/O6,"")</f>
        <v/>
      </c>
      <c r="R6" s="60" t="str">
        <f>IF(Q6&gt;[1]基础信息!$F$3,"N","Y")</f>
        <v>N</v>
      </c>
      <c r="S6" s="60">
        <f>VLOOKUP(E6&amp;F6,[1]基础信息!$D$11:$E$20,2,0)</f>
        <v>1</v>
      </c>
      <c r="T6" s="58">
        <f t="shared" ref="T6" si="4">O6*S6</f>
        <v>0</v>
      </c>
      <c r="U6" s="72"/>
      <c r="V6" s="58">
        <f t="shared" ref="V6" si="5">IF(G6="是",T6*U6,0)</f>
        <v>0</v>
      </c>
      <c r="W6" s="58">
        <f t="shared" ref="W6" si="6">T6-V6</f>
        <v>0</v>
      </c>
      <c r="X6" s="62"/>
    </row>
    <row r="7" spans="2:24" ht="27" customHeight="1">
      <c r="B7" s="49">
        <v>21</v>
      </c>
      <c r="C7" s="76"/>
      <c r="D7" s="68"/>
      <c r="E7" s="53" t="s">
        <v>97</v>
      </c>
      <c r="F7" s="53" t="s">
        <v>97</v>
      </c>
      <c r="G7" s="53" t="s">
        <v>98</v>
      </c>
      <c r="H7" s="69"/>
      <c r="I7" s="69"/>
      <c r="J7" s="78"/>
      <c r="K7" s="78"/>
      <c r="L7" s="78"/>
      <c r="M7" s="78"/>
      <c r="N7" s="79">
        <f t="shared" ref="N7:N8" si="7">MIN(H7:J7)</f>
        <v>0</v>
      </c>
      <c r="O7" s="79">
        <f t="shared" ref="O7:O8" si="8">IF(AND(ISBLANK(H7),ISBLANK(I7),ISBLANK(J7)),,AVERAGE(H7:J7))</f>
        <v>0</v>
      </c>
      <c r="P7" s="79">
        <f t="shared" ref="P7:P8" si="9">MAX(H7:J7)</f>
        <v>0</v>
      </c>
      <c r="Q7" s="81" t="str">
        <f t="shared" ref="Q7:Q8" si="10">IF(AND(ISNUMBER(O7),O7&lt;&gt;0),MAX(O7-N7,P7-O7)/O7,"")</f>
        <v/>
      </c>
      <c r="R7" s="60" t="str">
        <f>IF(Q7&gt;[1]基础信息!$F$3,"N","Y")</f>
        <v>N</v>
      </c>
      <c r="S7" s="60">
        <f>VLOOKUP(E7&amp;F7,[1]基础信息!$D$11:$E$20,2,0)</f>
        <v>1</v>
      </c>
      <c r="T7" s="58">
        <f t="shared" ref="T7:T8" si="11">O7*S7</f>
        <v>0</v>
      </c>
      <c r="U7" s="80"/>
      <c r="V7" s="58">
        <f t="shared" ref="V7:V8" si="12">IF(G7="是",T7*U7,0)</f>
        <v>0</v>
      </c>
      <c r="W7" s="58">
        <f t="shared" ref="W7:W8" si="13">T7-V7</f>
        <v>0</v>
      </c>
      <c r="X7" s="62"/>
    </row>
    <row r="8" spans="2:24" ht="27" customHeight="1">
      <c r="B8" s="49">
        <v>22</v>
      </c>
      <c r="C8" s="76"/>
      <c r="D8" s="68"/>
      <c r="E8" s="53" t="s">
        <v>97</v>
      </c>
      <c r="F8" s="53" t="s">
        <v>97</v>
      </c>
      <c r="G8" s="53" t="s">
        <v>98</v>
      </c>
      <c r="H8" s="69"/>
      <c r="I8" s="69"/>
      <c r="J8" s="78"/>
      <c r="K8" s="78"/>
      <c r="L8" s="78"/>
      <c r="M8" s="78"/>
      <c r="N8" s="79">
        <f t="shared" si="7"/>
        <v>0</v>
      </c>
      <c r="O8" s="79">
        <f t="shared" si="8"/>
        <v>0</v>
      </c>
      <c r="P8" s="79">
        <f t="shared" si="9"/>
        <v>0</v>
      </c>
      <c r="Q8" s="81" t="str">
        <f t="shared" si="10"/>
        <v/>
      </c>
      <c r="R8" s="60" t="str">
        <f>IF(Q8&gt;[1]基础信息!$F$3,"N","Y")</f>
        <v>N</v>
      </c>
      <c r="S8" s="60">
        <f>VLOOKUP(E8&amp;F8,[1]基础信息!$D$11:$E$20,2,0)</f>
        <v>1</v>
      </c>
      <c r="T8" s="58">
        <f t="shared" si="11"/>
        <v>0</v>
      </c>
      <c r="U8" s="80"/>
      <c r="V8" s="58">
        <f t="shared" si="12"/>
        <v>0</v>
      </c>
      <c r="W8" s="58">
        <f t="shared" si="13"/>
        <v>0</v>
      </c>
      <c r="X8" s="62"/>
    </row>
    <row r="9" spans="2:24" ht="27" customHeight="1">
      <c r="B9" s="182" t="s">
        <v>99</v>
      </c>
      <c r="C9" s="182"/>
      <c r="D9" s="77" t="s">
        <v>100</v>
      </c>
      <c r="E9" s="55">
        <f>COUNTIF(E5:E8,"高")</f>
        <v>0</v>
      </c>
      <c r="F9" s="55">
        <f>COUNTIF(F5:F8,"高")</f>
        <v>0</v>
      </c>
      <c r="G9" s="55">
        <f>COUNTIF(G5:G8,"是")</f>
        <v>0</v>
      </c>
      <c r="H9" s="233">
        <f>SUM(H5:H8)</f>
        <v>0.5</v>
      </c>
      <c r="I9" s="233">
        <f>SUM(I5:I8)</f>
        <v>0.5</v>
      </c>
      <c r="J9" s="233">
        <f>SUM(J5:J8)</f>
        <v>0.5</v>
      </c>
      <c r="K9" s="233">
        <f t="shared" ref="K9:P9" si="14">SUM(K5:K6)</f>
        <v>0</v>
      </c>
      <c r="L9" s="233">
        <f t="shared" si="14"/>
        <v>0</v>
      </c>
      <c r="M9" s="233">
        <f t="shared" si="14"/>
        <v>0</v>
      </c>
      <c r="N9" s="233">
        <f t="shared" si="14"/>
        <v>0.5</v>
      </c>
      <c r="O9" s="233">
        <f t="shared" si="14"/>
        <v>0.5</v>
      </c>
      <c r="P9" s="233">
        <f t="shared" si="14"/>
        <v>0.5</v>
      </c>
      <c r="Q9" s="236"/>
      <c r="R9" s="55">
        <f>COUNTIF(R5:R6,"Y")</f>
        <v>1</v>
      </c>
      <c r="S9" s="60"/>
      <c r="T9" s="233">
        <f>SUM(T5:T8)</f>
        <v>0.5</v>
      </c>
      <c r="U9" s="233">
        <f>SUM(U5:U8)</f>
        <v>0</v>
      </c>
      <c r="V9" s="233">
        <f>SUM(V5:V8)</f>
        <v>0</v>
      </c>
      <c r="W9" s="233">
        <f>SUM(W5:W8)</f>
        <v>0.5</v>
      </c>
      <c r="X9" s="62"/>
    </row>
    <row r="10" spans="2:24" ht="27" customHeight="1">
      <c r="B10" s="182"/>
      <c r="C10" s="182"/>
      <c r="D10" s="77" t="s">
        <v>97</v>
      </c>
      <c r="E10" s="55">
        <f>COUNTIF(E5:E8,"中")</f>
        <v>4</v>
      </c>
      <c r="F10" s="55">
        <f>COUNTIF(F5:F8,"中")</f>
        <v>4</v>
      </c>
      <c r="G10" s="55">
        <f>COUNTIF(G5:G8,"否")</f>
        <v>4</v>
      </c>
      <c r="H10" s="234"/>
      <c r="I10" s="234"/>
      <c r="J10" s="234"/>
      <c r="K10" s="234"/>
      <c r="L10" s="234"/>
      <c r="M10" s="234"/>
      <c r="N10" s="234"/>
      <c r="O10" s="234"/>
      <c r="P10" s="234"/>
      <c r="Q10" s="237"/>
      <c r="R10" s="55">
        <f>COUNTIF(R5:R6,"N")</f>
        <v>1</v>
      </c>
      <c r="S10" s="60"/>
      <c r="T10" s="234"/>
      <c r="U10" s="234"/>
      <c r="V10" s="234"/>
      <c r="W10" s="234"/>
      <c r="X10" s="62"/>
    </row>
    <row r="11" spans="2:24" ht="27" customHeight="1">
      <c r="B11" s="182"/>
      <c r="C11" s="182"/>
      <c r="D11" s="77" t="s">
        <v>101</v>
      </c>
      <c r="E11" s="55">
        <f>COUNTIF(E5:E8,"低")</f>
        <v>0</v>
      </c>
      <c r="F11" s="55">
        <f>COUNTIF(F5:F8,"低")</f>
        <v>0</v>
      </c>
      <c r="G11" s="55"/>
      <c r="H11" s="235"/>
      <c r="I11" s="235"/>
      <c r="J11" s="235"/>
      <c r="K11" s="235"/>
      <c r="L11" s="235"/>
      <c r="M11" s="235"/>
      <c r="N11" s="235"/>
      <c r="O11" s="235"/>
      <c r="P11" s="235"/>
      <c r="Q11" s="238"/>
      <c r="R11" s="55"/>
      <c r="S11" s="55"/>
      <c r="T11" s="235"/>
      <c r="U11" s="235"/>
      <c r="V11" s="235"/>
      <c r="W11" s="235"/>
      <c r="X11" s="49"/>
    </row>
  </sheetData>
  <autoFilter ref="B3:X11"/>
  <mergeCells count="35">
    <mergeCell ref="W9:W11"/>
    <mergeCell ref="X3:X4"/>
    <mergeCell ref="B9:C11"/>
    <mergeCell ref="T9:T11"/>
    <mergeCell ref="U3:U4"/>
    <mergeCell ref="U9:U11"/>
    <mergeCell ref="V3:V4"/>
    <mergeCell ref="V9:V11"/>
    <mergeCell ref="P9:P11"/>
    <mergeCell ref="Q3:Q4"/>
    <mergeCell ref="Q9:Q11"/>
    <mergeCell ref="R3:R4"/>
    <mergeCell ref="S3:S4"/>
    <mergeCell ref="M9:M11"/>
    <mergeCell ref="N3:N4"/>
    <mergeCell ref="N9:N11"/>
    <mergeCell ref="O9:O11"/>
    <mergeCell ref="H9:H11"/>
    <mergeCell ref="I9:I11"/>
    <mergeCell ref="J9:J11"/>
    <mergeCell ref="K9:K11"/>
    <mergeCell ref="L9:L11"/>
    <mergeCell ref="B1:X1"/>
    <mergeCell ref="H3:J3"/>
    <mergeCell ref="K3:M3"/>
    <mergeCell ref="B3:B4"/>
    <mergeCell ref="C3:C4"/>
    <mergeCell ref="D3:D4"/>
    <mergeCell ref="E3:E4"/>
    <mergeCell ref="F3:F4"/>
    <mergeCell ref="G3:G4"/>
    <mergeCell ref="P3:P4"/>
    <mergeCell ref="T3:T4"/>
    <mergeCell ref="W3:W4"/>
    <mergeCell ref="O3:O4"/>
  </mergeCells>
  <phoneticPr fontId="25" type="noConversion"/>
  <dataValidations count="3">
    <dataValidation type="list" allowBlank="1" showInputMessage="1" showErrorMessage="1" sqref="E5:E8">
      <formula1>难易程度</formula1>
    </dataValidation>
    <dataValidation type="list" allowBlank="1" showInputMessage="1" showErrorMessage="1" sqref="F5:F8">
      <formula1>优先级</formula1>
    </dataValidation>
    <dataValidation type="list" allowBlank="1" showInputMessage="1" showErrorMessage="1" sqref="G5:G8">
      <formula1>是否复用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3"/>
  <sheetViews>
    <sheetView workbookViewId="0">
      <selection activeCell="I10" sqref="I10"/>
    </sheetView>
  </sheetViews>
  <sheetFormatPr defaultColWidth="9" defaultRowHeight="13.5"/>
  <cols>
    <col min="1" max="1" width="1.875" style="47" customWidth="1"/>
    <col min="2" max="2" width="5.125" style="47" customWidth="1"/>
    <col min="3" max="3" width="16.375" style="47" customWidth="1"/>
    <col min="4" max="4" width="19.875" style="47" customWidth="1"/>
    <col min="5" max="7" width="9.75" style="47" customWidth="1"/>
    <col min="8" max="8" width="11.25" style="47" customWidth="1"/>
    <col min="9" max="11" width="11.875" style="47" customWidth="1"/>
    <col min="12" max="12" width="9.75" style="47" customWidth="1"/>
    <col min="13" max="18" width="12.75" style="47" customWidth="1"/>
    <col min="19" max="20" width="9.75" style="47" customWidth="1"/>
    <col min="21" max="21" width="11.875" style="47" customWidth="1"/>
    <col min="22" max="22" width="30.375" style="47" customWidth="1"/>
    <col min="23" max="16384" width="9" style="47"/>
  </cols>
  <sheetData>
    <row r="1" spans="2:23" ht="34.5" customHeight="1">
      <c r="B1" s="227" t="s">
        <v>102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</row>
    <row r="2" spans="2:23" ht="6" customHeight="1"/>
    <row r="3" spans="2:23" s="46" customFormat="1" ht="20.25" customHeight="1">
      <c r="B3" s="231" t="s">
        <v>76</v>
      </c>
      <c r="C3" s="231" t="s">
        <v>77</v>
      </c>
      <c r="D3" s="231" t="s">
        <v>78</v>
      </c>
      <c r="E3" s="231" t="s">
        <v>79</v>
      </c>
      <c r="F3" s="231" t="s">
        <v>80</v>
      </c>
      <c r="G3" s="231" t="s">
        <v>81</v>
      </c>
      <c r="H3" s="166" t="s">
        <v>103</v>
      </c>
      <c r="I3" s="166"/>
      <c r="J3" s="166"/>
      <c r="K3" s="166"/>
      <c r="L3" s="231" t="s">
        <v>84</v>
      </c>
      <c r="M3" s="231" t="s">
        <v>85</v>
      </c>
      <c r="N3" s="231" t="s">
        <v>86</v>
      </c>
      <c r="O3" s="231" t="s">
        <v>87</v>
      </c>
      <c r="P3" s="231" t="s">
        <v>88</v>
      </c>
      <c r="Q3" s="231" t="s">
        <v>89</v>
      </c>
      <c r="R3" s="231" t="s">
        <v>90</v>
      </c>
      <c r="S3" s="231" t="s">
        <v>91</v>
      </c>
      <c r="T3" s="231" t="s">
        <v>92</v>
      </c>
      <c r="U3" s="231" t="s">
        <v>93</v>
      </c>
      <c r="V3" s="231" t="s">
        <v>8</v>
      </c>
    </row>
    <row r="4" spans="2:23" s="46" customFormat="1" ht="30.75" customHeight="1">
      <c r="B4" s="232"/>
      <c r="C4" s="232"/>
      <c r="D4" s="232"/>
      <c r="E4" s="232"/>
      <c r="F4" s="232"/>
      <c r="G4" s="232"/>
      <c r="H4" s="48"/>
      <c r="I4" s="48"/>
      <c r="J4" s="48"/>
      <c r="K4" s="48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</row>
    <row r="5" spans="2:23" ht="27" customHeight="1">
      <c r="B5" s="49">
        <v>1</v>
      </c>
      <c r="C5" s="239"/>
      <c r="D5" s="74"/>
      <c r="E5" s="49"/>
      <c r="F5" s="49"/>
      <c r="G5" s="49"/>
      <c r="H5" s="57"/>
      <c r="I5" s="73"/>
      <c r="J5" s="57"/>
      <c r="K5" s="57"/>
      <c r="L5" s="58">
        <f t="shared" ref="L5:L18" si="0">MIN(H5:K5)</f>
        <v>0</v>
      </c>
      <c r="M5" s="58">
        <f t="shared" ref="M5:M18" si="1">IF(AND(ISBLANK(H5),ISBLANK(I5),ISBLANK(K5)),,AVERAGE(H5:K5))</f>
        <v>0</v>
      </c>
      <c r="N5" s="58">
        <f t="shared" ref="N5:N18" si="2">MAX(H5:K5)</f>
        <v>0</v>
      </c>
      <c r="O5" s="59" t="str">
        <f t="shared" ref="O5:O18" si="3">IF(AND(ISNUMBER(M5),M5&lt;&gt;0),MAX(M5-L5,N5-M5)/M5,"")</f>
        <v/>
      </c>
      <c r="P5" s="60" t="str">
        <f>IF(O5&gt;[2]基础信息!$F$3,"N","Y")</f>
        <v>N</v>
      </c>
      <c r="Q5" s="56" t="e">
        <f>VLOOKUP(E5&amp;F5,[2]基础信息!$D$11:$E$20,2,0)</f>
        <v>#N/A</v>
      </c>
      <c r="R5" s="56" t="e">
        <f t="shared" ref="R5:R18" si="4">M5*Q5</f>
        <v>#N/A</v>
      </c>
      <c r="S5" s="72">
        <v>0</v>
      </c>
      <c r="T5" s="56">
        <f t="shared" ref="T5:T18" si="5">IF(G5="是",R5*S5,0)</f>
        <v>0</v>
      </c>
      <c r="U5" s="56" t="e">
        <f t="shared" ref="U5:U18" si="6">R5-T5</f>
        <v>#N/A</v>
      </c>
      <c r="V5" s="62"/>
      <c r="W5" s="65"/>
    </row>
    <row r="6" spans="2:23" ht="26.45" customHeight="1">
      <c r="B6" s="49">
        <v>2</v>
      </c>
      <c r="C6" s="240"/>
      <c r="D6" s="74"/>
      <c r="E6" s="49"/>
      <c r="F6" s="49"/>
      <c r="G6" s="49"/>
      <c r="H6" s="57"/>
      <c r="I6" s="73"/>
      <c r="J6" s="57"/>
      <c r="K6" s="57"/>
      <c r="L6" s="58">
        <f t="shared" si="0"/>
        <v>0</v>
      </c>
      <c r="M6" s="58">
        <f t="shared" si="1"/>
        <v>0</v>
      </c>
      <c r="N6" s="58">
        <f t="shared" si="2"/>
        <v>0</v>
      </c>
      <c r="O6" s="59" t="str">
        <f t="shared" si="3"/>
        <v/>
      </c>
      <c r="P6" s="60" t="str">
        <f>IF(O6&gt;[2]基础信息!$F$3,"N","Y")</f>
        <v>N</v>
      </c>
      <c r="Q6" s="56" t="e">
        <f>VLOOKUP(E6&amp;F6,[2]基础信息!$D$11:$E$20,2,0)</f>
        <v>#N/A</v>
      </c>
      <c r="R6" s="56" t="e">
        <f t="shared" si="4"/>
        <v>#N/A</v>
      </c>
      <c r="S6" s="72">
        <v>0</v>
      </c>
      <c r="T6" s="56">
        <f t="shared" si="5"/>
        <v>0</v>
      </c>
      <c r="U6" s="56" t="e">
        <f t="shared" si="6"/>
        <v>#N/A</v>
      </c>
      <c r="V6" s="62"/>
      <c r="W6" s="65"/>
    </row>
    <row r="7" spans="2:23" ht="26.45" customHeight="1">
      <c r="B7" s="49">
        <v>3</v>
      </c>
      <c r="C7" s="240"/>
      <c r="D7" s="74"/>
      <c r="E7" s="49"/>
      <c r="F7" s="49"/>
      <c r="G7" s="49"/>
      <c r="H7" s="73"/>
      <c r="I7" s="73"/>
      <c r="J7" s="73"/>
      <c r="K7" s="57"/>
      <c r="L7" s="58">
        <f t="shared" si="0"/>
        <v>0</v>
      </c>
      <c r="M7" s="58">
        <f t="shared" si="1"/>
        <v>0</v>
      </c>
      <c r="N7" s="58">
        <f t="shared" si="2"/>
        <v>0</v>
      </c>
      <c r="O7" s="59" t="str">
        <f t="shared" si="3"/>
        <v/>
      </c>
      <c r="P7" s="60" t="str">
        <f>IF(O7&gt;[2]基础信息!$F$3,"N","Y")</f>
        <v>N</v>
      </c>
      <c r="Q7" s="56" t="e">
        <f>VLOOKUP(E7&amp;F7,[2]基础信息!$D$11:$E$20,2,0)</f>
        <v>#N/A</v>
      </c>
      <c r="R7" s="56" t="e">
        <f t="shared" si="4"/>
        <v>#N/A</v>
      </c>
      <c r="S7" s="72">
        <v>0</v>
      </c>
      <c r="T7" s="56">
        <f t="shared" si="5"/>
        <v>0</v>
      </c>
      <c r="U7" s="56" t="e">
        <f t="shared" si="6"/>
        <v>#N/A</v>
      </c>
      <c r="V7" s="62"/>
      <c r="W7" s="65"/>
    </row>
    <row r="8" spans="2:23" ht="26.45" customHeight="1">
      <c r="B8" s="49">
        <v>4</v>
      </c>
      <c r="C8" s="241"/>
      <c r="D8" s="74"/>
      <c r="E8" s="49"/>
      <c r="F8" s="49"/>
      <c r="G8" s="49"/>
      <c r="H8" s="57"/>
      <c r="I8" s="57"/>
      <c r="J8" s="57"/>
      <c r="K8" s="57"/>
      <c r="L8" s="58">
        <f t="shared" si="0"/>
        <v>0</v>
      </c>
      <c r="M8" s="58">
        <f t="shared" si="1"/>
        <v>0</v>
      </c>
      <c r="N8" s="58">
        <f t="shared" si="2"/>
        <v>0</v>
      </c>
      <c r="O8" s="59" t="str">
        <f t="shared" si="3"/>
        <v/>
      </c>
      <c r="P8" s="60" t="str">
        <f>IF(O8&gt;[2]基础信息!$F$3,"N","Y")</f>
        <v>N</v>
      </c>
      <c r="Q8" s="56" t="e">
        <f>VLOOKUP(E8&amp;F8,[2]基础信息!$D$11:$E$20,2,0)</f>
        <v>#N/A</v>
      </c>
      <c r="R8" s="56" t="e">
        <f t="shared" si="4"/>
        <v>#N/A</v>
      </c>
      <c r="S8" s="72">
        <v>0</v>
      </c>
      <c r="T8" s="56">
        <f t="shared" si="5"/>
        <v>0</v>
      </c>
      <c r="U8" s="56" t="e">
        <f t="shared" si="6"/>
        <v>#N/A</v>
      </c>
      <c r="V8" s="62"/>
      <c r="W8" s="65"/>
    </row>
    <row r="9" spans="2:23" ht="26.45" customHeight="1">
      <c r="B9" s="49">
        <v>5</v>
      </c>
      <c r="C9" s="239"/>
      <c r="D9" s="74"/>
      <c r="E9" s="49"/>
      <c r="F9" s="49"/>
      <c r="G9" s="49"/>
      <c r="H9" s="57"/>
      <c r="I9" s="57"/>
      <c r="J9" s="57"/>
      <c r="K9" s="57"/>
      <c r="L9" s="58">
        <f t="shared" si="0"/>
        <v>0</v>
      </c>
      <c r="M9" s="58">
        <f t="shared" si="1"/>
        <v>0</v>
      </c>
      <c r="N9" s="58">
        <f t="shared" si="2"/>
        <v>0</v>
      </c>
      <c r="O9" s="59" t="str">
        <f t="shared" si="3"/>
        <v/>
      </c>
      <c r="P9" s="60" t="str">
        <f>IF(O9&gt;[2]基础信息!$F$3,"N","Y")</f>
        <v>N</v>
      </c>
      <c r="Q9" s="56" t="e">
        <f>VLOOKUP(E9&amp;F9,[2]基础信息!$D$11:$E$20,2,0)</f>
        <v>#N/A</v>
      </c>
      <c r="R9" s="56" t="e">
        <f t="shared" si="4"/>
        <v>#N/A</v>
      </c>
      <c r="S9" s="72">
        <v>0</v>
      </c>
      <c r="T9" s="56">
        <f t="shared" si="5"/>
        <v>0</v>
      </c>
      <c r="U9" s="56" t="e">
        <f t="shared" si="6"/>
        <v>#N/A</v>
      </c>
      <c r="V9" s="62"/>
      <c r="W9" s="65"/>
    </row>
    <row r="10" spans="2:23" ht="26.45" customHeight="1">
      <c r="B10" s="49">
        <v>6</v>
      </c>
      <c r="C10" s="240"/>
      <c r="D10" s="74"/>
      <c r="E10" s="49"/>
      <c r="F10" s="49"/>
      <c r="G10" s="49"/>
      <c r="H10" s="57"/>
      <c r="I10" s="57"/>
      <c r="J10" s="57"/>
      <c r="K10" s="57"/>
      <c r="L10" s="58">
        <f t="shared" si="0"/>
        <v>0</v>
      </c>
      <c r="M10" s="58">
        <f t="shared" si="1"/>
        <v>0</v>
      </c>
      <c r="N10" s="58">
        <f t="shared" si="2"/>
        <v>0</v>
      </c>
      <c r="O10" s="59" t="str">
        <f t="shared" si="3"/>
        <v/>
      </c>
      <c r="P10" s="60" t="str">
        <f>IF(O10&gt;[2]基础信息!$F$3,"N","Y")</f>
        <v>N</v>
      </c>
      <c r="Q10" s="56" t="e">
        <f>VLOOKUP(E10&amp;F10,[2]基础信息!$D$11:$E$20,2,0)</f>
        <v>#N/A</v>
      </c>
      <c r="R10" s="56" t="e">
        <f t="shared" si="4"/>
        <v>#N/A</v>
      </c>
      <c r="S10" s="72">
        <v>0</v>
      </c>
      <c r="T10" s="56">
        <f t="shared" si="5"/>
        <v>0</v>
      </c>
      <c r="U10" s="56" t="e">
        <f t="shared" si="6"/>
        <v>#N/A</v>
      </c>
      <c r="V10" s="62"/>
      <c r="W10" s="65"/>
    </row>
    <row r="11" spans="2:23" ht="26.45" customHeight="1">
      <c r="B11" s="49">
        <v>7</v>
      </c>
      <c r="C11" s="240"/>
      <c r="D11" s="74"/>
      <c r="E11" s="49"/>
      <c r="F11" s="49"/>
      <c r="G11" s="49"/>
      <c r="H11" s="57"/>
      <c r="I11" s="57"/>
      <c r="J11" s="57"/>
      <c r="K11" s="57"/>
      <c r="L11" s="58">
        <f t="shared" si="0"/>
        <v>0</v>
      </c>
      <c r="M11" s="58">
        <f t="shared" si="1"/>
        <v>0</v>
      </c>
      <c r="N11" s="58">
        <f t="shared" si="2"/>
        <v>0</v>
      </c>
      <c r="O11" s="59" t="str">
        <f t="shared" si="3"/>
        <v/>
      </c>
      <c r="P11" s="60" t="str">
        <f>IF(O11&gt;[2]基础信息!$F$3,"N","Y")</f>
        <v>N</v>
      </c>
      <c r="Q11" s="56" t="e">
        <f>VLOOKUP(E11&amp;F11,[2]基础信息!$D$11:$E$20,2,0)</f>
        <v>#N/A</v>
      </c>
      <c r="R11" s="56" t="e">
        <f t="shared" si="4"/>
        <v>#N/A</v>
      </c>
      <c r="S11" s="72">
        <v>0</v>
      </c>
      <c r="T11" s="56">
        <f t="shared" si="5"/>
        <v>0</v>
      </c>
      <c r="U11" s="56" t="e">
        <f t="shared" si="6"/>
        <v>#N/A</v>
      </c>
      <c r="V11" s="62"/>
      <c r="W11" s="65"/>
    </row>
    <row r="12" spans="2:23" ht="26.45" customHeight="1">
      <c r="B12" s="49">
        <v>8</v>
      </c>
      <c r="C12" s="240"/>
      <c r="D12" s="74"/>
      <c r="E12" s="49"/>
      <c r="F12" s="49"/>
      <c r="G12" s="49"/>
      <c r="H12" s="57"/>
      <c r="I12" s="57"/>
      <c r="J12" s="57"/>
      <c r="K12" s="57"/>
      <c r="L12" s="58">
        <f t="shared" si="0"/>
        <v>0</v>
      </c>
      <c r="M12" s="58">
        <f t="shared" si="1"/>
        <v>0</v>
      </c>
      <c r="N12" s="58">
        <f t="shared" si="2"/>
        <v>0</v>
      </c>
      <c r="O12" s="59" t="str">
        <f t="shared" si="3"/>
        <v/>
      </c>
      <c r="P12" s="60" t="str">
        <f>IF(O12&gt;[2]基础信息!$F$3,"N","Y")</f>
        <v>N</v>
      </c>
      <c r="Q12" s="56" t="e">
        <f>VLOOKUP(E12&amp;F12,[2]基础信息!$D$11:$E$20,2,0)</f>
        <v>#N/A</v>
      </c>
      <c r="R12" s="56" t="e">
        <f t="shared" si="4"/>
        <v>#N/A</v>
      </c>
      <c r="S12" s="72">
        <v>0</v>
      </c>
      <c r="T12" s="56">
        <f t="shared" si="5"/>
        <v>0</v>
      </c>
      <c r="U12" s="56" t="e">
        <f t="shared" si="6"/>
        <v>#N/A</v>
      </c>
      <c r="V12" s="62"/>
      <c r="W12" s="65"/>
    </row>
    <row r="13" spans="2:23" ht="26.45" customHeight="1">
      <c r="B13" s="49">
        <v>9</v>
      </c>
      <c r="C13" s="240"/>
      <c r="D13" s="74"/>
      <c r="E13" s="49"/>
      <c r="F13" s="49"/>
      <c r="G13" s="49"/>
      <c r="H13" s="57"/>
      <c r="I13" s="57"/>
      <c r="J13" s="57"/>
      <c r="K13" s="57"/>
      <c r="L13" s="58">
        <f t="shared" si="0"/>
        <v>0</v>
      </c>
      <c r="M13" s="58">
        <f t="shared" si="1"/>
        <v>0</v>
      </c>
      <c r="N13" s="58">
        <f t="shared" si="2"/>
        <v>0</v>
      </c>
      <c r="O13" s="59" t="str">
        <f t="shared" si="3"/>
        <v/>
      </c>
      <c r="P13" s="60" t="str">
        <f>IF(O13&gt;[2]基础信息!$F$3,"N","Y")</f>
        <v>N</v>
      </c>
      <c r="Q13" s="56" t="e">
        <f>VLOOKUP(E13&amp;F13,[2]基础信息!$D$11:$E$20,2,0)</f>
        <v>#N/A</v>
      </c>
      <c r="R13" s="56" t="e">
        <f t="shared" si="4"/>
        <v>#N/A</v>
      </c>
      <c r="S13" s="72">
        <v>0</v>
      </c>
      <c r="T13" s="56">
        <f t="shared" si="5"/>
        <v>0</v>
      </c>
      <c r="U13" s="56" t="e">
        <f t="shared" si="6"/>
        <v>#N/A</v>
      </c>
      <c r="V13" s="62"/>
      <c r="W13" s="65"/>
    </row>
    <row r="14" spans="2:23" ht="26.45" customHeight="1">
      <c r="B14" s="49">
        <v>10</v>
      </c>
      <c r="C14" s="240"/>
      <c r="D14" s="74"/>
      <c r="E14" s="49"/>
      <c r="F14" s="49"/>
      <c r="G14" s="49"/>
      <c r="H14" s="57"/>
      <c r="I14" s="57"/>
      <c r="J14" s="57"/>
      <c r="K14" s="57"/>
      <c r="L14" s="58">
        <f t="shared" si="0"/>
        <v>0</v>
      </c>
      <c r="M14" s="58">
        <f t="shared" si="1"/>
        <v>0</v>
      </c>
      <c r="N14" s="58">
        <f t="shared" si="2"/>
        <v>0</v>
      </c>
      <c r="O14" s="59" t="str">
        <f t="shared" si="3"/>
        <v/>
      </c>
      <c r="P14" s="60" t="str">
        <f>IF(O14&gt;[2]基础信息!$F$3,"N","Y")</f>
        <v>N</v>
      </c>
      <c r="Q14" s="56" t="e">
        <f>VLOOKUP(E14&amp;F14,[2]基础信息!$D$11:$E$20,2,0)</f>
        <v>#N/A</v>
      </c>
      <c r="R14" s="56" t="e">
        <f t="shared" si="4"/>
        <v>#N/A</v>
      </c>
      <c r="S14" s="72">
        <v>0</v>
      </c>
      <c r="T14" s="56">
        <f t="shared" si="5"/>
        <v>0</v>
      </c>
      <c r="U14" s="56" t="e">
        <f t="shared" si="6"/>
        <v>#N/A</v>
      </c>
      <c r="V14" s="62"/>
      <c r="W14" s="65"/>
    </row>
    <row r="15" spans="2:23" ht="26.45" customHeight="1">
      <c r="B15" s="49">
        <v>11</v>
      </c>
      <c r="C15" s="240"/>
      <c r="D15" s="74"/>
      <c r="E15" s="49"/>
      <c r="F15" s="49"/>
      <c r="G15" s="49"/>
      <c r="H15" s="57"/>
      <c r="I15" s="57"/>
      <c r="J15" s="57"/>
      <c r="K15" s="57"/>
      <c r="L15" s="58">
        <f t="shared" si="0"/>
        <v>0</v>
      </c>
      <c r="M15" s="58">
        <f t="shared" si="1"/>
        <v>0</v>
      </c>
      <c r="N15" s="58">
        <f t="shared" si="2"/>
        <v>0</v>
      </c>
      <c r="O15" s="59" t="str">
        <f t="shared" si="3"/>
        <v/>
      </c>
      <c r="P15" s="60" t="str">
        <f>IF(O15&gt;[2]基础信息!$F$3,"N","Y")</f>
        <v>N</v>
      </c>
      <c r="Q15" s="56" t="e">
        <f>VLOOKUP(E15&amp;F15,[2]基础信息!$D$11:$E$20,2,0)</f>
        <v>#N/A</v>
      </c>
      <c r="R15" s="56" t="e">
        <f t="shared" si="4"/>
        <v>#N/A</v>
      </c>
      <c r="S15" s="72">
        <v>0</v>
      </c>
      <c r="T15" s="56">
        <f t="shared" si="5"/>
        <v>0</v>
      </c>
      <c r="U15" s="56" t="e">
        <f t="shared" si="6"/>
        <v>#N/A</v>
      </c>
      <c r="V15" s="62"/>
      <c r="W15" s="65"/>
    </row>
    <row r="16" spans="2:23" ht="26.45" customHeight="1">
      <c r="B16" s="49">
        <v>12</v>
      </c>
      <c r="C16" s="239"/>
      <c r="D16" s="74"/>
      <c r="E16" s="49"/>
      <c r="F16" s="49"/>
      <c r="G16" s="49"/>
      <c r="H16" s="57"/>
      <c r="I16" s="57"/>
      <c r="J16" s="57"/>
      <c r="K16" s="57"/>
      <c r="L16" s="58">
        <f t="shared" si="0"/>
        <v>0</v>
      </c>
      <c r="M16" s="58">
        <f t="shared" si="1"/>
        <v>0</v>
      </c>
      <c r="N16" s="58">
        <f t="shared" si="2"/>
        <v>0</v>
      </c>
      <c r="O16" s="59" t="str">
        <f t="shared" si="3"/>
        <v/>
      </c>
      <c r="P16" s="60" t="str">
        <f>IF(O16&gt;[2]基础信息!$F$3,"N","Y")</f>
        <v>N</v>
      </c>
      <c r="Q16" s="56" t="e">
        <f>VLOOKUP(E16&amp;F16,[2]基础信息!$D$11:$E$20,2,0)</f>
        <v>#N/A</v>
      </c>
      <c r="R16" s="56" t="e">
        <f t="shared" si="4"/>
        <v>#N/A</v>
      </c>
      <c r="S16" s="72">
        <v>0</v>
      </c>
      <c r="T16" s="56">
        <f t="shared" si="5"/>
        <v>0</v>
      </c>
      <c r="U16" s="56" t="e">
        <f t="shared" si="6"/>
        <v>#N/A</v>
      </c>
      <c r="V16" s="62"/>
      <c r="W16" s="65"/>
    </row>
    <row r="17" spans="2:23" ht="26.45" customHeight="1">
      <c r="B17" s="49">
        <v>13</v>
      </c>
      <c r="C17" s="240"/>
      <c r="D17" s="74"/>
      <c r="E17" s="49"/>
      <c r="F17" s="49"/>
      <c r="G17" s="49"/>
      <c r="H17" s="57"/>
      <c r="I17" s="57"/>
      <c r="J17" s="57"/>
      <c r="K17" s="57"/>
      <c r="L17" s="58">
        <f t="shared" si="0"/>
        <v>0</v>
      </c>
      <c r="M17" s="58">
        <f t="shared" si="1"/>
        <v>0</v>
      </c>
      <c r="N17" s="58">
        <f t="shared" si="2"/>
        <v>0</v>
      </c>
      <c r="O17" s="59" t="str">
        <f t="shared" si="3"/>
        <v/>
      </c>
      <c r="P17" s="60" t="str">
        <f>IF(O17&gt;[2]基础信息!$F$3,"N","Y")</f>
        <v>N</v>
      </c>
      <c r="Q17" s="56" t="e">
        <f>VLOOKUP(E17&amp;F17,[2]基础信息!$D$11:$E$20,2,0)</f>
        <v>#N/A</v>
      </c>
      <c r="R17" s="56" t="e">
        <f t="shared" si="4"/>
        <v>#N/A</v>
      </c>
      <c r="S17" s="72">
        <v>0</v>
      </c>
      <c r="T17" s="56">
        <f t="shared" si="5"/>
        <v>0</v>
      </c>
      <c r="U17" s="56" t="e">
        <f t="shared" si="6"/>
        <v>#N/A</v>
      </c>
      <c r="V17" s="62"/>
      <c r="W17" s="65"/>
    </row>
    <row r="18" spans="2:23" ht="26.45" customHeight="1">
      <c r="B18" s="49">
        <v>14</v>
      </c>
      <c r="C18" s="240"/>
      <c r="D18" s="74"/>
      <c r="E18" s="49"/>
      <c r="F18" s="49"/>
      <c r="G18" s="49"/>
      <c r="H18" s="57"/>
      <c r="I18" s="57"/>
      <c r="J18" s="57"/>
      <c r="K18" s="57"/>
      <c r="L18" s="58">
        <f t="shared" si="0"/>
        <v>0</v>
      </c>
      <c r="M18" s="58">
        <f t="shared" si="1"/>
        <v>0</v>
      </c>
      <c r="N18" s="58">
        <f t="shared" si="2"/>
        <v>0</v>
      </c>
      <c r="O18" s="59" t="str">
        <f t="shared" si="3"/>
        <v/>
      </c>
      <c r="P18" s="60" t="str">
        <f>IF(O18&gt;[2]基础信息!$F$3,"N","Y")</f>
        <v>N</v>
      </c>
      <c r="Q18" s="56" t="e">
        <f>VLOOKUP(E18&amp;F18,[2]基础信息!$D$11:$E$20,2,0)</f>
        <v>#N/A</v>
      </c>
      <c r="R18" s="56" t="e">
        <f t="shared" si="4"/>
        <v>#N/A</v>
      </c>
      <c r="S18" s="72">
        <v>0</v>
      </c>
      <c r="T18" s="56">
        <f t="shared" si="5"/>
        <v>0</v>
      </c>
      <c r="U18" s="56" t="e">
        <f t="shared" si="6"/>
        <v>#N/A</v>
      </c>
      <c r="V18" s="62"/>
      <c r="W18" s="65"/>
    </row>
    <row r="19" spans="2:23" ht="26.45" customHeight="1">
      <c r="B19" s="49">
        <v>15</v>
      </c>
      <c r="C19" s="241"/>
      <c r="D19" s="74"/>
      <c r="E19" s="49"/>
      <c r="F19" s="49"/>
      <c r="G19" s="49"/>
      <c r="H19" s="57"/>
      <c r="I19" s="57"/>
      <c r="J19" s="57"/>
      <c r="K19" s="57"/>
      <c r="L19" s="58">
        <f t="shared" ref="L19:L30" si="7">MIN(H19:K19)</f>
        <v>0</v>
      </c>
      <c r="M19" s="58">
        <f t="shared" ref="M19:M30" si="8">IF(AND(ISBLANK(H19),ISBLANK(I19),ISBLANK(K19)),,AVERAGE(H19:K19))</f>
        <v>0</v>
      </c>
      <c r="N19" s="58">
        <f t="shared" ref="N19:N30" si="9">MAX(H19:K19)</f>
        <v>0</v>
      </c>
      <c r="O19" s="59" t="str">
        <f t="shared" ref="O19:O30" si="10">IF(AND(ISNUMBER(M19),M19&lt;&gt;0),MAX(M19-L19,N19-M19)/M19,"")</f>
        <v/>
      </c>
      <c r="P19" s="60" t="str">
        <f>IF(O19&gt;[2]基础信息!$F$3,"N","Y")</f>
        <v>N</v>
      </c>
      <c r="Q19" s="56" t="e">
        <f>VLOOKUP(E19&amp;F19,[2]基础信息!$D$11:$E$20,2,0)</f>
        <v>#N/A</v>
      </c>
      <c r="R19" s="56" t="e">
        <f t="shared" ref="R19:R30" si="11">M19*Q19</f>
        <v>#N/A</v>
      </c>
      <c r="S19" s="72">
        <v>0</v>
      </c>
      <c r="T19" s="56">
        <f t="shared" ref="T19:T30" si="12">IF(G19="是",R19*S19,0)</f>
        <v>0</v>
      </c>
      <c r="U19" s="56" t="e">
        <f t="shared" ref="U19:U30" si="13">R19-T19</f>
        <v>#N/A</v>
      </c>
      <c r="V19" s="62"/>
      <c r="W19" s="65"/>
    </row>
    <row r="20" spans="2:23" ht="26.45" customHeight="1">
      <c r="B20" s="49">
        <v>16</v>
      </c>
      <c r="C20" s="74"/>
      <c r="D20" s="75"/>
      <c r="E20" s="49"/>
      <c r="F20" s="49"/>
      <c r="G20" s="49"/>
      <c r="H20" s="57"/>
      <c r="I20" s="57"/>
      <c r="J20" s="57"/>
      <c r="K20" s="57"/>
      <c r="L20" s="58">
        <f t="shared" si="7"/>
        <v>0</v>
      </c>
      <c r="M20" s="58">
        <f t="shared" si="8"/>
        <v>0</v>
      </c>
      <c r="N20" s="58">
        <f t="shared" si="9"/>
        <v>0</v>
      </c>
      <c r="O20" s="59" t="str">
        <f t="shared" si="10"/>
        <v/>
      </c>
      <c r="P20" s="60" t="str">
        <f>IF(O20&gt;[2]基础信息!$F$3,"N","Y")</f>
        <v>N</v>
      </c>
      <c r="Q20" s="56" t="e">
        <f>VLOOKUP(E20&amp;F20,[2]基础信息!$D$11:$E$20,2,0)</f>
        <v>#N/A</v>
      </c>
      <c r="R20" s="56" t="e">
        <f t="shared" si="11"/>
        <v>#N/A</v>
      </c>
      <c r="S20" s="72">
        <v>0</v>
      </c>
      <c r="T20" s="56">
        <f t="shared" si="12"/>
        <v>0</v>
      </c>
      <c r="U20" s="56" t="e">
        <f t="shared" si="13"/>
        <v>#N/A</v>
      </c>
      <c r="V20" s="62"/>
      <c r="W20" s="65"/>
    </row>
    <row r="21" spans="2:23" ht="26.45" customHeight="1">
      <c r="B21" s="49">
        <v>17</v>
      </c>
      <c r="C21" s="239"/>
      <c r="D21" s="74"/>
      <c r="E21" s="49"/>
      <c r="F21" s="49"/>
      <c r="G21" s="49"/>
      <c r="H21" s="57"/>
      <c r="I21" s="57"/>
      <c r="J21" s="57"/>
      <c r="K21" s="57"/>
      <c r="L21" s="58">
        <f t="shared" si="7"/>
        <v>0</v>
      </c>
      <c r="M21" s="58">
        <f t="shared" si="8"/>
        <v>0</v>
      </c>
      <c r="N21" s="58">
        <f t="shared" si="9"/>
        <v>0</v>
      </c>
      <c r="O21" s="59" t="str">
        <f t="shared" si="10"/>
        <v/>
      </c>
      <c r="P21" s="60" t="str">
        <f>IF(O21&gt;[2]基础信息!$F$3,"N","Y")</f>
        <v>N</v>
      </c>
      <c r="Q21" s="56" t="e">
        <f>VLOOKUP(E21&amp;F21,[2]基础信息!$D$11:$E$20,2,0)</f>
        <v>#N/A</v>
      </c>
      <c r="R21" s="56" t="e">
        <f t="shared" si="11"/>
        <v>#N/A</v>
      </c>
      <c r="S21" s="72">
        <v>0</v>
      </c>
      <c r="T21" s="56">
        <f t="shared" si="12"/>
        <v>0</v>
      </c>
      <c r="U21" s="56" t="e">
        <f t="shared" si="13"/>
        <v>#N/A</v>
      </c>
      <c r="V21" s="62"/>
      <c r="W21" s="65"/>
    </row>
    <row r="22" spans="2:23" ht="26.45" customHeight="1">
      <c r="B22" s="49">
        <v>18</v>
      </c>
      <c r="C22" s="240"/>
      <c r="D22" s="74"/>
      <c r="E22" s="49"/>
      <c r="F22" s="49"/>
      <c r="G22" s="49"/>
      <c r="H22" s="57"/>
      <c r="I22" s="57"/>
      <c r="J22" s="57"/>
      <c r="K22" s="57"/>
      <c r="L22" s="58">
        <f t="shared" si="7"/>
        <v>0</v>
      </c>
      <c r="M22" s="58">
        <f t="shared" si="8"/>
        <v>0</v>
      </c>
      <c r="N22" s="58">
        <f t="shared" si="9"/>
        <v>0</v>
      </c>
      <c r="O22" s="59" t="str">
        <f t="shared" si="10"/>
        <v/>
      </c>
      <c r="P22" s="60" t="str">
        <f>IF(O22&gt;[2]基础信息!$F$3,"N","Y")</f>
        <v>N</v>
      </c>
      <c r="Q22" s="56" t="e">
        <f>VLOOKUP(E22&amp;F22,[2]基础信息!$D$11:$E$20,2,0)</f>
        <v>#N/A</v>
      </c>
      <c r="R22" s="56" t="e">
        <f t="shared" si="11"/>
        <v>#N/A</v>
      </c>
      <c r="S22" s="72">
        <v>0</v>
      </c>
      <c r="T22" s="56">
        <f t="shared" si="12"/>
        <v>0</v>
      </c>
      <c r="U22" s="56" t="e">
        <f t="shared" si="13"/>
        <v>#N/A</v>
      </c>
      <c r="V22" s="62"/>
      <c r="W22" s="65"/>
    </row>
    <row r="23" spans="2:23" ht="26.45" customHeight="1">
      <c r="B23" s="49">
        <v>19</v>
      </c>
      <c r="C23" s="240"/>
      <c r="D23" s="74"/>
      <c r="E23" s="49"/>
      <c r="F23" s="49"/>
      <c r="G23" s="49"/>
      <c r="H23" s="73"/>
      <c r="I23" s="73"/>
      <c r="J23" s="73"/>
      <c r="K23" s="57"/>
      <c r="L23" s="58">
        <f t="shared" si="7"/>
        <v>0</v>
      </c>
      <c r="M23" s="58">
        <f t="shared" si="8"/>
        <v>0</v>
      </c>
      <c r="N23" s="58">
        <f t="shared" si="9"/>
        <v>0</v>
      </c>
      <c r="O23" s="59" t="str">
        <f t="shared" si="10"/>
        <v/>
      </c>
      <c r="P23" s="60" t="str">
        <f>IF(O23&gt;[2]基础信息!$F$3,"N","Y")</f>
        <v>N</v>
      </c>
      <c r="Q23" s="56" t="e">
        <f>VLOOKUP(E23&amp;F23,[2]基础信息!$D$11:$E$20,2,0)</f>
        <v>#N/A</v>
      </c>
      <c r="R23" s="56" t="e">
        <f t="shared" si="11"/>
        <v>#N/A</v>
      </c>
      <c r="S23" s="72">
        <v>0</v>
      </c>
      <c r="T23" s="56">
        <f t="shared" si="12"/>
        <v>0</v>
      </c>
      <c r="U23" s="56" t="e">
        <f t="shared" si="13"/>
        <v>#N/A</v>
      </c>
      <c r="V23" s="62"/>
      <c r="W23" s="65"/>
    </row>
    <row r="24" spans="2:23" ht="26.45" customHeight="1">
      <c r="B24" s="49">
        <v>20</v>
      </c>
      <c r="C24" s="240"/>
      <c r="D24" s="74"/>
      <c r="E24" s="49"/>
      <c r="F24" s="49"/>
      <c r="G24" s="49"/>
      <c r="H24" s="57"/>
      <c r="I24" s="57"/>
      <c r="J24" s="57"/>
      <c r="K24" s="57"/>
      <c r="L24" s="58">
        <f t="shared" si="7"/>
        <v>0</v>
      </c>
      <c r="M24" s="58">
        <f t="shared" si="8"/>
        <v>0</v>
      </c>
      <c r="N24" s="58">
        <f t="shared" si="9"/>
        <v>0</v>
      </c>
      <c r="O24" s="59" t="str">
        <f t="shared" si="10"/>
        <v/>
      </c>
      <c r="P24" s="60" t="str">
        <f>IF(O24&gt;[2]基础信息!$F$3,"N","Y")</f>
        <v>N</v>
      </c>
      <c r="Q24" s="56" t="e">
        <f>VLOOKUP(E24&amp;F24,[2]基础信息!$D$11:$E$20,2,0)</f>
        <v>#N/A</v>
      </c>
      <c r="R24" s="56" t="e">
        <f t="shared" si="11"/>
        <v>#N/A</v>
      </c>
      <c r="S24" s="72">
        <v>0</v>
      </c>
      <c r="T24" s="56">
        <f t="shared" si="12"/>
        <v>0</v>
      </c>
      <c r="U24" s="56" t="e">
        <f t="shared" si="13"/>
        <v>#N/A</v>
      </c>
      <c r="V24" s="62"/>
      <c r="W24" s="65"/>
    </row>
    <row r="25" spans="2:23" ht="26.45" customHeight="1">
      <c r="B25" s="49">
        <v>21</v>
      </c>
      <c r="C25" s="240"/>
      <c r="D25" s="74"/>
      <c r="E25" s="49"/>
      <c r="F25" s="49"/>
      <c r="G25" s="49"/>
      <c r="H25" s="57"/>
      <c r="I25" s="57"/>
      <c r="J25" s="57"/>
      <c r="K25" s="57"/>
      <c r="L25" s="58">
        <f t="shared" si="7"/>
        <v>0</v>
      </c>
      <c r="M25" s="58">
        <f t="shared" si="8"/>
        <v>0</v>
      </c>
      <c r="N25" s="58">
        <f t="shared" si="9"/>
        <v>0</v>
      </c>
      <c r="O25" s="59" t="str">
        <f t="shared" si="10"/>
        <v/>
      </c>
      <c r="P25" s="60" t="str">
        <f>IF(O25&gt;[2]基础信息!$F$3,"N","Y")</f>
        <v>N</v>
      </c>
      <c r="Q25" s="56" t="e">
        <f>VLOOKUP(E25&amp;F25,[2]基础信息!$D$11:$E$20,2,0)</f>
        <v>#N/A</v>
      </c>
      <c r="R25" s="56" t="e">
        <f t="shared" si="11"/>
        <v>#N/A</v>
      </c>
      <c r="S25" s="72">
        <v>0</v>
      </c>
      <c r="T25" s="56">
        <f t="shared" si="12"/>
        <v>0</v>
      </c>
      <c r="U25" s="56" t="e">
        <f t="shared" si="13"/>
        <v>#N/A</v>
      </c>
      <c r="V25" s="62"/>
      <c r="W25" s="65"/>
    </row>
    <row r="26" spans="2:23" ht="26.45" customHeight="1">
      <c r="B26" s="49">
        <v>22</v>
      </c>
      <c r="C26" s="240"/>
      <c r="D26" s="74"/>
      <c r="E26" s="49"/>
      <c r="F26" s="49"/>
      <c r="G26" s="49"/>
      <c r="H26" s="57"/>
      <c r="I26" s="57"/>
      <c r="J26" s="57"/>
      <c r="K26" s="57"/>
      <c r="L26" s="58">
        <f t="shared" si="7"/>
        <v>0</v>
      </c>
      <c r="M26" s="58">
        <f t="shared" si="8"/>
        <v>0</v>
      </c>
      <c r="N26" s="58">
        <f t="shared" si="9"/>
        <v>0</v>
      </c>
      <c r="O26" s="59" t="str">
        <f t="shared" si="10"/>
        <v/>
      </c>
      <c r="P26" s="60" t="str">
        <f>IF(O26&gt;[2]基础信息!$F$3,"N","Y")</f>
        <v>N</v>
      </c>
      <c r="Q26" s="56" t="e">
        <f>VLOOKUP(E26&amp;F26,[2]基础信息!$D$11:$E$20,2,0)</f>
        <v>#N/A</v>
      </c>
      <c r="R26" s="56" t="e">
        <f t="shared" si="11"/>
        <v>#N/A</v>
      </c>
      <c r="S26" s="72">
        <v>0</v>
      </c>
      <c r="T26" s="56">
        <f t="shared" si="12"/>
        <v>0</v>
      </c>
      <c r="U26" s="56" t="e">
        <f t="shared" si="13"/>
        <v>#N/A</v>
      </c>
      <c r="V26" s="62"/>
      <c r="W26" s="65"/>
    </row>
    <row r="27" spans="2:23" ht="26.45" customHeight="1">
      <c r="B27" s="49">
        <v>23</v>
      </c>
      <c r="C27" s="240"/>
      <c r="D27" s="74"/>
      <c r="E27" s="49"/>
      <c r="F27" s="49"/>
      <c r="G27" s="49"/>
      <c r="H27" s="57"/>
      <c r="I27" s="57"/>
      <c r="J27" s="57"/>
      <c r="K27" s="57"/>
      <c r="L27" s="58">
        <f t="shared" si="7"/>
        <v>0</v>
      </c>
      <c r="M27" s="58">
        <f t="shared" si="8"/>
        <v>0</v>
      </c>
      <c r="N27" s="58">
        <f t="shared" si="9"/>
        <v>0</v>
      </c>
      <c r="O27" s="59" t="str">
        <f t="shared" si="10"/>
        <v/>
      </c>
      <c r="P27" s="60" t="str">
        <f>IF(O27&gt;[2]基础信息!$F$3,"N","Y")</f>
        <v>N</v>
      </c>
      <c r="Q27" s="56" t="e">
        <f>VLOOKUP(E27&amp;F27,[2]基础信息!$D$11:$E$20,2,0)</f>
        <v>#N/A</v>
      </c>
      <c r="R27" s="56" t="e">
        <f t="shared" si="11"/>
        <v>#N/A</v>
      </c>
      <c r="S27" s="72">
        <v>0</v>
      </c>
      <c r="T27" s="56">
        <f t="shared" si="12"/>
        <v>0</v>
      </c>
      <c r="U27" s="56" t="e">
        <f t="shared" si="13"/>
        <v>#N/A</v>
      </c>
      <c r="V27" s="62"/>
      <c r="W27" s="65"/>
    </row>
    <row r="28" spans="2:23" ht="26.45" customHeight="1">
      <c r="B28" s="49">
        <v>24</v>
      </c>
      <c r="C28" s="240"/>
      <c r="D28" s="74"/>
      <c r="E28" s="49"/>
      <c r="F28" s="49"/>
      <c r="G28" s="49"/>
      <c r="H28" s="57"/>
      <c r="I28" s="57"/>
      <c r="J28" s="57"/>
      <c r="K28" s="57"/>
      <c r="L28" s="58">
        <f t="shared" si="7"/>
        <v>0</v>
      </c>
      <c r="M28" s="58">
        <f t="shared" si="8"/>
        <v>0</v>
      </c>
      <c r="N28" s="58">
        <f t="shared" si="9"/>
        <v>0</v>
      </c>
      <c r="O28" s="59" t="str">
        <f t="shared" si="10"/>
        <v/>
      </c>
      <c r="P28" s="60" t="str">
        <f>IF(O28&gt;[2]基础信息!$F$3,"N","Y")</f>
        <v>N</v>
      </c>
      <c r="Q28" s="56" t="e">
        <f>VLOOKUP(E28&amp;F28,[2]基础信息!$D$11:$E$20,2,0)</f>
        <v>#N/A</v>
      </c>
      <c r="R28" s="56" t="e">
        <f t="shared" si="11"/>
        <v>#N/A</v>
      </c>
      <c r="S28" s="72">
        <v>0</v>
      </c>
      <c r="T28" s="56">
        <f t="shared" si="12"/>
        <v>0</v>
      </c>
      <c r="U28" s="56" t="e">
        <f t="shared" si="13"/>
        <v>#N/A</v>
      </c>
      <c r="V28" s="62"/>
      <c r="W28" s="65"/>
    </row>
    <row r="29" spans="2:23" ht="26.45" customHeight="1">
      <c r="B29" s="49">
        <v>25</v>
      </c>
      <c r="C29" s="240"/>
      <c r="D29" s="74"/>
      <c r="E29" s="49"/>
      <c r="F29" s="49"/>
      <c r="G29" s="49"/>
      <c r="H29" s="57"/>
      <c r="I29" s="57"/>
      <c r="J29" s="57"/>
      <c r="K29" s="57"/>
      <c r="L29" s="58">
        <f t="shared" si="7"/>
        <v>0</v>
      </c>
      <c r="M29" s="58">
        <f t="shared" si="8"/>
        <v>0</v>
      </c>
      <c r="N29" s="58">
        <f t="shared" si="9"/>
        <v>0</v>
      </c>
      <c r="O29" s="59" t="str">
        <f t="shared" si="10"/>
        <v/>
      </c>
      <c r="P29" s="60" t="str">
        <f>IF(O29&gt;[2]基础信息!$F$3,"N","Y")</f>
        <v>N</v>
      </c>
      <c r="Q29" s="56" t="e">
        <f>VLOOKUP(E29&amp;F29,[2]基础信息!$D$11:$E$20,2,0)</f>
        <v>#N/A</v>
      </c>
      <c r="R29" s="56" t="e">
        <f t="shared" si="11"/>
        <v>#N/A</v>
      </c>
      <c r="S29" s="72">
        <v>0</v>
      </c>
      <c r="T29" s="56">
        <f t="shared" si="12"/>
        <v>0</v>
      </c>
      <c r="U29" s="56" t="e">
        <f t="shared" si="13"/>
        <v>#N/A</v>
      </c>
      <c r="V29" s="62"/>
      <c r="W29" s="65"/>
    </row>
    <row r="30" spans="2:23" ht="26.45" customHeight="1">
      <c r="B30" s="49">
        <v>26</v>
      </c>
      <c r="C30" s="241"/>
      <c r="D30" s="74"/>
      <c r="E30" s="49"/>
      <c r="F30" s="49"/>
      <c r="G30" s="49"/>
      <c r="H30" s="57"/>
      <c r="I30" s="57"/>
      <c r="J30" s="57"/>
      <c r="K30" s="57"/>
      <c r="L30" s="58">
        <f t="shared" si="7"/>
        <v>0</v>
      </c>
      <c r="M30" s="58">
        <f t="shared" si="8"/>
        <v>0</v>
      </c>
      <c r="N30" s="58">
        <f t="shared" si="9"/>
        <v>0</v>
      </c>
      <c r="O30" s="59" t="str">
        <f t="shared" si="10"/>
        <v/>
      </c>
      <c r="P30" s="60" t="str">
        <f>IF(O30&gt;[2]基础信息!$F$3,"N","Y")</f>
        <v>N</v>
      </c>
      <c r="Q30" s="56" t="e">
        <f>VLOOKUP(E30&amp;F30,[2]基础信息!$D$11:$E$20,2,0)</f>
        <v>#N/A</v>
      </c>
      <c r="R30" s="56" t="e">
        <f t="shared" si="11"/>
        <v>#N/A</v>
      </c>
      <c r="S30" s="72">
        <v>0</v>
      </c>
      <c r="T30" s="56">
        <f t="shared" si="12"/>
        <v>0</v>
      </c>
      <c r="U30" s="56" t="e">
        <f t="shared" si="13"/>
        <v>#N/A</v>
      </c>
      <c r="V30" s="62"/>
      <c r="W30" s="65"/>
    </row>
    <row r="31" spans="2:23" ht="24.75" customHeight="1">
      <c r="B31" s="182" t="s">
        <v>99</v>
      </c>
      <c r="C31" s="182"/>
      <c r="D31" s="55" t="s">
        <v>100</v>
      </c>
      <c r="E31" s="55">
        <f>COUNTIF(E5:E30,"高")</f>
        <v>0</v>
      </c>
      <c r="F31" s="55">
        <f>COUNTIF(F5:F30,"高")</f>
        <v>0</v>
      </c>
      <c r="G31" s="55">
        <f>COUNTIF(G5:G30,"是")</f>
        <v>0</v>
      </c>
      <c r="H31" s="242">
        <f t="shared" ref="H31:N31" si="14">SUM(H5:H30)</f>
        <v>0</v>
      </c>
      <c r="I31" s="242">
        <f t="shared" si="14"/>
        <v>0</v>
      </c>
      <c r="J31" s="242">
        <f t="shared" si="14"/>
        <v>0</v>
      </c>
      <c r="K31" s="242">
        <f t="shared" si="14"/>
        <v>0</v>
      </c>
      <c r="L31" s="242">
        <f t="shared" si="14"/>
        <v>0</v>
      </c>
      <c r="M31" s="242">
        <f t="shared" si="14"/>
        <v>0</v>
      </c>
      <c r="N31" s="242">
        <f t="shared" si="14"/>
        <v>0</v>
      </c>
      <c r="O31" s="242"/>
      <c r="P31" s="55">
        <f>COUNTIF(P5:P30,"Y")</f>
        <v>0</v>
      </c>
      <c r="Q31" s="55"/>
      <c r="R31" s="242" t="e">
        <f>SUM(R5:R30)</f>
        <v>#N/A</v>
      </c>
      <c r="S31" s="243"/>
      <c r="T31" s="242">
        <f>SUM(T5:T30)</f>
        <v>0</v>
      </c>
      <c r="U31" s="242" t="e">
        <f>SUM(U5:U30)</f>
        <v>#N/A</v>
      </c>
      <c r="V31" s="176"/>
    </row>
    <row r="32" spans="2:23" ht="18.75" customHeight="1">
      <c r="B32" s="182"/>
      <c r="C32" s="182"/>
      <c r="D32" s="55" t="s">
        <v>97</v>
      </c>
      <c r="E32" s="55">
        <f>COUNTIF(E5:E30,"中")</f>
        <v>0</v>
      </c>
      <c r="F32" s="55">
        <f>COUNTIF(F5:F30,"中")</f>
        <v>0</v>
      </c>
      <c r="G32" s="55">
        <f>COUNTIF(G5:G30,"否")</f>
        <v>0</v>
      </c>
      <c r="H32" s="242"/>
      <c r="I32" s="242"/>
      <c r="J32" s="242"/>
      <c r="K32" s="242"/>
      <c r="L32" s="242"/>
      <c r="M32" s="242"/>
      <c r="N32" s="242"/>
      <c r="O32" s="242"/>
      <c r="P32" s="55">
        <f>COUNTIF(P5:P30,"N")</f>
        <v>26</v>
      </c>
      <c r="Q32" s="55"/>
      <c r="R32" s="242"/>
      <c r="S32" s="244"/>
      <c r="T32" s="242"/>
      <c r="U32" s="242"/>
      <c r="V32" s="176"/>
    </row>
    <row r="33" spans="2:22" ht="19.5" customHeight="1">
      <c r="B33" s="182"/>
      <c r="C33" s="182"/>
      <c r="D33" s="55" t="s">
        <v>101</v>
      </c>
      <c r="E33" s="55">
        <f>COUNTIF(E5:E30,"低")</f>
        <v>0</v>
      </c>
      <c r="F33" s="55">
        <f>COUNTIF(F5:F30,"低")</f>
        <v>0</v>
      </c>
      <c r="G33" s="55"/>
      <c r="H33" s="242"/>
      <c r="I33" s="242"/>
      <c r="J33" s="242"/>
      <c r="K33" s="242"/>
      <c r="L33" s="242"/>
      <c r="M33" s="242"/>
      <c r="N33" s="242"/>
      <c r="O33" s="242"/>
      <c r="P33" s="55"/>
      <c r="Q33" s="55"/>
      <c r="R33" s="242"/>
      <c r="S33" s="245"/>
      <c r="T33" s="242"/>
      <c r="U33" s="242"/>
      <c r="V33" s="176"/>
    </row>
  </sheetData>
  <mergeCells count="37">
    <mergeCell ref="U31:U33"/>
    <mergeCell ref="V3:V4"/>
    <mergeCell ref="V31:V33"/>
    <mergeCell ref="B31:C33"/>
    <mergeCell ref="R31:R33"/>
    <mergeCell ref="S3:S4"/>
    <mergeCell ref="S31:S33"/>
    <mergeCell ref="T3:T4"/>
    <mergeCell ref="T31:T33"/>
    <mergeCell ref="M31:M33"/>
    <mergeCell ref="N3:N4"/>
    <mergeCell ref="N31:N33"/>
    <mergeCell ref="O3:O4"/>
    <mergeCell ref="O31:O33"/>
    <mergeCell ref="H31:H33"/>
    <mergeCell ref="I31:I33"/>
    <mergeCell ref="J31:J33"/>
    <mergeCell ref="K31:K33"/>
    <mergeCell ref="L3:L4"/>
    <mergeCell ref="L31:L33"/>
    <mergeCell ref="C9:C15"/>
    <mergeCell ref="C16:C19"/>
    <mergeCell ref="C21:C30"/>
    <mergeCell ref="D3:D4"/>
    <mergeCell ref="E3:E4"/>
    <mergeCell ref="B1:V1"/>
    <mergeCell ref="H3:K3"/>
    <mergeCell ref="B3:B4"/>
    <mergeCell ref="C3:C4"/>
    <mergeCell ref="C5:C8"/>
    <mergeCell ref="F3:F4"/>
    <mergeCell ref="G3:G4"/>
    <mergeCell ref="M3:M4"/>
    <mergeCell ref="P3:P4"/>
    <mergeCell ref="Q3:Q4"/>
    <mergeCell ref="R3:R4"/>
    <mergeCell ref="U3:U4"/>
  </mergeCells>
  <phoneticPr fontId="25" type="noConversion"/>
  <dataValidations count="4">
    <dataValidation allowBlank="1" showInputMessage="1" showErrorMessage="1" prompt="功能需求项内容=功能需求编号+功能需求内容描述_x000a__x000a_非功能需求项=非功能需求属性+内容描述" sqref="C5 C9 C20:C21 D8:D30"/>
    <dataValidation type="list" allowBlank="1" showInputMessage="1" showErrorMessage="1" sqref="E5:E30">
      <formula1>难易程度</formula1>
    </dataValidation>
    <dataValidation type="list" allowBlank="1" showInputMessage="1" showErrorMessage="1" sqref="F5:F30">
      <formula1>优先级</formula1>
    </dataValidation>
    <dataValidation type="list" allowBlank="1" showInputMessage="1" showErrorMessage="1" sqref="G5:G30">
      <formula1>是否复用</formula1>
    </dataValidation>
  </dataValidations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2"/>
  <sheetViews>
    <sheetView workbookViewId="0">
      <pane xSplit="11" ySplit="4" topLeftCell="L11" activePane="bottomRight" state="frozen"/>
      <selection pane="topRight"/>
      <selection pane="bottomLeft"/>
      <selection pane="bottomRight" activeCell="D11" sqref="D11"/>
    </sheetView>
  </sheetViews>
  <sheetFormatPr defaultColWidth="9" defaultRowHeight="13.5"/>
  <cols>
    <col min="1" max="1" width="1.875" style="47" customWidth="1"/>
    <col min="2" max="2" width="5.125" style="47" customWidth="1"/>
    <col min="3" max="3" width="15.625" style="47" customWidth="1"/>
    <col min="4" max="4" width="35" style="47" customWidth="1"/>
    <col min="5" max="7" width="9.75" style="47" customWidth="1"/>
    <col min="8" max="8" width="11.25" style="47" customWidth="1"/>
    <col min="9" max="9" width="11.875" style="47" customWidth="1"/>
    <col min="10" max="10" width="11.75" style="47" customWidth="1"/>
    <col min="11" max="11" width="1.5" style="47" hidden="1" customWidth="1"/>
    <col min="12" max="12" width="9.75" style="47" customWidth="1"/>
    <col min="13" max="18" width="12.75" style="47" customWidth="1"/>
    <col min="19" max="20" width="9.75" style="47" customWidth="1"/>
    <col min="21" max="21" width="11.875" style="47" customWidth="1"/>
    <col min="22" max="22" width="30.375" style="47" customWidth="1"/>
    <col min="23" max="16384" width="9" style="47"/>
  </cols>
  <sheetData>
    <row r="1" spans="2:23" ht="34.5" customHeight="1">
      <c r="B1" s="227" t="s">
        <v>102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</row>
    <row r="2" spans="2:23" ht="6" customHeight="1"/>
    <row r="3" spans="2:23" s="46" customFormat="1" ht="20.25" customHeight="1">
      <c r="B3" s="247" t="s">
        <v>76</v>
      </c>
      <c r="C3" s="247" t="s">
        <v>77</v>
      </c>
      <c r="D3" s="247" t="s">
        <v>78</v>
      </c>
      <c r="E3" s="247" t="s">
        <v>79</v>
      </c>
      <c r="F3" s="247" t="s">
        <v>80</v>
      </c>
      <c r="G3" s="247" t="s">
        <v>81</v>
      </c>
      <c r="H3" s="246" t="s">
        <v>103</v>
      </c>
      <c r="I3" s="246"/>
      <c r="J3" s="246"/>
      <c r="K3" s="246"/>
      <c r="L3" s="247" t="s">
        <v>84</v>
      </c>
      <c r="M3" s="247" t="s">
        <v>85</v>
      </c>
      <c r="N3" s="247" t="s">
        <v>86</v>
      </c>
      <c r="O3" s="247" t="s">
        <v>87</v>
      </c>
      <c r="P3" s="247" t="s">
        <v>88</v>
      </c>
      <c r="Q3" s="247" t="s">
        <v>89</v>
      </c>
      <c r="R3" s="247" t="s">
        <v>90</v>
      </c>
      <c r="S3" s="247" t="s">
        <v>91</v>
      </c>
      <c r="T3" s="247" t="s">
        <v>92</v>
      </c>
      <c r="U3" s="247" t="s">
        <v>93</v>
      </c>
      <c r="V3" s="247" t="s">
        <v>8</v>
      </c>
    </row>
    <row r="4" spans="2:23" s="46" customFormat="1" ht="30.75" customHeight="1">
      <c r="B4" s="248"/>
      <c r="C4" s="248"/>
      <c r="D4" s="248"/>
      <c r="E4" s="248"/>
      <c r="F4" s="248"/>
      <c r="G4" s="248"/>
      <c r="H4" s="119" t="s">
        <v>179</v>
      </c>
      <c r="I4" s="119" t="s">
        <v>211</v>
      </c>
      <c r="J4" s="120" t="s">
        <v>180</v>
      </c>
      <c r="K4" s="119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</row>
    <row r="5" spans="2:23" s="117" customFormat="1" ht="27" customHeight="1">
      <c r="B5" s="50">
        <v>1</v>
      </c>
      <c r="C5" s="258" t="s">
        <v>212</v>
      </c>
      <c r="D5" s="121" t="s">
        <v>237</v>
      </c>
      <c r="E5" s="50" t="s">
        <v>97</v>
      </c>
      <c r="F5" s="50" t="s">
        <v>97</v>
      </c>
      <c r="G5" s="50" t="s">
        <v>98</v>
      </c>
      <c r="H5" s="122" t="s">
        <v>213</v>
      </c>
      <c r="I5" s="122">
        <v>0.6</v>
      </c>
      <c r="J5" s="122">
        <v>0.8</v>
      </c>
      <c r="K5" s="122"/>
      <c r="L5" s="123">
        <f t="shared" ref="L5:L8" si="0">MIN(H5:K5)</f>
        <v>0.6</v>
      </c>
      <c r="M5" s="123">
        <f>IF(AND(ISBLANK(H5),ISBLANK(I5),ISBLANK(K5)),,AVERAGE(H5:K5))</f>
        <v>0.7</v>
      </c>
      <c r="N5" s="123">
        <f t="shared" ref="N5:N8" si="1">MAX(H5:K5)</f>
        <v>0.8</v>
      </c>
      <c r="O5" s="124">
        <f t="shared" ref="O5:O8" si="2">IF(AND(ISNUMBER(M5),M5&lt;&gt;0),MAX(M5-L5,N5-M5)/M5,"")</f>
        <v>0.14285714285714299</v>
      </c>
      <c r="P5" s="125" t="str">
        <f>IF(O5&gt;基础信息!$F$3,"N","Y")</f>
        <v>Y</v>
      </c>
      <c r="Q5" s="126">
        <f>VLOOKUP(E5&amp;F5,基础信息!$D$11:$E$20,2,0)</f>
        <v>1</v>
      </c>
      <c r="R5" s="126">
        <f t="shared" ref="R5:R8" si="3">M5*Q5</f>
        <v>0.7</v>
      </c>
      <c r="S5" s="127">
        <v>0</v>
      </c>
      <c r="T5" s="126">
        <f t="shared" ref="T5:T8" si="4">IF(G5="是",R5*S5,0)</f>
        <v>0</v>
      </c>
      <c r="U5" s="126">
        <f t="shared" ref="U5:U8" si="5">R5-T5</f>
        <v>0.7</v>
      </c>
      <c r="V5" s="128"/>
      <c r="W5" s="116"/>
    </row>
    <row r="6" spans="2:23" ht="54" customHeight="1">
      <c r="B6" s="50">
        <v>2</v>
      </c>
      <c r="C6" s="259"/>
      <c r="D6" s="121" t="s">
        <v>238</v>
      </c>
      <c r="E6" s="50" t="s">
        <v>97</v>
      </c>
      <c r="F6" s="50" t="s">
        <v>97</v>
      </c>
      <c r="G6" s="50" t="s">
        <v>98</v>
      </c>
      <c r="H6" s="122">
        <v>2</v>
      </c>
      <c r="I6" s="122">
        <v>2</v>
      </c>
      <c r="J6" s="122">
        <v>3</v>
      </c>
      <c r="K6" s="122"/>
      <c r="L6" s="123">
        <f t="shared" ref="L6:L7" si="6">MIN(H6:K6)</f>
        <v>2</v>
      </c>
      <c r="M6" s="123">
        <f t="shared" ref="M6:M7" si="7">IF(AND(ISBLANK(H6),ISBLANK(I6),ISBLANK(K6)),,AVERAGE(H6:K6))</f>
        <v>2.3333333333333335</v>
      </c>
      <c r="N6" s="123">
        <f t="shared" ref="N6:N7" si="8">MAX(H6:K6)</f>
        <v>3</v>
      </c>
      <c r="O6" s="124">
        <f t="shared" ref="O6:O7" si="9">IF(AND(ISNUMBER(M6),M6&lt;&gt;0),MAX(M6-L6,N6-M6)/M6,"")</f>
        <v>0.28571428571428564</v>
      </c>
      <c r="P6" s="125" t="str">
        <f>IF(O6&gt;基础信息!$F$3,"N","Y")</f>
        <v>Y</v>
      </c>
      <c r="Q6" s="126">
        <f>VLOOKUP(E6&amp;F6,基础信息!$D$11:$E$20,2,0)</f>
        <v>1</v>
      </c>
      <c r="R6" s="126">
        <f t="shared" ref="R6:R7" si="10">M6*Q6</f>
        <v>2.3333333333333335</v>
      </c>
      <c r="S6" s="127">
        <v>0</v>
      </c>
      <c r="T6" s="126">
        <f t="shared" ref="T6:T7" si="11">IF(G6="是",R6*S6,0)</f>
        <v>0</v>
      </c>
      <c r="U6" s="126">
        <f t="shared" ref="U6:U7" si="12">R6-T6</f>
        <v>2.3333333333333335</v>
      </c>
      <c r="V6" s="128"/>
      <c r="W6" s="65"/>
    </row>
    <row r="7" spans="2:23" ht="54" customHeight="1">
      <c r="B7" s="50">
        <v>3</v>
      </c>
      <c r="C7" s="259"/>
      <c r="D7" s="121" t="s">
        <v>239</v>
      </c>
      <c r="E7" s="50" t="s">
        <v>97</v>
      </c>
      <c r="F7" s="50" t="s">
        <v>97</v>
      </c>
      <c r="G7" s="50" t="s">
        <v>98</v>
      </c>
      <c r="H7" s="122">
        <v>0.8</v>
      </c>
      <c r="I7" s="122">
        <v>0.8</v>
      </c>
      <c r="J7" s="122">
        <v>1</v>
      </c>
      <c r="K7" s="122"/>
      <c r="L7" s="123">
        <f t="shared" si="6"/>
        <v>0.8</v>
      </c>
      <c r="M7" s="123">
        <f t="shared" si="7"/>
        <v>0.8666666666666667</v>
      </c>
      <c r="N7" s="123">
        <f t="shared" si="8"/>
        <v>1</v>
      </c>
      <c r="O7" s="124">
        <f t="shared" si="9"/>
        <v>0.1538461538461538</v>
      </c>
      <c r="P7" s="125" t="str">
        <f>IF(O7&gt;基础信息!$F$3,"N","Y")</f>
        <v>Y</v>
      </c>
      <c r="Q7" s="126">
        <f>VLOOKUP(E7&amp;F7,基础信息!$D$11:$E$20,2,0)</f>
        <v>1</v>
      </c>
      <c r="R7" s="126">
        <f t="shared" si="10"/>
        <v>0.8666666666666667</v>
      </c>
      <c r="S7" s="127">
        <v>0</v>
      </c>
      <c r="T7" s="126">
        <f t="shared" si="11"/>
        <v>0</v>
      </c>
      <c r="U7" s="126">
        <f t="shared" si="12"/>
        <v>0.8666666666666667</v>
      </c>
      <c r="V7" s="128"/>
      <c r="W7" s="65"/>
    </row>
    <row r="8" spans="2:23" ht="54" customHeight="1">
      <c r="B8" s="50">
        <v>4</v>
      </c>
      <c r="C8" s="259"/>
      <c r="D8" s="121" t="s">
        <v>240</v>
      </c>
      <c r="E8" s="50" t="s">
        <v>97</v>
      </c>
      <c r="F8" s="50" t="s">
        <v>97</v>
      </c>
      <c r="G8" s="50" t="s">
        <v>98</v>
      </c>
      <c r="H8" s="122">
        <v>1</v>
      </c>
      <c r="I8" s="122">
        <v>1</v>
      </c>
      <c r="J8" s="122">
        <v>1</v>
      </c>
      <c r="K8" s="122"/>
      <c r="L8" s="123">
        <f t="shared" si="0"/>
        <v>1</v>
      </c>
      <c r="M8" s="123">
        <f t="shared" ref="M8" si="13">IF(AND(ISBLANK(H8),ISBLANK(I8),ISBLANK(K8)),,AVERAGE(H8:K8))</f>
        <v>1</v>
      </c>
      <c r="N8" s="123">
        <f t="shared" si="1"/>
        <v>1</v>
      </c>
      <c r="O8" s="124">
        <f t="shared" si="2"/>
        <v>0</v>
      </c>
      <c r="P8" s="125" t="str">
        <f>IF(O8&gt;基础信息!$F$3,"N","Y")</f>
        <v>Y</v>
      </c>
      <c r="Q8" s="126">
        <f>VLOOKUP(E8&amp;F8,基础信息!$D$11:$E$20,2,0)</f>
        <v>1</v>
      </c>
      <c r="R8" s="126">
        <f t="shared" si="3"/>
        <v>1</v>
      </c>
      <c r="S8" s="127">
        <v>0</v>
      </c>
      <c r="T8" s="126">
        <f t="shared" si="4"/>
        <v>0</v>
      </c>
      <c r="U8" s="126">
        <f t="shared" si="5"/>
        <v>1</v>
      </c>
      <c r="V8" s="128"/>
      <c r="W8" s="65"/>
    </row>
    <row r="9" spans="2:23" ht="27" customHeight="1">
      <c r="B9" s="50">
        <v>5</v>
      </c>
      <c r="C9" s="259"/>
      <c r="D9" s="121" t="s">
        <v>241</v>
      </c>
      <c r="E9" s="50" t="s">
        <v>97</v>
      </c>
      <c r="F9" s="50" t="s">
        <v>97</v>
      </c>
      <c r="G9" s="50" t="s">
        <v>98</v>
      </c>
      <c r="H9" s="122">
        <v>3</v>
      </c>
      <c r="I9" s="122">
        <v>3</v>
      </c>
      <c r="J9" s="122">
        <v>4</v>
      </c>
      <c r="K9" s="122"/>
      <c r="L9" s="123">
        <f t="shared" ref="L9:L11" si="14">MIN(H9:K9)</f>
        <v>3</v>
      </c>
      <c r="M9" s="123">
        <f t="shared" ref="M9" si="15">IF(AND(ISBLANK(H9),ISBLANK(I9),ISBLANK(K9)),,AVERAGE(H9:K9))</f>
        <v>3.3333333333333335</v>
      </c>
      <c r="N9" s="123">
        <f t="shared" ref="N9:N11" si="16">MAX(H9:K9)</f>
        <v>4</v>
      </c>
      <c r="O9" s="124">
        <f t="shared" ref="O9:O11" si="17">IF(AND(ISNUMBER(M9),M9&lt;&gt;0),MAX(M9-L9,N9-M9)/M9,"")</f>
        <v>0.19999999999999996</v>
      </c>
      <c r="P9" s="125" t="str">
        <f>IF(O9&gt;基础信息!$F$3,"N","Y")</f>
        <v>Y</v>
      </c>
      <c r="Q9" s="126">
        <f>VLOOKUP(E9&amp;F9,基础信息!$D$11:$E$20,2,0)</f>
        <v>1</v>
      </c>
      <c r="R9" s="126">
        <f t="shared" ref="R9:R11" si="18">M9*Q9</f>
        <v>3.3333333333333335</v>
      </c>
      <c r="S9" s="127">
        <v>0</v>
      </c>
      <c r="T9" s="126">
        <f t="shared" ref="T9:T11" si="19">IF(G9="是",R9*S9,0)</f>
        <v>0</v>
      </c>
      <c r="U9" s="126">
        <f t="shared" ref="U9:U11" si="20">R9-T9</f>
        <v>3.3333333333333335</v>
      </c>
      <c r="V9" s="128"/>
      <c r="W9" s="65"/>
    </row>
    <row r="10" spans="2:23" s="117" customFormat="1" ht="27" customHeight="1">
      <c r="B10" s="50">
        <v>6</v>
      </c>
      <c r="C10" s="259"/>
      <c r="D10" s="121" t="s">
        <v>242</v>
      </c>
      <c r="E10" s="50" t="s">
        <v>97</v>
      </c>
      <c r="F10" s="50" t="s">
        <v>97</v>
      </c>
      <c r="G10" s="50" t="s">
        <v>98</v>
      </c>
      <c r="H10" s="122">
        <v>3</v>
      </c>
      <c r="I10" s="122">
        <v>2</v>
      </c>
      <c r="J10" s="122">
        <v>2</v>
      </c>
      <c r="K10" s="122"/>
      <c r="L10" s="123">
        <f t="shared" si="14"/>
        <v>2</v>
      </c>
      <c r="M10" s="123">
        <f t="shared" ref="M10:M19" si="21">IF(AND(ISBLANK(H10),ISBLANK(I10),ISBLANK(K10)),,AVERAGE(H10:K10))</f>
        <v>2.3333333333333335</v>
      </c>
      <c r="N10" s="123">
        <f t="shared" si="16"/>
        <v>3</v>
      </c>
      <c r="O10" s="124">
        <f t="shared" si="17"/>
        <v>0.28571428571428564</v>
      </c>
      <c r="P10" s="125" t="str">
        <f>IF(O10&gt;基础信息!$F$3,"N","Y")</f>
        <v>Y</v>
      </c>
      <c r="Q10" s="126">
        <f>VLOOKUP(E10&amp;F10,基础信息!$D$11:$E$20,2,0)</f>
        <v>1</v>
      </c>
      <c r="R10" s="126">
        <f t="shared" si="18"/>
        <v>2.3333333333333335</v>
      </c>
      <c r="S10" s="127">
        <v>0</v>
      </c>
      <c r="T10" s="126">
        <f t="shared" si="19"/>
        <v>0</v>
      </c>
      <c r="U10" s="126">
        <f t="shared" si="20"/>
        <v>2.3333333333333335</v>
      </c>
      <c r="V10" s="128"/>
      <c r="W10" s="116"/>
    </row>
    <row r="11" spans="2:23" ht="34.5" customHeight="1">
      <c r="B11" s="50">
        <v>7</v>
      </c>
      <c r="C11" s="259"/>
      <c r="D11" s="121" t="s">
        <v>243</v>
      </c>
      <c r="E11" s="50" t="s">
        <v>97</v>
      </c>
      <c r="F11" s="50" t="s">
        <v>97</v>
      </c>
      <c r="G11" s="50" t="s">
        <v>98</v>
      </c>
      <c r="H11" s="122">
        <v>2</v>
      </c>
      <c r="I11" s="122">
        <v>2</v>
      </c>
      <c r="J11" s="122">
        <v>2</v>
      </c>
      <c r="K11" s="122"/>
      <c r="L11" s="123">
        <f t="shared" si="14"/>
        <v>2</v>
      </c>
      <c r="M11" s="123">
        <f t="shared" si="21"/>
        <v>2</v>
      </c>
      <c r="N11" s="123">
        <f t="shared" si="16"/>
        <v>2</v>
      </c>
      <c r="O11" s="124">
        <f t="shared" si="17"/>
        <v>0</v>
      </c>
      <c r="P11" s="125" t="str">
        <f>IF(O11&gt;基础信息!$F$3,"N","Y")</f>
        <v>Y</v>
      </c>
      <c r="Q11" s="126">
        <f>VLOOKUP(E11&amp;F11,基础信息!$D$11:$E$20,2,0)</f>
        <v>1</v>
      </c>
      <c r="R11" s="126">
        <f t="shared" si="18"/>
        <v>2</v>
      </c>
      <c r="S11" s="127">
        <v>0</v>
      </c>
      <c r="T11" s="126">
        <f t="shared" si="19"/>
        <v>0</v>
      </c>
      <c r="U11" s="126">
        <f t="shared" si="20"/>
        <v>2</v>
      </c>
      <c r="V11" s="128"/>
      <c r="W11" s="65"/>
    </row>
    <row r="12" spans="2:23" s="117" customFormat="1" ht="65.25" customHeight="1">
      <c r="B12" s="50">
        <v>8</v>
      </c>
      <c r="C12" s="259"/>
      <c r="D12" s="121" t="s">
        <v>244</v>
      </c>
      <c r="E12" s="50" t="s">
        <v>97</v>
      </c>
      <c r="F12" s="50" t="s">
        <v>97</v>
      </c>
      <c r="G12" s="50" t="s">
        <v>98</v>
      </c>
      <c r="H12" s="129">
        <v>2</v>
      </c>
      <c r="I12" s="129">
        <v>1.5</v>
      </c>
      <c r="J12" s="122">
        <v>1.5</v>
      </c>
      <c r="K12" s="122"/>
      <c r="L12" s="123">
        <f t="shared" ref="L12:L19" si="22">MIN(H12:K12)</f>
        <v>1.5</v>
      </c>
      <c r="M12" s="123">
        <f t="shared" si="21"/>
        <v>1.6666666666666667</v>
      </c>
      <c r="N12" s="123">
        <f t="shared" ref="N12:N19" si="23">MAX(H12:K12)</f>
        <v>2</v>
      </c>
      <c r="O12" s="124">
        <f t="shared" ref="O12:O19" si="24">IF(AND(ISNUMBER(M12),M12&lt;&gt;0),MAX(M12-L12,N12-M12)/M12,"")</f>
        <v>0.19999999999999996</v>
      </c>
      <c r="P12" s="125" t="str">
        <f>IF(O12&gt;基础信息!$F$3,"N","Y")</f>
        <v>Y</v>
      </c>
      <c r="Q12" s="126">
        <f>VLOOKUP(E12&amp;F12,基础信息!$D$11:$E$20,2,0)</f>
        <v>1</v>
      </c>
      <c r="R12" s="126">
        <f t="shared" ref="R12:R19" si="25">M12*Q12</f>
        <v>1.6666666666666667</v>
      </c>
      <c r="S12" s="127">
        <v>0</v>
      </c>
      <c r="T12" s="126">
        <f t="shared" ref="T12:T19" si="26">IF(G12="是",R12*S12,0)</f>
        <v>0</v>
      </c>
      <c r="U12" s="126">
        <f t="shared" ref="U12:U19" si="27">R12-T12</f>
        <v>1.6666666666666667</v>
      </c>
      <c r="V12" s="128"/>
      <c r="W12" s="116"/>
    </row>
    <row r="13" spans="2:23" s="117" customFormat="1" ht="27" customHeight="1">
      <c r="B13" s="50">
        <v>9</v>
      </c>
      <c r="C13" s="259"/>
      <c r="D13" s="121" t="s">
        <v>245</v>
      </c>
      <c r="E13" s="50" t="s">
        <v>97</v>
      </c>
      <c r="F13" s="50" t="s">
        <v>97</v>
      </c>
      <c r="G13" s="50" t="s">
        <v>98</v>
      </c>
      <c r="H13" s="122">
        <v>2</v>
      </c>
      <c r="I13" s="122">
        <v>1.5</v>
      </c>
      <c r="J13" s="129">
        <v>1.5</v>
      </c>
      <c r="K13" s="122"/>
      <c r="L13" s="123">
        <f t="shared" si="22"/>
        <v>1.5</v>
      </c>
      <c r="M13" s="123">
        <f t="shared" si="21"/>
        <v>1.6666666666666667</v>
      </c>
      <c r="N13" s="123">
        <f t="shared" si="23"/>
        <v>2</v>
      </c>
      <c r="O13" s="124">
        <f t="shared" si="24"/>
        <v>0.19999999999999996</v>
      </c>
      <c r="P13" s="125" t="str">
        <f>IF(O13&gt;基础信息!$F$3,"N","Y")</f>
        <v>Y</v>
      </c>
      <c r="Q13" s="126">
        <f>VLOOKUP(E13&amp;F13,基础信息!$D$11:$E$20,2,0)</f>
        <v>1</v>
      </c>
      <c r="R13" s="126">
        <f t="shared" si="25"/>
        <v>1.6666666666666667</v>
      </c>
      <c r="S13" s="127">
        <v>0</v>
      </c>
      <c r="T13" s="126">
        <f t="shared" si="26"/>
        <v>0</v>
      </c>
      <c r="U13" s="126">
        <f t="shared" si="27"/>
        <v>1.6666666666666667</v>
      </c>
      <c r="V13" s="128"/>
      <c r="W13" s="116"/>
    </row>
    <row r="14" spans="2:23" s="117" customFormat="1" ht="81" customHeight="1">
      <c r="B14" s="50">
        <v>10</v>
      </c>
      <c r="C14" s="259"/>
      <c r="D14" s="121" t="s">
        <v>246</v>
      </c>
      <c r="E14" s="50" t="s">
        <v>97</v>
      </c>
      <c r="F14" s="50" t="s">
        <v>97</v>
      </c>
      <c r="G14" s="50" t="s">
        <v>98</v>
      </c>
      <c r="H14" s="122">
        <v>2</v>
      </c>
      <c r="I14" s="122">
        <v>2</v>
      </c>
      <c r="J14" s="122">
        <v>3</v>
      </c>
      <c r="K14" s="122"/>
      <c r="L14" s="123">
        <f t="shared" si="22"/>
        <v>2</v>
      </c>
      <c r="M14" s="123">
        <f t="shared" si="21"/>
        <v>2.3333333333333335</v>
      </c>
      <c r="N14" s="123">
        <f t="shared" si="23"/>
        <v>3</v>
      </c>
      <c r="O14" s="124">
        <f t="shared" si="24"/>
        <v>0.28571428571428564</v>
      </c>
      <c r="P14" s="125" t="str">
        <f>IF(O14&gt;基础信息!$F$3,"N","Y")</f>
        <v>Y</v>
      </c>
      <c r="Q14" s="126">
        <f>VLOOKUP(E14&amp;F14,基础信息!$D$11:$E$20,2,0)</f>
        <v>1</v>
      </c>
      <c r="R14" s="126">
        <f t="shared" si="25"/>
        <v>2.3333333333333335</v>
      </c>
      <c r="S14" s="127">
        <v>0</v>
      </c>
      <c r="T14" s="126">
        <f t="shared" si="26"/>
        <v>0</v>
      </c>
      <c r="U14" s="126">
        <f t="shared" si="27"/>
        <v>2.3333333333333335</v>
      </c>
      <c r="V14" s="128"/>
      <c r="W14" s="116"/>
    </row>
    <row r="15" spans="2:23" s="117" customFormat="1" ht="76.5" customHeight="1">
      <c r="B15" s="50">
        <v>11</v>
      </c>
      <c r="C15" s="259"/>
      <c r="D15" s="121" t="s">
        <v>247</v>
      </c>
      <c r="E15" s="50" t="s">
        <v>97</v>
      </c>
      <c r="F15" s="50" t="s">
        <v>97</v>
      </c>
      <c r="G15" s="50" t="s">
        <v>98</v>
      </c>
      <c r="H15" s="122">
        <v>1</v>
      </c>
      <c r="I15" s="122">
        <v>1</v>
      </c>
      <c r="J15" s="122">
        <v>1</v>
      </c>
      <c r="K15" s="122"/>
      <c r="L15" s="123">
        <f t="shared" si="22"/>
        <v>1</v>
      </c>
      <c r="M15" s="123">
        <f t="shared" si="21"/>
        <v>1</v>
      </c>
      <c r="N15" s="123">
        <f t="shared" si="23"/>
        <v>1</v>
      </c>
      <c r="O15" s="124">
        <f t="shared" si="24"/>
        <v>0</v>
      </c>
      <c r="P15" s="125" t="str">
        <f>IF(O15&gt;基础信息!$F$3,"N","Y")</f>
        <v>Y</v>
      </c>
      <c r="Q15" s="126">
        <f>VLOOKUP(E15&amp;F15,基础信息!$D$11:$E$20,2,0)</f>
        <v>1</v>
      </c>
      <c r="R15" s="126">
        <f t="shared" si="25"/>
        <v>1</v>
      </c>
      <c r="S15" s="127">
        <v>0</v>
      </c>
      <c r="T15" s="126">
        <f t="shared" si="26"/>
        <v>0</v>
      </c>
      <c r="U15" s="126">
        <f t="shared" si="27"/>
        <v>1</v>
      </c>
      <c r="V15" s="128"/>
      <c r="W15" s="116"/>
    </row>
    <row r="16" spans="2:23" ht="105" customHeight="1">
      <c r="B16" s="50">
        <v>12</v>
      </c>
      <c r="C16" s="259"/>
      <c r="D16" s="121" t="s">
        <v>248</v>
      </c>
      <c r="E16" s="50" t="s">
        <v>97</v>
      </c>
      <c r="F16" s="50" t="s">
        <v>97</v>
      </c>
      <c r="G16" s="50" t="s">
        <v>98</v>
      </c>
      <c r="H16" s="122">
        <v>2</v>
      </c>
      <c r="I16" s="122">
        <v>2</v>
      </c>
      <c r="J16" s="122">
        <v>2</v>
      </c>
      <c r="K16" s="122"/>
      <c r="L16" s="123">
        <f t="shared" si="22"/>
        <v>2</v>
      </c>
      <c r="M16" s="123">
        <f t="shared" si="21"/>
        <v>2</v>
      </c>
      <c r="N16" s="123">
        <f t="shared" si="23"/>
        <v>2</v>
      </c>
      <c r="O16" s="124">
        <f t="shared" si="24"/>
        <v>0</v>
      </c>
      <c r="P16" s="125" t="str">
        <f>IF(O16&gt;基础信息!$F$3,"N","Y")</f>
        <v>Y</v>
      </c>
      <c r="Q16" s="126">
        <f>VLOOKUP(E16&amp;F16,基础信息!$D$11:$E$20,2,0)</f>
        <v>1</v>
      </c>
      <c r="R16" s="126">
        <f t="shared" si="25"/>
        <v>2</v>
      </c>
      <c r="S16" s="127">
        <v>0</v>
      </c>
      <c r="T16" s="126">
        <f t="shared" si="26"/>
        <v>0</v>
      </c>
      <c r="U16" s="126">
        <f t="shared" si="27"/>
        <v>2</v>
      </c>
      <c r="V16" s="128"/>
      <c r="W16" s="65"/>
    </row>
    <row r="17" spans="2:23" s="117" customFormat="1" ht="63.75" customHeight="1">
      <c r="B17" s="138">
        <v>13</v>
      </c>
      <c r="C17" s="259"/>
      <c r="D17" s="121" t="s">
        <v>249</v>
      </c>
      <c r="E17" s="50" t="s">
        <v>97</v>
      </c>
      <c r="F17" s="50" t="s">
        <v>97</v>
      </c>
      <c r="G17" s="50" t="s">
        <v>98</v>
      </c>
      <c r="H17" s="122">
        <v>1.5</v>
      </c>
      <c r="I17" s="122">
        <v>1</v>
      </c>
      <c r="J17" s="122">
        <v>1</v>
      </c>
      <c r="K17" s="122"/>
      <c r="L17" s="123">
        <f t="shared" si="22"/>
        <v>1</v>
      </c>
      <c r="M17" s="123">
        <f t="shared" si="21"/>
        <v>1.1666666666666667</v>
      </c>
      <c r="N17" s="123">
        <f t="shared" si="23"/>
        <v>1.5</v>
      </c>
      <c r="O17" s="124">
        <f t="shared" si="24"/>
        <v>0.28571428571428564</v>
      </c>
      <c r="P17" s="125" t="str">
        <f>IF(O17&gt;基础信息!$F$3,"N","Y")</f>
        <v>Y</v>
      </c>
      <c r="Q17" s="126">
        <f>VLOOKUP(E17&amp;F17,基础信息!$D$11:$E$20,2,0)</f>
        <v>1</v>
      </c>
      <c r="R17" s="126">
        <f t="shared" si="25"/>
        <v>1.1666666666666667</v>
      </c>
      <c r="S17" s="127">
        <v>0</v>
      </c>
      <c r="T17" s="126">
        <f t="shared" si="26"/>
        <v>0</v>
      </c>
      <c r="U17" s="126">
        <f t="shared" si="27"/>
        <v>1.1666666666666667</v>
      </c>
      <c r="V17" s="128"/>
      <c r="W17" s="116"/>
    </row>
    <row r="18" spans="2:23" s="117" customFormat="1" ht="77.25" customHeight="1">
      <c r="B18" s="138">
        <v>14</v>
      </c>
      <c r="C18" s="259"/>
      <c r="D18" s="121" t="s">
        <v>250</v>
      </c>
      <c r="E18" s="50" t="s">
        <v>97</v>
      </c>
      <c r="F18" s="50" t="s">
        <v>97</v>
      </c>
      <c r="G18" s="50" t="s">
        <v>98</v>
      </c>
      <c r="H18" s="129">
        <v>1</v>
      </c>
      <c r="I18" s="122">
        <v>1</v>
      </c>
      <c r="J18" s="122">
        <v>1</v>
      </c>
      <c r="K18" s="122"/>
      <c r="L18" s="123">
        <f t="shared" si="22"/>
        <v>1</v>
      </c>
      <c r="M18" s="123">
        <f t="shared" si="21"/>
        <v>1</v>
      </c>
      <c r="N18" s="123">
        <f t="shared" si="23"/>
        <v>1</v>
      </c>
      <c r="O18" s="124">
        <f t="shared" si="24"/>
        <v>0</v>
      </c>
      <c r="P18" s="125" t="str">
        <f>IF(O18&gt;基础信息!$F$3,"N","Y")</f>
        <v>Y</v>
      </c>
      <c r="Q18" s="126">
        <f>VLOOKUP(E18&amp;F18,基础信息!$D$11:$E$20,2,0)</f>
        <v>1</v>
      </c>
      <c r="R18" s="126">
        <f t="shared" si="25"/>
        <v>1</v>
      </c>
      <c r="S18" s="127">
        <v>0</v>
      </c>
      <c r="T18" s="126">
        <f t="shared" si="26"/>
        <v>0</v>
      </c>
      <c r="U18" s="126">
        <f t="shared" si="27"/>
        <v>1</v>
      </c>
      <c r="V18" s="128"/>
      <c r="W18" s="116"/>
    </row>
    <row r="19" spans="2:23" s="117" customFormat="1" ht="54.75" customHeight="1">
      <c r="B19" s="138">
        <v>15</v>
      </c>
      <c r="C19" s="260"/>
      <c r="D19" s="130" t="s">
        <v>251</v>
      </c>
      <c r="E19" s="50" t="s">
        <v>97</v>
      </c>
      <c r="F19" s="50" t="s">
        <v>97</v>
      </c>
      <c r="G19" s="50" t="s">
        <v>98</v>
      </c>
      <c r="H19" s="122">
        <v>1</v>
      </c>
      <c r="I19" s="122">
        <v>1</v>
      </c>
      <c r="J19" s="122">
        <v>1</v>
      </c>
      <c r="K19" s="122"/>
      <c r="L19" s="123">
        <f t="shared" si="22"/>
        <v>1</v>
      </c>
      <c r="M19" s="123">
        <f t="shared" si="21"/>
        <v>1</v>
      </c>
      <c r="N19" s="123">
        <f t="shared" si="23"/>
        <v>1</v>
      </c>
      <c r="O19" s="124">
        <f t="shared" si="24"/>
        <v>0</v>
      </c>
      <c r="P19" s="125" t="str">
        <f>IF(O19&gt;基础信息!$F$3,"N","Y")</f>
        <v>Y</v>
      </c>
      <c r="Q19" s="126">
        <f>VLOOKUP(E19&amp;F19,基础信息!$D$11:$E$20,2,0)</f>
        <v>1</v>
      </c>
      <c r="R19" s="126">
        <f t="shared" si="25"/>
        <v>1</v>
      </c>
      <c r="S19" s="127">
        <v>0</v>
      </c>
      <c r="T19" s="126">
        <f t="shared" si="26"/>
        <v>0</v>
      </c>
      <c r="U19" s="126">
        <f t="shared" si="27"/>
        <v>1</v>
      </c>
      <c r="V19" s="128"/>
      <c r="W19" s="116"/>
    </row>
    <row r="20" spans="2:23" ht="24.75" customHeight="1">
      <c r="B20" s="251" t="s">
        <v>99</v>
      </c>
      <c r="C20" s="251"/>
      <c r="D20" s="131" t="s">
        <v>100</v>
      </c>
      <c r="E20" s="131">
        <f>COUNTIF(E5:E19,"高")</f>
        <v>0</v>
      </c>
      <c r="F20" s="131">
        <f>COUNTIF(F5:F19,"高")</f>
        <v>0</v>
      </c>
      <c r="G20" s="131">
        <f>COUNTIF(G5:G19,"是")</f>
        <v>0</v>
      </c>
      <c r="H20" s="249">
        <f t="shared" ref="H20:N20" si="28">SUM(H5:H19)</f>
        <v>24.3</v>
      </c>
      <c r="I20" s="255">
        <f t="shared" si="28"/>
        <v>22.4</v>
      </c>
      <c r="J20" s="249">
        <f t="shared" si="28"/>
        <v>25.8</v>
      </c>
      <c r="K20" s="249">
        <f t="shared" si="28"/>
        <v>0</v>
      </c>
      <c r="L20" s="249">
        <f t="shared" si="28"/>
        <v>22.4</v>
      </c>
      <c r="M20" s="249">
        <f t="shared" si="28"/>
        <v>24.400000000000002</v>
      </c>
      <c r="N20" s="249">
        <f t="shared" si="28"/>
        <v>28.3</v>
      </c>
      <c r="O20" s="249"/>
      <c r="P20" s="131">
        <f>COUNTIF(P5:P19,"Y")</f>
        <v>15</v>
      </c>
      <c r="Q20" s="131"/>
      <c r="R20" s="249">
        <f>SUM(R5:R19)</f>
        <v>24.400000000000002</v>
      </c>
      <c r="S20" s="252"/>
      <c r="T20" s="249">
        <f>SUM(T5:T19)</f>
        <v>0</v>
      </c>
      <c r="U20" s="249">
        <f>SUM(U5:U19)</f>
        <v>24.400000000000002</v>
      </c>
      <c r="V20" s="250"/>
    </row>
    <row r="21" spans="2:23" ht="18.75" customHeight="1">
      <c r="B21" s="251"/>
      <c r="C21" s="251"/>
      <c r="D21" s="131" t="s">
        <v>97</v>
      </c>
      <c r="E21" s="131">
        <f>COUNTIF(E5:E19,"中")</f>
        <v>15</v>
      </c>
      <c r="F21" s="131">
        <f>COUNTIF(F5:F19,"中")</f>
        <v>15</v>
      </c>
      <c r="G21" s="131">
        <f>COUNTIF(G5:G19,"否")</f>
        <v>15</v>
      </c>
      <c r="H21" s="249"/>
      <c r="I21" s="256"/>
      <c r="J21" s="249"/>
      <c r="K21" s="249"/>
      <c r="L21" s="249"/>
      <c r="M21" s="249"/>
      <c r="N21" s="249"/>
      <c r="O21" s="249"/>
      <c r="P21" s="131">
        <f>COUNTIF(P5:P19,"N")</f>
        <v>0</v>
      </c>
      <c r="Q21" s="131"/>
      <c r="R21" s="249"/>
      <c r="S21" s="253"/>
      <c r="T21" s="249"/>
      <c r="U21" s="249"/>
      <c r="V21" s="250"/>
    </row>
    <row r="22" spans="2:23" ht="19.5" customHeight="1">
      <c r="B22" s="251"/>
      <c r="C22" s="251"/>
      <c r="D22" s="131" t="s">
        <v>101</v>
      </c>
      <c r="E22" s="131">
        <f>COUNTIF(E5:E19,"低")</f>
        <v>0</v>
      </c>
      <c r="F22" s="131">
        <f>COUNTIF(F5:F19,"低")</f>
        <v>0</v>
      </c>
      <c r="G22" s="131"/>
      <c r="H22" s="249"/>
      <c r="I22" s="257"/>
      <c r="J22" s="249"/>
      <c r="K22" s="249"/>
      <c r="L22" s="249"/>
      <c r="M22" s="249"/>
      <c r="N22" s="249"/>
      <c r="O22" s="249"/>
      <c r="P22" s="131"/>
      <c r="Q22" s="131"/>
      <c r="R22" s="249"/>
      <c r="S22" s="254"/>
      <c r="T22" s="249"/>
      <c r="U22" s="249"/>
      <c r="V22" s="250"/>
    </row>
  </sheetData>
  <mergeCells count="34">
    <mergeCell ref="H20:H22"/>
    <mergeCell ref="I20:I22"/>
    <mergeCell ref="O3:O4"/>
    <mergeCell ref="L3:L4"/>
    <mergeCell ref="C5:C19"/>
    <mergeCell ref="U20:U22"/>
    <mergeCell ref="V3:V4"/>
    <mergeCell ref="V20:V22"/>
    <mergeCell ref="B20:C22"/>
    <mergeCell ref="R20:R22"/>
    <mergeCell ref="S3:S4"/>
    <mergeCell ref="S20:S22"/>
    <mergeCell ref="T3:T4"/>
    <mergeCell ref="T20:T22"/>
    <mergeCell ref="M20:M22"/>
    <mergeCell ref="N3:N4"/>
    <mergeCell ref="N20:N22"/>
    <mergeCell ref="O20:O22"/>
    <mergeCell ref="J20:J22"/>
    <mergeCell ref="K20:K22"/>
    <mergeCell ref="L20:L22"/>
    <mergeCell ref="B1:V1"/>
    <mergeCell ref="H3:K3"/>
    <mergeCell ref="B3:B4"/>
    <mergeCell ref="C3:C4"/>
    <mergeCell ref="D3:D4"/>
    <mergeCell ref="E3:E4"/>
    <mergeCell ref="F3:F4"/>
    <mergeCell ref="G3:G4"/>
    <mergeCell ref="M3:M4"/>
    <mergeCell ref="P3:P4"/>
    <mergeCell ref="Q3:Q4"/>
    <mergeCell ref="R3:R4"/>
    <mergeCell ref="U3:U4"/>
  </mergeCells>
  <phoneticPr fontId="25" type="noConversion"/>
  <dataValidations count="4">
    <dataValidation allowBlank="1" showInputMessage="1" showErrorMessage="1" prompt="功能需求项内容=功能需求编号+功能需求内容描述_x000a__x000a_非功能需求项=非功能需求属性+内容描述" sqref="D5"/>
    <dataValidation type="list" allowBlank="1" showInputMessage="1" showErrorMessage="1" sqref="E5:E19">
      <formula1>难易程度</formula1>
    </dataValidation>
    <dataValidation type="list" allowBlank="1" showInputMessage="1" showErrorMessage="1" sqref="F5:F19">
      <formula1>优先级</formula1>
    </dataValidation>
    <dataValidation type="list" allowBlank="1" showInputMessage="1" showErrorMessage="1" sqref="G5:G19">
      <formula1>是否复用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"/>
  <sheetViews>
    <sheetView workbookViewId="0">
      <pane xSplit="11" ySplit="4" topLeftCell="P6" activePane="bottomRight" state="frozen"/>
      <selection pane="topRight"/>
      <selection pane="bottomLeft"/>
      <selection pane="bottomRight" activeCell="V19" sqref="V19:V21"/>
    </sheetView>
  </sheetViews>
  <sheetFormatPr defaultColWidth="9" defaultRowHeight="13.5"/>
  <cols>
    <col min="1" max="1" width="1.875" style="47" customWidth="1"/>
    <col min="2" max="2" width="5.125" style="47" customWidth="1"/>
    <col min="3" max="3" width="16.375" style="47" customWidth="1"/>
    <col min="4" max="4" width="24.5" style="47" customWidth="1"/>
    <col min="5" max="7" width="9.75" style="47" customWidth="1"/>
    <col min="8" max="8" width="11.25" style="47" customWidth="1"/>
    <col min="9" max="10" width="11.875" style="47" customWidth="1"/>
    <col min="11" max="11" width="11.25" style="47" customWidth="1"/>
    <col min="12" max="12" width="9.75" style="47" customWidth="1"/>
    <col min="13" max="18" width="12.75" style="47" customWidth="1"/>
    <col min="19" max="20" width="9.75" style="47" customWidth="1"/>
    <col min="21" max="21" width="11.875" style="47" customWidth="1"/>
    <col min="22" max="22" width="30.375" style="47" customWidth="1"/>
    <col min="23" max="16384" width="9" style="47"/>
  </cols>
  <sheetData>
    <row r="1" spans="2:22" ht="34.5" customHeight="1">
      <c r="B1" s="227" t="s">
        <v>102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</row>
    <row r="2" spans="2:22" ht="6" customHeight="1"/>
    <row r="3" spans="2:22" s="46" customFormat="1" ht="20.25">
      <c r="B3" s="166" t="s">
        <v>76</v>
      </c>
      <c r="C3" s="166" t="s">
        <v>77</v>
      </c>
      <c r="D3" s="166" t="s">
        <v>78</v>
      </c>
      <c r="E3" s="166" t="s">
        <v>79</v>
      </c>
      <c r="F3" s="166" t="s">
        <v>80</v>
      </c>
      <c r="G3" s="166" t="s">
        <v>81</v>
      </c>
      <c r="H3" s="166" t="s">
        <v>184</v>
      </c>
      <c r="I3" s="166"/>
      <c r="J3" s="166"/>
      <c r="K3" s="166"/>
      <c r="L3" s="166" t="s">
        <v>84</v>
      </c>
      <c r="M3" s="166" t="s">
        <v>85</v>
      </c>
      <c r="N3" s="166" t="s">
        <v>86</v>
      </c>
      <c r="O3" s="166" t="s">
        <v>87</v>
      </c>
      <c r="P3" s="166" t="s">
        <v>88</v>
      </c>
      <c r="Q3" s="166" t="s">
        <v>89</v>
      </c>
      <c r="R3" s="166" t="s">
        <v>90</v>
      </c>
      <c r="S3" s="166" t="s">
        <v>91</v>
      </c>
      <c r="T3" s="166" t="s">
        <v>92</v>
      </c>
      <c r="U3" s="166" t="s">
        <v>93</v>
      </c>
      <c r="V3" s="166" t="s">
        <v>8</v>
      </c>
    </row>
    <row r="4" spans="2:22" s="46" customFormat="1" ht="20.25" customHeight="1">
      <c r="B4" s="166"/>
      <c r="C4" s="166"/>
      <c r="D4" s="166"/>
      <c r="E4" s="166"/>
      <c r="F4" s="166"/>
      <c r="G4" s="166"/>
      <c r="H4" s="48" t="s">
        <v>181</v>
      </c>
      <c r="I4" s="48" t="s">
        <v>182</v>
      </c>
      <c r="J4" s="71" t="s">
        <v>183</v>
      </c>
      <c r="K4" s="48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</row>
    <row r="5" spans="2:22" ht="27" customHeight="1">
      <c r="B5" s="49">
        <v>1</v>
      </c>
      <c r="C5" s="139" t="s">
        <v>186</v>
      </c>
      <c r="D5" s="139" t="s">
        <v>187</v>
      </c>
      <c r="E5" s="51" t="s">
        <v>97</v>
      </c>
      <c r="F5" s="52" t="s">
        <v>97</v>
      </c>
      <c r="G5" s="53" t="s">
        <v>98</v>
      </c>
      <c r="H5" s="67">
        <v>5.5</v>
      </c>
      <c r="I5" s="67">
        <v>5</v>
      </c>
      <c r="J5" s="67">
        <v>5</v>
      </c>
      <c r="K5" s="57"/>
      <c r="L5" s="58">
        <f t="shared" ref="L5:L18" si="0">MIN(H5:K5)</f>
        <v>5</v>
      </c>
      <c r="M5" s="58">
        <f t="shared" ref="M5:M18" si="1">IF(AND(ISBLANK(H5),ISBLANK(I5),ISBLANK(J5),ISBLANK(K5)),,AVERAGE(H5:K5))</f>
        <v>5.166666666666667</v>
      </c>
      <c r="N5" s="58">
        <f t="shared" ref="N5:N18" si="2">MAX(H5:K5)</f>
        <v>5.5</v>
      </c>
      <c r="O5" s="59">
        <f t="shared" ref="O5:O18" si="3">IF(AND(ISNUMBER(M5),M5&lt;&gt;0),MAX(M5-L5,N5-M5)/M5,"")</f>
        <v>6.4516129032258007E-2</v>
      </c>
      <c r="P5" s="60" t="str">
        <f>IF(O5&gt;基础信息!$F$3,"N","Y")</f>
        <v>Y</v>
      </c>
      <c r="Q5" s="60">
        <f>VLOOKUP(E5&amp;F5,基础信息!$D$11:$E$20,2,0)</f>
        <v>1</v>
      </c>
      <c r="R5" s="58">
        <f t="shared" ref="R5:R18" si="4">M5*Q5</f>
        <v>5.166666666666667</v>
      </c>
      <c r="S5" s="72"/>
      <c r="T5" s="58">
        <f t="shared" ref="T5:T18" si="5">IF(G5="是",R5*S5,0)</f>
        <v>0</v>
      </c>
      <c r="U5" s="58">
        <f t="shared" ref="U5:U18" si="6">R5-T5</f>
        <v>5.166666666666667</v>
      </c>
      <c r="V5" s="62"/>
    </row>
    <row r="6" spans="2:22" ht="29.25" customHeight="1">
      <c r="B6" s="136">
        <v>2</v>
      </c>
      <c r="C6" s="139" t="s">
        <v>188</v>
      </c>
      <c r="D6" s="139" t="s">
        <v>189</v>
      </c>
      <c r="E6" s="51" t="s">
        <v>97</v>
      </c>
      <c r="F6" s="52" t="s">
        <v>97</v>
      </c>
      <c r="G6" s="53" t="s">
        <v>98</v>
      </c>
      <c r="H6" s="67">
        <v>5.5</v>
      </c>
      <c r="I6" s="67">
        <v>5</v>
      </c>
      <c r="J6" s="67">
        <v>5</v>
      </c>
      <c r="K6" s="57"/>
      <c r="L6" s="58">
        <f t="shared" si="0"/>
        <v>5</v>
      </c>
      <c r="M6" s="58">
        <f t="shared" si="1"/>
        <v>5.166666666666667</v>
      </c>
      <c r="N6" s="58">
        <f t="shared" si="2"/>
        <v>5.5</v>
      </c>
      <c r="O6" s="59">
        <f t="shared" si="3"/>
        <v>6.4516129032258007E-2</v>
      </c>
      <c r="P6" s="60" t="str">
        <f>IF(O6&gt;基础信息!$F$3,"N","Y")</f>
        <v>Y</v>
      </c>
      <c r="Q6" s="60">
        <f>VLOOKUP(E6&amp;F6,基础信息!$D$11:$E$20,2,0)</f>
        <v>1</v>
      </c>
      <c r="R6" s="58">
        <f t="shared" si="4"/>
        <v>5.166666666666667</v>
      </c>
      <c r="S6" s="72"/>
      <c r="T6" s="58">
        <f t="shared" si="5"/>
        <v>0</v>
      </c>
      <c r="U6" s="58">
        <f t="shared" si="6"/>
        <v>5.166666666666667</v>
      </c>
      <c r="V6" s="62"/>
    </row>
    <row r="7" spans="2:22" ht="27" customHeight="1">
      <c r="B7" s="136">
        <v>3</v>
      </c>
      <c r="C7" s="261" t="s">
        <v>190</v>
      </c>
      <c r="D7" s="139" t="s">
        <v>191</v>
      </c>
      <c r="E7" s="51" t="s">
        <v>97</v>
      </c>
      <c r="F7" s="52" t="s">
        <v>97</v>
      </c>
      <c r="G7" s="53" t="s">
        <v>98</v>
      </c>
      <c r="H7" s="67">
        <v>3</v>
      </c>
      <c r="I7" s="67">
        <v>3</v>
      </c>
      <c r="J7" s="67">
        <v>3</v>
      </c>
      <c r="K7" s="57"/>
      <c r="L7" s="58">
        <f t="shared" si="0"/>
        <v>3</v>
      </c>
      <c r="M7" s="58">
        <f t="shared" si="1"/>
        <v>3</v>
      </c>
      <c r="N7" s="58">
        <f t="shared" si="2"/>
        <v>3</v>
      </c>
      <c r="O7" s="59">
        <f t="shared" si="3"/>
        <v>0</v>
      </c>
      <c r="P7" s="60" t="str">
        <f>IF(O7&gt;基础信息!$F$3,"N","Y")</f>
        <v>Y</v>
      </c>
      <c r="Q7" s="60">
        <f>VLOOKUP(E7&amp;F7,基础信息!$D$11:$E$20,2,0)</f>
        <v>1</v>
      </c>
      <c r="R7" s="58">
        <f t="shared" si="4"/>
        <v>3</v>
      </c>
      <c r="S7" s="72"/>
      <c r="T7" s="58">
        <f t="shared" si="5"/>
        <v>0</v>
      </c>
      <c r="U7" s="58">
        <f t="shared" si="6"/>
        <v>3</v>
      </c>
      <c r="V7" s="62"/>
    </row>
    <row r="8" spans="2:22" ht="29.25" customHeight="1">
      <c r="B8" s="136">
        <v>4</v>
      </c>
      <c r="C8" s="262"/>
      <c r="D8" s="139" t="s">
        <v>192</v>
      </c>
      <c r="E8" s="51" t="s">
        <v>97</v>
      </c>
      <c r="F8" s="52" t="s">
        <v>97</v>
      </c>
      <c r="G8" s="53" t="s">
        <v>98</v>
      </c>
      <c r="H8" s="67">
        <v>4</v>
      </c>
      <c r="I8" s="67">
        <v>4</v>
      </c>
      <c r="J8" s="67">
        <v>4</v>
      </c>
      <c r="K8" s="57"/>
      <c r="L8" s="58">
        <f t="shared" si="0"/>
        <v>4</v>
      </c>
      <c r="M8" s="58">
        <f t="shared" si="1"/>
        <v>4</v>
      </c>
      <c r="N8" s="58">
        <f t="shared" si="2"/>
        <v>4</v>
      </c>
      <c r="O8" s="59">
        <f t="shared" si="3"/>
        <v>0</v>
      </c>
      <c r="P8" s="60" t="str">
        <f>IF(O8&gt;基础信息!$F$3,"N","Y")</f>
        <v>Y</v>
      </c>
      <c r="Q8" s="60">
        <f>VLOOKUP(E8&amp;F8,基础信息!$D$11:$E$20,2,0)</f>
        <v>1</v>
      </c>
      <c r="R8" s="58">
        <f t="shared" si="4"/>
        <v>4</v>
      </c>
      <c r="S8" s="72"/>
      <c r="T8" s="58">
        <f t="shared" si="5"/>
        <v>0</v>
      </c>
      <c r="U8" s="58">
        <f t="shared" si="6"/>
        <v>4</v>
      </c>
      <c r="V8" s="62"/>
    </row>
    <row r="9" spans="2:22" ht="27" customHeight="1">
      <c r="B9" s="136">
        <v>5</v>
      </c>
      <c r="C9" s="139" t="s">
        <v>193</v>
      </c>
      <c r="D9" s="139" t="s">
        <v>194</v>
      </c>
      <c r="E9" s="51" t="s">
        <v>97</v>
      </c>
      <c r="F9" s="52" t="s">
        <v>97</v>
      </c>
      <c r="G9" s="53" t="s">
        <v>98</v>
      </c>
      <c r="H9" s="67">
        <v>5</v>
      </c>
      <c r="I9" s="67">
        <v>4</v>
      </c>
      <c r="J9" s="67">
        <v>4</v>
      </c>
      <c r="K9" s="57"/>
      <c r="L9" s="58">
        <f t="shared" si="0"/>
        <v>4</v>
      </c>
      <c r="M9" s="58">
        <f t="shared" si="1"/>
        <v>4.333333333333333</v>
      </c>
      <c r="N9" s="58">
        <f t="shared" si="2"/>
        <v>5</v>
      </c>
      <c r="O9" s="59">
        <f t="shared" si="3"/>
        <v>0.15384615384615394</v>
      </c>
      <c r="P9" s="60" t="str">
        <f>IF(O9&gt;基础信息!$F$3,"N","Y")</f>
        <v>Y</v>
      </c>
      <c r="Q9" s="60">
        <f>VLOOKUP(E9&amp;F9,基础信息!$D$11:$E$20,2,0)</f>
        <v>1</v>
      </c>
      <c r="R9" s="58">
        <f t="shared" si="4"/>
        <v>4.333333333333333</v>
      </c>
      <c r="S9" s="72"/>
      <c r="T9" s="58">
        <f t="shared" si="5"/>
        <v>0</v>
      </c>
      <c r="U9" s="58">
        <f t="shared" si="6"/>
        <v>4.333333333333333</v>
      </c>
      <c r="V9" s="62"/>
    </row>
    <row r="10" spans="2:22" ht="29.25" customHeight="1">
      <c r="B10" s="136">
        <v>6</v>
      </c>
      <c r="C10" s="261" t="s">
        <v>195</v>
      </c>
      <c r="D10" s="139" t="s">
        <v>196</v>
      </c>
      <c r="E10" s="51" t="s">
        <v>97</v>
      </c>
      <c r="F10" s="52" t="s">
        <v>97</v>
      </c>
      <c r="G10" s="53" t="s">
        <v>98</v>
      </c>
      <c r="H10" s="67">
        <v>5.5</v>
      </c>
      <c r="I10" s="67">
        <v>5</v>
      </c>
      <c r="J10" s="67">
        <v>5</v>
      </c>
      <c r="K10" s="57"/>
      <c r="L10" s="58">
        <f t="shared" ref="L10:L16" si="7">MIN(H10:K10)</f>
        <v>5</v>
      </c>
      <c r="M10" s="58">
        <f t="shared" ref="M10:M16" si="8">IF(AND(ISBLANK(H10),ISBLANK(I10),ISBLANK(J10),ISBLANK(K10)),,AVERAGE(H10:K10))</f>
        <v>5.166666666666667</v>
      </c>
      <c r="N10" s="58">
        <f t="shared" ref="N10:N16" si="9">MAX(H10:K10)</f>
        <v>5.5</v>
      </c>
      <c r="O10" s="59">
        <f t="shared" ref="O10:O16" si="10">IF(AND(ISNUMBER(M10),M10&lt;&gt;0),MAX(M10-L10,N10-M10)/M10,"")</f>
        <v>6.4516129032258007E-2</v>
      </c>
      <c r="P10" s="60" t="str">
        <f>IF(O10&gt;基础信息!$F$3,"N","Y")</f>
        <v>Y</v>
      </c>
      <c r="Q10" s="60">
        <f>VLOOKUP(E10&amp;F10,基础信息!$D$11:$E$20,2,0)</f>
        <v>1</v>
      </c>
      <c r="R10" s="58">
        <f t="shared" ref="R10:R16" si="11">M10*Q10</f>
        <v>5.166666666666667</v>
      </c>
      <c r="S10" s="72"/>
      <c r="T10" s="58">
        <f t="shared" ref="T10:T16" si="12">IF(G10="是",R10*S10,0)</f>
        <v>0</v>
      </c>
      <c r="U10" s="58">
        <f t="shared" ref="U10:U16" si="13">R10-T10</f>
        <v>5.166666666666667</v>
      </c>
      <c r="V10" s="135"/>
    </row>
    <row r="11" spans="2:22" ht="27" customHeight="1">
      <c r="B11" s="136">
        <v>7</v>
      </c>
      <c r="C11" s="263"/>
      <c r="D11" s="139" t="s">
        <v>197</v>
      </c>
      <c r="E11" s="51" t="s">
        <v>97</v>
      </c>
      <c r="F11" s="52" t="s">
        <v>97</v>
      </c>
      <c r="G11" s="53" t="s">
        <v>98</v>
      </c>
      <c r="H11" s="67">
        <v>2.5</v>
      </c>
      <c r="I11" s="67">
        <v>2</v>
      </c>
      <c r="J11" s="67">
        <v>2</v>
      </c>
      <c r="K11" s="57"/>
      <c r="L11" s="58">
        <f t="shared" si="7"/>
        <v>2</v>
      </c>
      <c r="M11" s="58">
        <f t="shared" si="8"/>
        <v>2.1666666666666665</v>
      </c>
      <c r="N11" s="58">
        <f t="shared" si="9"/>
        <v>2.5</v>
      </c>
      <c r="O11" s="59">
        <f t="shared" si="10"/>
        <v>0.15384615384615394</v>
      </c>
      <c r="P11" s="60" t="str">
        <f>IF(O11&gt;基础信息!$F$3,"N","Y")</f>
        <v>Y</v>
      </c>
      <c r="Q11" s="60">
        <f>VLOOKUP(E11&amp;F11,基础信息!$D$11:$E$20,2,0)</f>
        <v>1</v>
      </c>
      <c r="R11" s="58">
        <f t="shared" si="11"/>
        <v>2.1666666666666665</v>
      </c>
      <c r="S11" s="72"/>
      <c r="T11" s="58">
        <f t="shared" si="12"/>
        <v>0</v>
      </c>
      <c r="U11" s="58">
        <f t="shared" si="13"/>
        <v>2.1666666666666665</v>
      </c>
      <c r="V11" s="135"/>
    </row>
    <row r="12" spans="2:22" ht="29.25" customHeight="1">
      <c r="B12" s="136">
        <v>8</v>
      </c>
      <c r="C12" s="262"/>
      <c r="D12" s="139" t="s">
        <v>198</v>
      </c>
      <c r="E12" s="51" t="s">
        <v>97</v>
      </c>
      <c r="F12" s="52" t="s">
        <v>97</v>
      </c>
      <c r="G12" s="53" t="s">
        <v>98</v>
      </c>
      <c r="H12" s="67">
        <v>4</v>
      </c>
      <c r="I12" s="67">
        <v>4</v>
      </c>
      <c r="J12" s="67">
        <v>4</v>
      </c>
      <c r="K12" s="57"/>
      <c r="L12" s="58">
        <f t="shared" si="7"/>
        <v>4</v>
      </c>
      <c r="M12" s="58">
        <f t="shared" si="8"/>
        <v>4</v>
      </c>
      <c r="N12" s="58">
        <f t="shared" si="9"/>
        <v>4</v>
      </c>
      <c r="O12" s="59">
        <f t="shared" si="10"/>
        <v>0</v>
      </c>
      <c r="P12" s="60" t="str">
        <f>IF(O12&gt;基础信息!$F$3,"N","Y")</f>
        <v>Y</v>
      </c>
      <c r="Q12" s="60">
        <f>VLOOKUP(E12&amp;F12,基础信息!$D$11:$E$20,2,0)</f>
        <v>1</v>
      </c>
      <c r="R12" s="58">
        <f t="shared" si="11"/>
        <v>4</v>
      </c>
      <c r="S12" s="72"/>
      <c r="T12" s="58">
        <f t="shared" si="12"/>
        <v>0</v>
      </c>
      <c r="U12" s="58">
        <f t="shared" si="13"/>
        <v>4</v>
      </c>
      <c r="V12" s="135"/>
    </row>
    <row r="13" spans="2:22" ht="27" customHeight="1">
      <c r="B13" s="136">
        <v>9</v>
      </c>
      <c r="C13" s="139" t="s">
        <v>199</v>
      </c>
      <c r="D13" s="139" t="s">
        <v>199</v>
      </c>
      <c r="E13" s="51" t="s">
        <v>97</v>
      </c>
      <c r="F13" s="52" t="s">
        <v>97</v>
      </c>
      <c r="G13" s="53" t="s">
        <v>98</v>
      </c>
      <c r="H13" s="67">
        <v>6</v>
      </c>
      <c r="I13" s="67">
        <v>6</v>
      </c>
      <c r="J13" s="67">
        <v>6</v>
      </c>
      <c r="K13" s="57"/>
      <c r="L13" s="58">
        <f t="shared" si="7"/>
        <v>6</v>
      </c>
      <c r="M13" s="58">
        <f t="shared" si="8"/>
        <v>6</v>
      </c>
      <c r="N13" s="58">
        <f t="shared" si="9"/>
        <v>6</v>
      </c>
      <c r="O13" s="59">
        <f t="shared" si="10"/>
        <v>0</v>
      </c>
      <c r="P13" s="60" t="str">
        <f>IF(O13&gt;基础信息!$F$3,"N","Y")</f>
        <v>Y</v>
      </c>
      <c r="Q13" s="60">
        <f>VLOOKUP(E13&amp;F13,基础信息!$D$11:$E$20,2,0)</f>
        <v>1</v>
      </c>
      <c r="R13" s="58">
        <f t="shared" si="11"/>
        <v>6</v>
      </c>
      <c r="S13" s="72"/>
      <c r="T13" s="58">
        <f t="shared" si="12"/>
        <v>0</v>
      </c>
      <c r="U13" s="58">
        <f t="shared" si="13"/>
        <v>6</v>
      </c>
      <c r="V13" s="135"/>
    </row>
    <row r="14" spans="2:22" ht="29.25" customHeight="1">
      <c r="B14" s="136">
        <v>10</v>
      </c>
      <c r="C14" s="139" t="s">
        <v>200</v>
      </c>
      <c r="D14" s="139" t="s">
        <v>200</v>
      </c>
      <c r="E14" s="51" t="s">
        <v>97</v>
      </c>
      <c r="F14" s="52" t="s">
        <v>97</v>
      </c>
      <c r="G14" s="53" t="s">
        <v>98</v>
      </c>
      <c r="H14" s="54">
        <v>6</v>
      </c>
      <c r="I14" s="54">
        <v>5</v>
      </c>
      <c r="J14" s="54">
        <v>5</v>
      </c>
      <c r="K14" s="57"/>
      <c r="L14" s="58">
        <f t="shared" si="7"/>
        <v>5</v>
      </c>
      <c r="M14" s="58">
        <f t="shared" si="8"/>
        <v>5.333333333333333</v>
      </c>
      <c r="N14" s="58">
        <f t="shared" si="9"/>
        <v>6</v>
      </c>
      <c r="O14" s="59">
        <f t="shared" si="10"/>
        <v>0.12500000000000006</v>
      </c>
      <c r="P14" s="60" t="str">
        <f>IF(O14&gt;基础信息!$F$3,"N","Y")</f>
        <v>Y</v>
      </c>
      <c r="Q14" s="60">
        <f>VLOOKUP(E14&amp;F14,基础信息!$D$11:$E$20,2,0)</f>
        <v>1</v>
      </c>
      <c r="R14" s="58">
        <f t="shared" si="11"/>
        <v>5.333333333333333</v>
      </c>
      <c r="S14" s="72"/>
      <c r="T14" s="58">
        <f t="shared" si="12"/>
        <v>0</v>
      </c>
      <c r="U14" s="58">
        <f t="shared" si="13"/>
        <v>5.333333333333333</v>
      </c>
      <c r="V14" s="135"/>
    </row>
    <row r="15" spans="2:22" ht="27" customHeight="1">
      <c r="B15" s="136">
        <v>11</v>
      </c>
      <c r="C15" s="139" t="s">
        <v>201</v>
      </c>
      <c r="D15" s="139" t="s">
        <v>201</v>
      </c>
      <c r="E15" s="51" t="s">
        <v>97</v>
      </c>
      <c r="F15" s="52" t="s">
        <v>97</v>
      </c>
      <c r="G15" s="53" t="s">
        <v>98</v>
      </c>
      <c r="H15" s="54">
        <v>6</v>
      </c>
      <c r="I15" s="54">
        <v>6</v>
      </c>
      <c r="J15" s="54">
        <v>5</v>
      </c>
      <c r="K15" s="57"/>
      <c r="L15" s="58">
        <f t="shared" si="7"/>
        <v>5</v>
      </c>
      <c r="M15" s="58">
        <f t="shared" si="8"/>
        <v>5.666666666666667</v>
      </c>
      <c r="N15" s="58">
        <f t="shared" si="9"/>
        <v>6</v>
      </c>
      <c r="O15" s="59">
        <f t="shared" si="10"/>
        <v>0.11764705882352945</v>
      </c>
      <c r="P15" s="60" t="str">
        <f>IF(O15&gt;基础信息!$F$3,"N","Y")</f>
        <v>Y</v>
      </c>
      <c r="Q15" s="60">
        <f>VLOOKUP(E15&amp;F15,基础信息!$D$11:$E$20,2,0)</f>
        <v>1</v>
      </c>
      <c r="R15" s="58">
        <f t="shared" si="11"/>
        <v>5.666666666666667</v>
      </c>
      <c r="S15" s="72"/>
      <c r="T15" s="58">
        <f t="shared" si="12"/>
        <v>0</v>
      </c>
      <c r="U15" s="58">
        <f t="shared" si="13"/>
        <v>5.666666666666667</v>
      </c>
      <c r="V15" s="135"/>
    </row>
    <row r="16" spans="2:22" ht="27" customHeight="1">
      <c r="B16" s="136">
        <v>12</v>
      </c>
      <c r="C16" s="139" t="s">
        <v>202</v>
      </c>
      <c r="D16" s="139" t="s">
        <v>202</v>
      </c>
      <c r="E16" s="51" t="s">
        <v>97</v>
      </c>
      <c r="F16" s="52" t="s">
        <v>97</v>
      </c>
      <c r="G16" s="53" t="s">
        <v>98</v>
      </c>
      <c r="H16" s="54">
        <v>6</v>
      </c>
      <c r="I16" s="54">
        <v>6</v>
      </c>
      <c r="J16" s="54">
        <v>5</v>
      </c>
      <c r="K16" s="57"/>
      <c r="L16" s="58">
        <f t="shared" si="7"/>
        <v>5</v>
      </c>
      <c r="M16" s="58">
        <f t="shared" si="8"/>
        <v>5.666666666666667</v>
      </c>
      <c r="N16" s="58">
        <f t="shared" si="9"/>
        <v>6</v>
      </c>
      <c r="O16" s="59">
        <f t="shared" si="10"/>
        <v>0.11764705882352945</v>
      </c>
      <c r="P16" s="60" t="str">
        <f>IF(O16&gt;基础信息!$F$3,"N","Y")</f>
        <v>Y</v>
      </c>
      <c r="Q16" s="60">
        <f>VLOOKUP(E16&amp;F16,基础信息!$D$11:$E$20,2,0)</f>
        <v>1</v>
      </c>
      <c r="R16" s="58">
        <f t="shared" si="11"/>
        <v>5.666666666666667</v>
      </c>
      <c r="S16" s="72"/>
      <c r="T16" s="58">
        <f t="shared" si="12"/>
        <v>0</v>
      </c>
      <c r="U16" s="58">
        <f t="shared" si="13"/>
        <v>5.666666666666667</v>
      </c>
      <c r="V16" s="135"/>
    </row>
    <row r="17" spans="2:22" ht="29.25" customHeight="1">
      <c r="B17" s="136">
        <v>13</v>
      </c>
      <c r="C17" s="139" t="s">
        <v>203</v>
      </c>
      <c r="D17" s="140" t="s">
        <v>204</v>
      </c>
      <c r="E17" s="51" t="s">
        <v>97</v>
      </c>
      <c r="F17" s="52" t="s">
        <v>97</v>
      </c>
      <c r="G17" s="53" t="s">
        <v>98</v>
      </c>
      <c r="H17" s="54">
        <v>0.1</v>
      </c>
      <c r="I17" s="54">
        <v>0.1</v>
      </c>
      <c r="J17" s="54">
        <v>0.1</v>
      </c>
      <c r="K17" s="57"/>
      <c r="L17" s="58">
        <f t="shared" si="0"/>
        <v>0.1</v>
      </c>
      <c r="M17" s="58">
        <f t="shared" si="1"/>
        <v>0.10000000000000002</v>
      </c>
      <c r="N17" s="58">
        <f t="shared" si="2"/>
        <v>0.1</v>
      </c>
      <c r="O17" s="59">
        <f t="shared" si="3"/>
        <v>1.3877787807814454E-16</v>
      </c>
      <c r="P17" s="60" t="str">
        <f>IF(O17&gt;基础信息!$F$3,"N","Y")</f>
        <v>Y</v>
      </c>
      <c r="Q17" s="60">
        <f>VLOOKUP(E17&amp;F17,基础信息!$D$11:$E$20,2,0)</f>
        <v>1</v>
      </c>
      <c r="R17" s="58">
        <f t="shared" si="4"/>
        <v>0.10000000000000002</v>
      </c>
      <c r="S17" s="72"/>
      <c r="T17" s="58">
        <f t="shared" si="5"/>
        <v>0</v>
      </c>
      <c r="U17" s="58">
        <f t="shared" si="6"/>
        <v>0.10000000000000002</v>
      </c>
      <c r="V17" s="62"/>
    </row>
    <row r="18" spans="2:22" ht="27" customHeight="1">
      <c r="B18" s="136">
        <v>14</v>
      </c>
      <c r="C18" s="70" t="s">
        <v>205</v>
      </c>
      <c r="D18" s="70" t="s">
        <v>205</v>
      </c>
      <c r="E18" s="51" t="s">
        <v>97</v>
      </c>
      <c r="F18" s="52" t="s">
        <v>97</v>
      </c>
      <c r="G18" s="53" t="s">
        <v>98</v>
      </c>
      <c r="H18" s="54">
        <v>1</v>
      </c>
      <c r="I18" s="54">
        <v>1</v>
      </c>
      <c r="J18" s="54">
        <v>1</v>
      </c>
      <c r="K18" s="57"/>
      <c r="L18" s="58">
        <f t="shared" si="0"/>
        <v>1</v>
      </c>
      <c r="M18" s="58">
        <f t="shared" si="1"/>
        <v>1</v>
      </c>
      <c r="N18" s="58">
        <f t="shared" si="2"/>
        <v>1</v>
      </c>
      <c r="O18" s="59">
        <f t="shared" si="3"/>
        <v>0</v>
      </c>
      <c r="P18" s="60" t="str">
        <f>IF(O18&gt;基础信息!$F$3,"N","Y")</f>
        <v>Y</v>
      </c>
      <c r="Q18" s="60">
        <f>VLOOKUP(E18&amp;F18,基础信息!$D$11:$E$20,2,0)</f>
        <v>1</v>
      </c>
      <c r="R18" s="58">
        <f t="shared" si="4"/>
        <v>1</v>
      </c>
      <c r="S18" s="72"/>
      <c r="T18" s="58">
        <f t="shared" si="5"/>
        <v>0</v>
      </c>
      <c r="U18" s="58">
        <f t="shared" si="6"/>
        <v>1</v>
      </c>
      <c r="V18" s="62"/>
    </row>
    <row r="19" spans="2:22" ht="27" customHeight="1">
      <c r="B19" s="182" t="s">
        <v>99</v>
      </c>
      <c r="C19" s="182"/>
      <c r="D19" s="55" t="s">
        <v>100</v>
      </c>
      <c r="E19" s="55">
        <f>COUNTIF(E5:E18,"高")</f>
        <v>0</v>
      </c>
      <c r="F19" s="55">
        <f>COUNTIF(F5:F18,"高")</f>
        <v>0</v>
      </c>
      <c r="G19" s="55">
        <f>COUNTIF(G5:G18,"是")</f>
        <v>0</v>
      </c>
      <c r="H19" s="242">
        <f t="shared" ref="H19:N19" si="14">SUM(H5:H18)</f>
        <v>60.1</v>
      </c>
      <c r="I19" s="233">
        <f t="shared" si="14"/>
        <v>56.1</v>
      </c>
      <c r="J19" s="242">
        <f t="shared" si="14"/>
        <v>54.1</v>
      </c>
      <c r="K19" s="242">
        <f t="shared" si="14"/>
        <v>0</v>
      </c>
      <c r="L19" s="242">
        <f t="shared" si="14"/>
        <v>54.1</v>
      </c>
      <c r="M19" s="242">
        <f t="shared" si="14"/>
        <v>56.766666666666666</v>
      </c>
      <c r="N19" s="242">
        <f t="shared" si="14"/>
        <v>60.1</v>
      </c>
      <c r="O19" s="242"/>
      <c r="P19" s="55">
        <f>COUNTIF(P5:P18,"Y")</f>
        <v>14</v>
      </c>
      <c r="Q19" s="242"/>
      <c r="R19" s="242">
        <f>SUM(R5:R18)</f>
        <v>56.766666666666666</v>
      </c>
      <c r="S19" s="233"/>
      <c r="T19" s="242">
        <f>SUM(T5:T18)</f>
        <v>0</v>
      </c>
      <c r="U19" s="242">
        <f>SUM(U5:U18)</f>
        <v>56.766666666666666</v>
      </c>
      <c r="V19" s="219"/>
    </row>
    <row r="20" spans="2:22" ht="27" customHeight="1">
      <c r="B20" s="182"/>
      <c r="C20" s="182"/>
      <c r="D20" s="55" t="s">
        <v>97</v>
      </c>
      <c r="E20" s="55">
        <f>COUNTIF(E5:E18,"中")</f>
        <v>14</v>
      </c>
      <c r="F20" s="55">
        <f>COUNTIF(F5:F18,"中")</f>
        <v>14</v>
      </c>
      <c r="G20" s="55">
        <f>COUNTIF(G5:G18,"否")</f>
        <v>14</v>
      </c>
      <c r="H20" s="242"/>
      <c r="I20" s="234"/>
      <c r="J20" s="242"/>
      <c r="K20" s="242"/>
      <c r="L20" s="242"/>
      <c r="M20" s="242"/>
      <c r="N20" s="242"/>
      <c r="O20" s="242"/>
      <c r="P20" s="55">
        <f>COUNTIF(P5:P18,"N")</f>
        <v>0</v>
      </c>
      <c r="Q20" s="242"/>
      <c r="R20" s="242"/>
      <c r="S20" s="234"/>
      <c r="T20" s="242"/>
      <c r="U20" s="242"/>
      <c r="V20" s="219"/>
    </row>
    <row r="21" spans="2:22" ht="27" customHeight="1">
      <c r="B21" s="182"/>
      <c r="C21" s="182"/>
      <c r="D21" s="55" t="s">
        <v>101</v>
      </c>
      <c r="E21" s="55">
        <f>COUNTIF(E5:E18,"低")</f>
        <v>0</v>
      </c>
      <c r="F21" s="55">
        <f>COUNTIF(F5:F18,"低")</f>
        <v>0</v>
      </c>
      <c r="G21" s="55"/>
      <c r="H21" s="242"/>
      <c r="I21" s="235"/>
      <c r="J21" s="242"/>
      <c r="K21" s="242"/>
      <c r="L21" s="242"/>
      <c r="M21" s="242"/>
      <c r="N21" s="242"/>
      <c r="O21" s="242"/>
      <c r="P21" s="55"/>
      <c r="Q21" s="242"/>
      <c r="R21" s="242"/>
      <c r="S21" s="235"/>
      <c r="T21" s="242"/>
      <c r="U21" s="242"/>
      <c r="V21" s="219"/>
    </row>
  </sheetData>
  <mergeCells count="36">
    <mergeCell ref="B19:C21"/>
    <mergeCell ref="T19:T21"/>
    <mergeCell ref="U3:U4"/>
    <mergeCell ref="U19:U21"/>
    <mergeCell ref="V3:V4"/>
    <mergeCell ref="V19:V21"/>
    <mergeCell ref="Q19:Q21"/>
    <mergeCell ref="R3:R4"/>
    <mergeCell ref="R19:R21"/>
    <mergeCell ref="S3:S4"/>
    <mergeCell ref="S19:S21"/>
    <mergeCell ref="M19:M21"/>
    <mergeCell ref="N3:N4"/>
    <mergeCell ref="N19:N21"/>
    <mergeCell ref="O3:O4"/>
    <mergeCell ref="O19:O21"/>
    <mergeCell ref="H19:H21"/>
    <mergeCell ref="I19:I21"/>
    <mergeCell ref="J19:J21"/>
    <mergeCell ref="K19:K21"/>
    <mergeCell ref="L3:L4"/>
    <mergeCell ref="L19:L21"/>
    <mergeCell ref="C7:C8"/>
    <mergeCell ref="C10:C12"/>
    <mergeCell ref="B1:V1"/>
    <mergeCell ref="H3:K3"/>
    <mergeCell ref="B3:B4"/>
    <mergeCell ref="C3:C4"/>
    <mergeCell ref="D3:D4"/>
    <mergeCell ref="E3:E4"/>
    <mergeCell ref="F3:F4"/>
    <mergeCell ref="G3:G4"/>
    <mergeCell ref="M3:M4"/>
    <mergeCell ref="P3:P4"/>
    <mergeCell ref="Q3:Q4"/>
    <mergeCell ref="T3:T4"/>
  </mergeCells>
  <phoneticPr fontId="25" type="noConversion"/>
  <dataValidations count="4">
    <dataValidation allowBlank="1" showInputMessage="1" showErrorMessage="1" prompt="功能需求项内容=功能需求编号+功能需求内容描述_x000a__x000a_非功能需求项=非功能需求属性+内容描述" sqref="D15:D16 C14:D14 C15:C17"/>
    <dataValidation type="list" allowBlank="1" showInputMessage="1" showErrorMessage="1" sqref="E5:E18">
      <formula1>难易程度</formula1>
    </dataValidation>
    <dataValidation type="list" allowBlank="1" showInputMessage="1" showErrorMessage="1" sqref="F5:F18">
      <formula1>优先级</formula1>
    </dataValidation>
    <dataValidation type="list" allowBlank="1" showInputMessage="1" showErrorMessage="1" sqref="G5:G18">
      <formula1>是否复用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9"/>
  <sheetViews>
    <sheetView workbookViewId="0">
      <pane xSplit="11" ySplit="4" topLeftCell="L5" activePane="bottomRight" state="frozen"/>
      <selection pane="topRight"/>
      <selection pane="bottomLeft"/>
      <selection pane="bottomRight" activeCell="F23" sqref="F23"/>
    </sheetView>
  </sheetViews>
  <sheetFormatPr defaultColWidth="9" defaultRowHeight="13.5"/>
  <cols>
    <col min="1" max="1" width="1.875" style="47" customWidth="1"/>
    <col min="2" max="2" width="5.125" style="47" customWidth="1"/>
    <col min="3" max="3" width="16.375" style="47" customWidth="1"/>
    <col min="4" max="4" width="19.875" style="47" customWidth="1"/>
    <col min="5" max="7" width="9.75" style="47" customWidth="1"/>
    <col min="8" max="8" width="11.25" style="47" customWidth="1"/>
    <col min="9" max="10" width="11.875" style="47" customWidth="1"/>
    <col min="11" max="11" width="12.375" style="47" customWidth="1"/>
    <col min="12" max="12" width="9.75" style="47" customWidth="1"/>
    <col min="13" max="18" width="12.75" style="47" customWidth="1"/>
    <col min="19" max="20" width="9.75" style="47" customWidth="1"/>
    <col min="21" max="21" width="11.875" style="47" customWidth="1"/>
    <col min="22" max="22" width="30.375" style="47" customWidth="1"/>
    <col min="23" max="16384" width="9" style="47"/>
  </cols>
  <sheetData>
    <row r="1" spans="2:23" ht="34.5" customHeight="1">
      <c r="B1" s="227" t="s">
        <v>102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</row>
    <row r="2" spans="2:23" ht="6" customHeight="1"/>
    <row r="3" spans="2:23" s="46" customFormat="1" ht="20.25">
      <c r="B3" s="166" t="s">
        <v>76</v>
      </c>
      <c r="C3" s="166" t="s">
        <v>77</v>
      </c>
      <c r="D3" s="166" t="s">
        <v>78</v>
      </c>
      <c r="E3" s="166" t="s">
        <v>79</v>
      </c>
      <c r="F3" s="166" t="s">
        <v>80</v>
      </c>
      <c r="G3" s="166" t="s">
        <v>81</v>
      </c>
      <c r="H3" s="166" t="s">
        <v>103</v>
      </c>
      <c r="I3" s="166"/>
      <c r="J3" s="166"/>
      <c r="K3" s="166"/>
      <c r="L3" s="166" t="s">
        <v>84</v>
      </c>
      <c r="M3" s="166" t="s">
        <v>85</v>
      </c>
      <c r="N3" s="166" t="s">
        <v>86</v>
      </c>
      <c r="O3" s="166" t="s">
        <v>87</v>
      </c>
      <c r="P3" s="166" t="s">
        <v>88</v>
      </c>
      <c r="Q3" s="166" t="s">
        <v>89</v>
      </c>
      <c r="R3" s="166" t="s">
        <v>90</v>
      </c>
      <c r="S3" s="166" t="s">
        <v>91</v>
      </c>
      <c r="T3" s="166" t="s">
        <v>92</v>
      </c>
      <c r="U3" s="166" t="s">
        <v>93</v>
      </c>
      <c r="V3" s="166" t="s">
        <v>8</v>
      </c>
    </row>
    <row r="4" spans="2:23" s="46" customFormat="1" ht="20.25" customHeight="1">
      <c r="B4" s="166"/>
      <c r="C4" s="166"/>
      <c r="D4" s="166"/>
      <c r="E4" s="166"/>
      <c r="F4" s="166"/>
      <c r="G4" s="166"/>
      <c r="H4" s="48" t="s">
        <v>105</v>
      </c>
      <c r="I4" s="48" t="s">
        <v>104</v>
      </c>
      <c r="J4" s="48" t="s">
        <v>94</v>
      </c>
      <c r="K4" s="48" t="s">
        <v>106</v>
      </c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</row>
    <row r="5" spans="2:23" ht="27" customHeight="1">
      <c r="B5" s="49">
        <v>9</v>
      </c>
      <c r="C5" s="63"/>
      <c r="D5" s="50"/>
      <c r="E5" s="51" t="s">
        <v>97</v>
      </c>
      <c r="F5" s="52" t="s">
        <v>97</v>
      </c>
      <c r="G5" s="53" t="s">
        <v>98</v>
      </c>
      <c r="H5" s="54"/>
      <c r="I5" s="54"/>
      <c r="J5" s="54"/>
      <c r="K5" s="57"/>
      <c r="L5" s="58">
        <f t="shared" ref="L5:L6" si="0">MIN(H5:K5)</f>
        <v>0</v>
      </c>
      <c r="M5" s="58">
        <f t="shared" ref="M5:M6" si="1">IF(AND(ISBLANK(H5),ISBLANK(I5),ISBLANK(J5),ISBLANK(K5)),,AVERAGE(H5:K5))</f>
        <v>0</v>
      </c>
      <c r="N5" s="58">
        <f t="shared" ref="N5:N6" si="2">MAX(H5:K5)</f>
        <v>0</v>
      </c>
      <c r="O5" s="59" t="str">
        <f t="shared" ref="O5:O6" si="3">IF(AND(ISNUMBER(M5),M5&lt;&gt;0),MAX(M5-L5,N5-M5)/M5,"")</f>
        <v/>
      </c>
      <c r="P5" s="60" t="str">
        <f>IF(O5&gt;基础信息!$F$3,"N","Y")</f>
        <v>N</v>
      </c>
      <c r="Q5" s="56">
        <f>VLOOKUP(E5&amp;F5,基础信息!$D$11:$E$20,2,0)</f>
        <v>1</v>
      </c>
      <c r="R5" s="56">
        <f t="shared" ref="R5:R6" si="4">M5*Q5</f>
        <v>0</v>
      </c>
      <c r="S5" s="64">
        <v>0</v>
      </c>
      <c r="T5" s="56">
        <f t="shared" ref="T5:T6" si="5">IF(G5="是",R5*S5,0)</f>
        <v>0</v>
      </c>
      <c r="U5" s="56">
        <f t="shared" ref="U5:U6" si="6">R5-T5</f>
        <v>0</v>
      </c>
      <c r="V5" s="62"/>
      <c r="W5" s="65"/>
    </row>
    <row r="6" spans="2:23" ht="27" customHeight="1">
      <c r="B6" s="49">
        <v>10</v>
      </c>
      <c r="C6" s="63"/>
      <c r="D6" s="50"/>
      <c r="E6" s="51" t="s">
        <v>97</v>
      </c>
      <c r="F6" s="52" t="s">
        <v>97</v>
      </c>
      <c r="G6" s="53" t="s">
        <v>98</v>
      </c>
      <c r="H6" s="54"/>
      <c r="I6" s="54"/>
      <c r="J6" s="54"/>
      <c r="K6" s="57"/>
      <c r="L6" s="58">
        <f t="shared" si="0"/>
        <v>0</v>
      </c>
      <c r="M6" s="58">
        <f t="shared" si="1"/>
        <v>0</v>
      </c>
      <c r="N6" s="58">
        <f t="shared" si="2"/>
        <v>0</v>
      </c>
      <c r="O6" s="59" t="str">
        <f t="shared" si="3"/>
        <v/>
      </c>
      <c r="P6" s="60" t="str">
        <f>IF(O6&gt;基础信息!$F$3,"N","Y")</f>
        <v>N</v>
      </c>
      <c r="Q6" s="56">
        <f>VLOOKUP(E6&amp;F6,基础信息!$D$11:$E$20,2,0)</f>
        <v>1</v>
      </c>
      <c r="R6" s="56">
        <f t="shared" si="4"/>
        <v>0</v>
      </c>
      <c r="S6" s="64">
        <v>0</v>
      </c>
      <c r="T6" s="56">
        <f t="shared" si="5"/>
        <v>0</v>
      </c>
      <c r="U6" s="56">
        <f t="shared" si="6"/>
        <v>0</v>
      </c>
      <c r="V6" s="62"/>
      <c r="W6" s="65"/>
    </row>
    <row r="7" spans="2:23">
      <c r="B7" s="182" t="s">
        <v>99</v>
      </c>
      <c r="C7" s="182"/>
      <c r="D7" s="55" t="s">
        <v>100</v>
      </c>
      <c r="E7" s="55">
        <f>COUNTIF(E5:E6,"高")</f>
        <v>0</v>
      </c>
      <c r="F7" s="55">
        <f>COUNTIF(F5:F6,"高")</f>
        <v>0</v>
      </c>
      <c r="G7" s="55">
        <f>COUNTIF(G5:G6,"是")</f>
        <v>0</v>
      </c>
      <c r="H7" s="242">
        <f t="shared" ref="H7:N7" si="7">SUM(H5:H6)</f>
        <v>0</v>
      </c>
      <c r="I7" s="242">
        <f t="shared" si="7"/>
        <v>0</v>
      </c>
      <c r="J7" s="242">
        <f t="shared" si="7"/>
        <v>0</v>
      </c>
      <c r="K7" s="242">
        <f t="shared" si="7"/>
        <v>0</v>
      </c>
      <c r="L7" s="242">
        <f t="shared" si="7"/>
        <v>0</v>
      </c>
      <c r="M7" s="242">
        <f t="shared" si="7"/>
        <v>0</v>
      </c>
      <c r="N7" s="242">
        <f t="shared" si="7"/>
        <v>0</v>
      </c>
      <c r="O7" s="242"/>
      <c r="P7" s="55">
        <f>COUNTIF(P5:P6,"Y")</f>
        <v>0</v>
      </c>
      <c r="Q7" s="55"/>
      <c r="R7" s="242">
        <f>SUM(R5:R6)</f>
        <v>0</v>
      </c>
      <c r="S7" s="243"/>
      <c r="T7" s="242">
        <f>SUM(T5:T6)</f>
        <v>0</v>
      </c>
      <c r="U7" s="242">
        <f>SUM(U5:U6)</f>
        <v>0</v>
      </c>
      <c r="V7" s="176"/>
    </row>
    <row r="8" spans="2:23">
      <c r="B8" s="182"/>
      <c r="C8" s="182"/>
      <c r="D8" s="55" t="s">
        <v>97</v>
      </c>
      <c r="E8" s="55">
        <f>COUNTIF(E5:E6,"中")</f>
        <v>2</v>
      </c>
      <c r="F8" s="55">
        <f>COUNTIF(F5:F6,"中")</f>
        <v>2</v>
      </c>
      <c r="G8" s="55">
        <f>COUNTIF(G5:G6,"否")</f>
        <v>2</v>
      </c>
      <c r="H8" s="242"/>
      <c r="I8" s="242"/>
      <c r="J8" s="242"/>
      <c r="K8" s="242"/>
      <c r="L8" s="242"/>
      <c r="M8" s="242"/>
      <c r="N8" s="242"/>
      <c r="O8" s="242"/>
      <c r="P8" s="55">
        <f>COUNTIF(P5:P6,"N")</f>
        <v>2</v>
      </c>
      <c r="Q8" s="55"/>
      <c r="R8" s="242"/>
      <c r="S8" s="244"/>
      <c r="T8" s="242"/>
      <c r="U8" s="242"/>
      <c r="V8" s="176"/>
    </row>
    <row r="9" spans="2:23">
      <c r="B9" s="182"/>
      <c r="C9" s="182"/>
      <c r="D9" s="55" t="s">
        <v>101</v>
      </c>
      <c r="E9" s="55">
        <f>COUNTIF(E5:E6,"低")</f>
        <v>0</v>
      </c>
      <c r="F9" s="55">
        <f>COUNTIF(F5:F6,"低")</f>
        <v>0</v>
      </c>
      <c r="G9" s="55"/>
      <c r="H9" s="242"/>
      <c r="I9" s="242"/>
      <c r="J9" s="242"/>
      <c r="K9" s="242"/>
      <c r="L9" s="242"/>
      <c r="M9" s="242"/>
      <c r="N9" s="242"/>
      <c r="O9" s="242"/>
      <c r="P9" s="55"/>
      <c r="Q9" s="55"/>
      <c r="R9" s="242"/>
      <c r="S9" s="245"/>
      <c r="T9" s="242"/>
      <c r="U9" s="242"/>
      <c r="V9" s="176"/>
    </row>
  </sheetData>
  <autoFilter ref="B3:V9"/>
  <mergeCells count="33">
    <mergeCell ref="U7:U9"/>
    <mergeCell ref="V3:V4"/>
    <mergeCell ref="V7:V9"/>
    <mergeCell ref="B7:C9"/>
    <mergeCell ref="R7:R9"/>
    <mergeCell ref="S3:S4"/>
    <mergeCell ref="S7:S9"/>
    <mergeCell ref="T3:T4"/>
    <mergeCell ref="T7:T9"/>
    <mergeCell ref="M7:M9"/>
    <mergeCell ref="N3:N4"/>
    <mergeCell ref="N7:N9"/>
    <mergeCell ref="O3:O4"/>
    <mergeCell ref="O7:O9"/>
    <mergeCell ref="H7:H9"/>
    <mergeCell ref="I7:I9"/>
    <mergeCell ref="J7:J9"/>
    <mergeCell ref="K7:K9"/>
    <mergeCell ref="L3:L4"/>
    <mergeCell ref="L7:L9"/>
    <mergeCell ref="D3:D4"/>
    <mergeCell ref="E3:E4"/>
    <mergeCell ref="F3:F4"/>
    <mergeCell ref="B1:V1"/>
    <mergeCell ref="H3:K3"/>
    <mergeCell ref="B3:B4"/>
    <mergeCell ref="C3:C4"/>
    <mergeCell ref="G3:G4"/>
    <mergeCell ref="M3:M4"/>
    <mergeCell ref="P3:P4"/>
    <mergeCell ref="Q3:Q4"/>
    <mergeCell ref="R3:R4"/>
    <mergeCell ref="U3:U4"/>
  </mergeCells>
  <phoneticPr fontId="25" type="noConversion"/>
  <dataValidations count="4">
    <dataValidation allowBlank="1" showInputMessage="1" showErrorMessage="1" prompt="功能需求项内容=功能需求编号+功能需求内容描述_x000a__x000a_非功能需求项=非功能需求属性+内容描述" sqref="D5:D6"/>
    <dataValidation type="list" allowBlank="1" showInputMessage="1" showErrorMessage="1" sqref="E5:E6">
      <formula1>难易程度</formula1>
    </dataValidation>
    <dataValidation type="list" allowBlank="1" showInputMessage="1" showErrorMessage="1" sqref="F5:F6">
      <formula1>优先级</formula1>
    </dataValidation>
    <dataValidation type="list" allowBlank="1" showInputMessage="1" showErrorMessage="1" sqref="G5:G6">
      <formula1>是否复用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2"/>
  <sheetViews>
    <sheetView workbookViewId="0">
      <pane xSplit="11" ySplit="4" topLeftCell="O23" activePane="bottomRight" state="frozen"/>
      <selection pane="topRight"/>
      <selection pane="bottomLeft"/>
      <selection pane="bottomRight" activeCell="C38" sqref="C38:C39"/>
    </sheetView>
  </sheetViews>
  <sheetFormatPr defaultColWidth="9" defaultRowHeight="13.5"/>
  <cols>
    <col min="1" max="1" width="1.875" style="47" customWidth="1"/>
    <col min="2" max="2" width="5.125" style="47" customWidth="1"/>
    <col min="3" max="3" width="32.125" style="47" customWidth="1"/>
    <col min="4" max="4" width="13.875" style="47" customWidth="1"/>
    <col min="5" max="7" width="9.75" style="47" customWidth="1"/>
    <col min="8" max="8" width="11.25" style="47" customWidth="1"/>
    <col min="9" max="10" width="11.875" style="47" customWidth="1"/>
    <col min="11" max="11" width="11.25" style="47" customWidth="1"/>
    <col min="12" max="12" width="9.75" style="47" customWidth="1"/>
    <col min="13" max="18" width="12.75" style="47" customWidth="1"/>
    <col min="19" max="20" width="9.75" style="47" customWidth="1"/>
    <col min="21" max="21" width="11.875" style="47" customWidth="1"/>
    <col min="22" max="22" width="30.375" style="47" customWidth="1"/>
    <col min="23" max="16384" width="9" style="47"/>
  </cols>
  <sheetData>
    <row r="1" spans="2:22" ht="34.5" customHeight="1">
      <c r="B1" s="227" t="s">
        <v>102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</row>
    <row r="2" spans="2:22" ht="6" customHeight="1"/>
    <row r="3" spans="2:22" s="46" customFormat="1" ht="20.25">
      <c r="B3" s="166" t="s">
        <v>76</v>
      </c>
      <c r="C3" s="166" t="s">
        <v>77</v>
      </c>
      <c r="D3" s="166" t="s">
        <v>78</v>
      </c>
      <c r="E3" s="166" t="s">
        <v>79</v>
      </c>
      <c r="F3" s="166" t="s">
        <v>80</v>
      </c>
      <c r="G3" s="166" t="s">
        <v>81</v>
      </c>
      <c r="H3" s="166" t="s">
        <v>185</v>
      </c>
      <c r="I3" s="166"/>
      <c r="J3" s="166"/>
      <c r="K3" s="166"/>
      <c r="L3" s="166" t="s">
        <v>84</v>
      </c>
      <c r="M3" s="166" t="s">
        <v>85</v>
      </c>
      <c r="N3" s="166" t="s">
        <v>86</v>
      </c>
      <c r="O3" s="166" t="s">
        <v>87</v>
      </c>
      <c r="P3" s="166" t="s">
        <v>88</v>
      </c>
      <c r="Q3" s="166" t="s">
        <v>89</v>
      </c>
      <c r="R3" s="166" t="s">
        <v>90</v>
      </c>
      <c r="S3" s="166" t="s">
        <v>91</v>
      </c>
      <c r="T3" s="166" t="s">
        <v>92</v>
      </c>
      <c r="U3" s="166" t="s">
        <v>93</v>
      </c>
      <c r="V3" s="166" t="s">
        <v>8</v>
      </c>
    </row>
    <row r="4" spans="2:22" s="46" customFormat="1" ht="20.25" customHeight="1">
      <c r="B4" s="166"/>
      <c r="C4" s="166"/>
      <c r="D4" s="166"/>
      <c r="E4" s="166"/>
      <c r="F4" s="166"/>
      <c r="G4" s="166"/>
      <c r="H4" s="48" t="s">
        <v>181</v>
      </c>
      <c r="I4" s="48" t="s">
        <v>182</v>
      </c>
      <c r="J4" s="48" t="s">
        <v>183</v>
      </c>
      <c r="K4" s="48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</row>
    <row r="5" spans="2:22" ht="27" customHeight="1">
      <c r="B5" s="134">
        <v>1</v>
      </c>
      <c r="C5" s="142" t="s">
        <v>214</v>
      </c>
      <c r="D5" s="141" t="s">
        <v>206</v>
      </c>
      <c r="E5" s="51" t="s">
        <v>97</v>
      </c>
      <c r="F5" s="52" t="s">
        <v>97</v>
      </c>
      <c r="G5" s="53" t="s">
        <v>98</v>
      </c>
      <c r="H5" s="54">
        <v>1.2</v>
      </c>
      <c r="I5" s="54">
        <v>1</v>
      </c>
      <c r="J5" s="54">
        <v>0.8</v>
      </c>
      <c r="K5" s="57"/>
      <c r="L5" s="58">
        <f t="shared" ref="L5:L33" si="0">MIN(H5:K5)</f>
        <v>0.8</v>
      </c>
      <c r="M5" s="58">
        <f t="shared" ref="M5:M33" si="1">IF(AND(ISBLANK(H5),ISBLANK(I5),ISBLANK(J5),ISBLANK(K5)),,AVERAGE(H5:K5))</f>
        <v>1</v>
      </c>
      <c r="N5" s="58">
        <f t="shared" ref="N5:N33" si="2">MAX(H5:K5)</f>
        <v>1.2</v>
      </c>
      <c r="O5" s="59">
        <f t="shared" ref="O5:O33" si="3">IF(AND(ISNUMBER(M5),M5&lt;&gt;0),MAX(M5-L5,N5-M5)/M5,"")</f>
        <v>0.19999999999999996</v>
      </c>
      <c r="P5" s="60" t="str">
        <f>IF(O5&gt;基础信息!$F$3,"N","Y")</f>
        <v>Y</v>
      </c>
      <c r="Q5" s="60">
        <f>VLOOKUP(E5&amp;F5,基础信息!$D$11:$E$20,2,0)</f>
        <v>1</v>
      </c>
      <c r="R5" s="58">
        <f t="shared" ref="R5:R33" si="4">M5*Q5</f>
        <v>1</v>
      </c>
      <c r="S5" s="61">
        <v>0</v>
      </c>
      <c r="T5" s="58">
        <f t="shared" ref="T5:T33" si="5">IF(G5="是",R5*S5,0)</f>
        <v>0</v>
      </c>
      <c r="U5" s="58">
        <f t="shared" ref="U5:U33" si="6">R5-T5</f>
        <v>1</v>
      </c>
      <c r="V5" s="133"/>
    </row>
    <row r="6" spans="2:22" ht="27" customHeight="1">
      <c r="B6" s="137">
        <v>2</v>
      </c>
      <c r="C6" s="264" t="s">
        <v>215</v>
      </c>
      <c r="D6" s="141" t="s">
        <v>207</v>
      </c>
      <c r="E6" s="51" t="s">
        <v>97</v>
      </c>
      <c r="F6" s="52" t="s">
        <v>97</v>
      </c>
      <c r="G6" s="53" t="s">
        <v>98</v>
      </c>
      <c r="H6" s="54">
        <v>0.6</v>
      </c>
      <c r="I6" s="54">
        <v>0.5</v>
      </c>
      <c r="J6" s="54">
        <v>0.4</v>
      </c>
      <c r="K6" s="57"/>
      <c r="L6" s="58">
        <f t="shared" si="0"/>
        <v>0.4</v>
      </c>
      <c r="M6" s="58">
        <f t="shared" si="1"/>
        <v>0.5</v>
      </c>
      <c r="N6" s="58">
        <f t="shared" si="2"/>
        <v>0.6</v>
      </c>
      <c r="O6" s="59">
        <f t="shared" si="3"/>
        <v>0.19999999999999996</v>
      </c>
      <c r="P6" s="60" t="str">
        <f>IF(O6&gt;基础信息!$F$3,"N","Y")</f>
        <v>Y</v>
      </c>
      <c r="Q6" s="60">
        <f>VLOOKUP(E6&amp;F6,基础信息!$D$11:$E$20,2,0)</f>
        <v>1</v>
      </c>
      <c r="R6" s="58">
        <f t="shared" si="4"/>
        <v>0.5</v>
      </c>
      <c r="S6" s="61">
        <v>0</v>
      </c>
      <c r="T6" s="58">
        <f t="shared" si="5"/>
        <v>0</v>
      </c>
      <c r="U6" s="58">
        <f t="shared" si="6"/>
        <v>0.5</v>
      </c>
      <c r="V6" s="133"/>
    </row>
    <row r="7" spans="2:22" ht="27" customHeight="1">
      <c r="B7" s="137">
        <v>3</v>
      </c>
      <c r="C7" s="265"/>
      <c r="D7" s="141" t="s">
        <v>208</v>
      </c>
      <c r="E7" s="51" t="s">
        <v>97</v>
      </c>
      <c r="F7" s="52" t="s">
        <v>97</v>
      </c>
      <c r="G7" s="53" t="s">
        <v>98</v>
      </c>
      <c r="H7" s="54">
        <v>1.5</v>
      </c>
      <c r="I7" s="54">
        <v>1.2</v>
      </c>
      <c r="J7" s="54">
        <v>0.9</v>
      </c>
      <c r="K7" s="57"/>
      <c r="L7" s="58">
        <f t="shared" si="0"/>
        <v>0.9</v>
      </c>
      <c r="M7" s="58">
        <f t="shared" si="1"/>
        <v>1.2</v>
      </c>
      <c r="N7" s="58">
        <f t="shared" si="2"/>
        <v>1.5</v>
      </c>
      <c r="O7" s="59">
        <f t="shared" si="3"/>
        <v>0.25000000000000006</v>
      </c>
      <c r="P7" s="60" t="str">
        <f>IF(O7&gt;基础信息!$F$3,"N","Y")</f>
        <v>Y</v>
      </c>
      <c r="Q7" s="60">
        <f>VLOOKUP(E7&amp;F7,基础信息!$D$11:$E$20,2,0)</f>
        <v>1</v>
      </c>
      <c r="R7" s="58">
        <f t="shared" si="4"/>
        <v>1.2</v>
      </c>
      <c r="S7" s="61">
        <v>0</v>
      </c>
      <c r="T7" s="58">
        <f t="shared" si="5"/>
        <v>0</v>
      </c>
      <c r="U7" s="58">
        <f t="shared" si="6"/>
        <v>1.2</v>
      </c>
      <c r="V7" s="133"/>
    </row>
    <row r="8" spans="2:22" ht="27" customHeight="1">
      <c r="B8" s="137">
        <v>4</v>
      </c>
      <c r="C8" s="142" t="s">
        <v>216</v>
      </c>
      <c r="D8" s="141" t="s">
        <v>206</v>
      </c>
      <c r="E8" s="51" t="s">
        <v>97</v>
      </c>
      <c r="F8" s="52" t="s">
        <v>97</v>
      </c>
      <c r="G8" s="53" t="s">
        <v>98</v>
      </c>
      <c r="H8" s="54">
        <v>1.2</v>
      </c>
      <c r="I8" s="54">
        <v>1</v>
      </c>
      <c r="J8" s="54">
        <v>0.8</v>
      </c>
      <c r="K8" s="57"/>
      <c r="L8" s="58">
        <f t="shared" si="0"/>
        <v>0.8</v>
      </c>
      <c r="M8" s="58">
        <f t="shared" si="1"/>
        <v>1</v>
      </c>
      <c r="N8" s="58">
        <f t="shared" si="2"/>
        <v>1.2</v>
      </c>
      <c r="O8" s="59">
        <f t="shared" si="3"/>
        <v>0.19999999999999996</v>
      </c>
      <c r="P8" s="60" t="str">
        <f>IF(O8&gt;基础信息!$F$3,"N","Y")</f>
        <v>Y</v>
      </c>
      <c r="Q8" s="60">
        <f>VLOOKUP(E8&amp;F8,基础信息!$D$11:$E$20,2,0)</f>
        <v>1</v>
      </c>
      <c r="R8" s="58">
        <f t="shared" si="4"/>
        <v>1</v>
      </c>
      <c r="S8" s="61">
        <v>0</v>
      </c>
      <c r="T8" s="58">
        <f t="shared" si="5"/>
        <v>0</v>
      </c>
      <c r="U8" s="58">
        <f t="shared" si="6"/>
        <v>1</v>
      </c>
      <c r="V8" s="133"/>
    </row>
    <row r="9" spans="2:22" ht="27" customHeight="1">
      <c r="B9" s="137">
        <v>5</v>
      </c>
      <c r="C9" s="142" t="s">
        <v>217</v>
      </c>
      <c r="D9" s="141" t="s">
        <v>207</v>
      </c>
      <c r="E9" s="51" t="s">
        <v>97</v>
      </c>
      <c r="F9" s="52" t="s">
        <v>97</v>
      </c>
      <c r="G9" s="53" t="s">
        <v>98</v>
      </c>
      <c r="H9" s="54">
        <v>0.6</v>
      </c>
      <c r="I9" s="54">
        <v>0.5</v>
      </c>
      <c r="J9" s="54">
        <v>0.4</v>
      </c>
      <c r="K9" s="57"/>
      <c r="L9" s="58">
        <f t="shared" si="0"/>
        <v>0.4</v>
      </c>
      <c r="M9" s="58">
        <f t="shared" si="1"/>
        <v>0.5</v>
      </c>
      <c r="N9" s="58">
        <f t="shared" si="2"/>
        <v>0.6</v>
      </c>
      <c r="O9" s="59">
        <f t="shared" si="3"/>
        <v>0.19999999999999996</v>
      </c>
      <c r="P9" s="60" t="str">
        <f>IF(O9&gt;基础信息!$F$3,"N","Y")</f>
        <v>Y</v>
      </c>
      <c r="Q9" s="60">
        <f>VLOOKUP(E9&amp;F9,基础信息!$D$11:$E$20,2,0)</f>
        <v>1</v>
      </c>
      <c r="R9" s="58">
        <f t="shared" si="4"/>
        <v>0.5</v>
      </c>
      <c r="S9" s="61">
        <v>0</v>
      </c>
      <c r="T9" s="58">
        <f t="shared" si="5"/>
        <v>0</v>
      </c>
      <c r="U9" s="58">
        <f t="shared" si="6"/>
        <v>0.5</v>
      </c>
      <c r="V9" s="133"/>
    </row>
    <row r="10" spans="2:22" ht="27" customHeight="1">
      <c r="B10" s="137">
        <v>6</v>
      </c>
      <c r="C10" s="142" t="s">
        <v>218</v>
      </c>
      <c r="D10" s="141" t="s">
        <v>206</v>
      </c>
      <c r="E10" s="51" t="s">
        <v>97</v>
      </c>
      <c r="F10" s="52" t="s">
        <v>97</v>
      </c>
      <c r="G10" s="53" t="s">
        <v>98</v>
      </c>
      <c r="H10" s="54">
        <v>1.4</v>
      </c>
      <c r="I10" s="54">
        <v>1.2</v>
      </c>
      <c r="J10" s="54">
        <v>1</v>
      </c>
      <c r="K10" s="57"/>
      <c r="L10" s="58">
        <f t="shared" si="0"/>
        <v>1</v>
      </c>
      <c r="M10" s="58">
        <f t="shared" si="1"/>
        <v>1.2</v>
      </c>
      <c r="N10" s="58">
        <f t="shared" si="2"/>
        <v>1.4</v>
      </c>
      <c r="O10" s="59">
        <f t="shared" si="3"/>
        <v>0.16666666666666663</v>
      </c>
      <c r="P10" s="60" t="str">
        <f>IF(O10&gt;基础信息!$F$3,"N","Y")</f>
        <v>Y</v>
      </c>
      <c r="Q10" s="60">
        <f>VLOOKUP(E10&amp;F10,基础信息!$D$11:$E$20,2,0)</f>
        <v>1</v>
      </c>
      <c r="R10" s="58">
        <f t="shared" si="4"/>
        <v>1.2</v>
      </c>
      <c r="S10" s="61">
        <v>0</v>
      </c>
      <c r="T10" s="58">
        <f t="shared" si="5"/>
        <v>0</v>
      </c>
      <c r="U10" s="58">
        <f t="shared" si="6"/>
        <v>1.2</v>
      </c>
      <c r="V10" s="133"/>
    </row>
    <row r="11" spans="2:22" ht="27" customHeight="1">
      <c r="B11" s="137">
        <v>7</v>
      </c>
      <c r="C11" s="264" t="s">
        <v>219</v>
      </c>
      <c r="D11" s="141" t="s">
        <v>207</v>
      </c>
      <c r="E11" s="51" t="s">
        <v>97</v>
      </c>
      <c r="F11" s="52" t="s">
        <v>97</v>
      </c>
      <c r="G11" s="53" t="s">
        <v>98</v>
      </c>
      <c r="H11" s="54">
        <v>0.6</v>
      </c>
      <c r="I11" s="54">
        <v>0.5</v>
      </c>
      <c r="J11" s="54">
        <v>0.4</v>
      </c>
      <c r="K11" s="57"/>
      <c r="L11" s="58">
        <f t="shared" ref="L11:L31" si="7">MIN(H11:K11)</f>
        <v>0.4</v>
      </c>
      <c r="M11" s="58">
        <f t="shared" ref="M11:M31" si="8">IF(AND(ISBLANK(H11),ISBLANK(I11),ISBLANK(J11),ISBLANK(K11)),,AVERAGE(H11:K11))</f>
        <v>0.5</v>
      </c>
      <c r="N11" s="58">
        <f t="shared" ref="N11:N31" si="9">MAX(H11:K11)</f>
        <v>0.6</v>
      </c>
      <c r="O11" s="59">
        <f t="shared" ref="O11:O31" si="10">IF(AND(ISNUMBER(M11),M11&lt;&gt;0),MAX(M11-L11,N11-M11)/M11,"")</f>
        <v>0.19999999999999996</v>
      </c>
      <c r="P11" s="60" t="str">
        <f>IF(O11&gt;基础信息!$F$3,"N","Y")</f>
        <v>Y</v>
      </c>
      <c r="Q11" s="60">
        <f>VLOOKUP(E11&amp;F11,基础信息!$D$11:$E$20,2,0)</f>
        <v>1</v>
      </c>
      <c r="R11" s="58">
        <f t="shared" ref="R11:R31" si="11">M11*Q11</f>
        <v>0.5</v>
      </c>
      <c r="S11" s="61">
        <v>0</v>
      </c>
      <c r="T11" s="58">
        <f t="shared" ref="T11:T31" si="12">IF(G11="是",R11*S11,0)</f>
        <v>0</v>
      </c>
      <c r="U11" s="58">
        <f t="shared" ref="U11:U31" si="13">R11-T11</f>
        <v>0.5</v>
      </c>
      <c r="V11" s="135"/>
    </row>
    <row r="12" spans="2:22" ht="27" customHeight="1">
      <c r="B12" s="137">
        <v>8</v>
      </c>
      <c r="C12" s="265"/>
      <c r="D12" s="141" t="s">
        <v>208</v>
      </c>
      <c r="E12" s="51" t="s">
        <v>97</v>
      </c>
      <c r="F12" s="52" t="s">
        <v>97</v>
      </c>
      <c r="G12" s="53" t="s">
        <v>98</v>
      </c>
      <c r="H12" s="54">
        <v>1.4</v>
      </c>
      <c r="I12" s="54">
        <v>1.2</v>
      </c>
      <c r="J12" s="54">
        <v>1</v>
      </c>
      <c r="K12" s="57"/>
      <c r="L12" s="58">
        <f t="shared" si="7"/>
        <v>1</v>
      </c>
      <c r="M12" s="58">
        <f t="shared" si="8"/>
        <v>1.2</v>
      </c>
      <c r="N12" s="58">
        <f t="shared" si="9"/>
        <v>1.4</v>
      </c>
      <c r="O12" s="59">
        <f t="shared" si="10"/>
        <v>0.16666666666666663</v>
      </c>
      <c r="P12" s="60" t="str">
        <f>IF(O12&gt;基础信息!$F$3,"N","Y")</f>
        <v>Y</v>
      </c>
      <c r="Q12" s="60">
        <f>VLOOKUP(E12&amp;F12,基础信息!$D$11:$E$20,2,0)</f>
        <v>1</v>
      </c>
      <c r="R12" s="58">
        <f t="shared" si="11"/>
        <v>1.2</v>
      </c>
      <c r="S12" s="61">
        <v>0</v>
      </c>
      <c r="T12" s="58">
        <f t="shared" si="12"/>
        <v>0</v>
      </c>
      <c r="U12" s="58">
        <f t="shared" si="13"/>
        <v>1.2</v>
      </c>
      <c r="V12" s="135"/>
    </row>
    <row r="13" spans="2:22" ht="27" customHeight="1">
      <c r="B13" s="137">
        <v>9</v>
      </c>
      <c r="C13" s="264" t="s">
        <v>220</v>
      </c>
      <c r="D13" s="141" t="s">
        <v>207</v>
      </c>
      <c r="E13" s="51" t="s">
        <v>97</v>
      </c>
      <c r="F13" s="52" t="s">
        <v>97</v>
      </c>
      <c r="G13" s="53" t="s">
        <v>98</v>
      </c>
      <c r="H13" s="54">
        <v>0.8</v>
      </c>
      <c r="I13" s="54">
        <v>0.7</v>
      </c>
      <c r="J13" s="54">
        <v>0.6</v>
      </c>
      <c r="K13" s="57"/>
      <c r="L13" s="58">
        <f t="shared" si="7"/>
        <v>0.6</v>
      </c>
      <c r="M13" s="58">
        <f t="shared" si="8"/>
        <v>0.70000000000000007</v>
      </c>
      <c r="N13" s="58">
        <f t="shared" si="9"/>
        <v>0.8</v>
      </c>
      <c r="O13" s="59">
        <f t="shared" si="10"/>
        <v>0.14285714285714296</v>
      </c>
      <c r="P13" s="60" t="str">
        <f>IF(O13&gt;基础信息!$F$3,"N","Y")</f>
        <v>Y</v>
      </c>
      <c r="Q13" s="60">
        <f>VLOOKUP(E13&amp;F13,基础信息!$D$11:$E$20,2,0)</f>
        <v>1</v>
      </c>
      <c r="R13" s="58">
        <f t="shared" si="11"/>
        <v>0.70000000000000007</v>
      </c>
      <c r="S13" s="61">
        <v>0</v>
      </c>
      <c r="T13" s="58">
        <f t="shared" si="12"/>
        <v>0</v>
      </c>
      <c r="U13" s="58">
        <f t="shared" si="13"/>
        <v>0.70000000000000007</v>
      </c>
      <c r="V13" s="135"/>
    </row>
    <row r="14" spans="2:22" ht="27" customHeight="1">
      <c r="B14" s="137">
        <v>10</v>
      </c>
      <c r="C14" s="265"/>
      <c r="D14" s="141" t="s">
        <v>208</v>
      </c>
      <c r="E14" s="51" t="s">
        <v>97</v>
      </c>
      <c r="F14" s="52" t="s">
        <v>97</v>
      </c>
      <c r="G14" s="53" t="s">
        <v>98</v>
      </c>
      <c r="H14" s="54">
        <v>1.8</v>
      </c>
      <c r="I14" s="54">
        <v>1.5</v>
      </c>
      <c r="J14" s="54">
        <v>1.2</v>
      </c>
      <c r="K14" s="57"/>
      <c r="L14" s="58">
        <f t="shared" si="7"/>
        <v>1.2</v>
      </c>
      <c r="M14" s="58">
        <f t="shared" si="8"/>
        <v>1.5</v>
      </c>
      <c r="N14" s="58">
        <f t="shared" si="9"/>
        <v>1.8</v>
      </c>
      <c r="O14" s="59">
        <f t="shared" si="10"/>
        <v>0.20000000000000004</v>
      </c>
      <c r="P14" s="60" t="str">
        <f>IF(O14&gt;基础信息!$F$3,"N","Y")</f>
        <v>Y</v>
      </c>
      <c r="Q14" s="60">
        <f>VLOOKUP(E14&amp;F14,基础信息!$D$11:$E$20,2,0)</f>
        <v>1</v>
      </c>
      <c r="R14" s="58">
        <f t="shared" si="11"/>
        <v>1.5</v>
      </c>
      <c r="S14" s="61">
        <v>0</v>
      </c>
      <c r="T14" s="58">
        <f t="shared" si="12"/>
        <v>0</v>
      </c>
      <c r="U14" s="58">
        <f t="shared" si="13"/>
        <v>1.5</v>
      </c>
      <c r="V14" s="135"/>
    </row>
    <row r="15" spans="2:22" ht="27" customHeight="1">
      <c r="B15" s="137">
        <v>11</v>
      </c>
      <c r="C15" s="264" t="s">
        <v>221</v>
      </c>
      <c r="D15" s="141" t="s">
        <v>207</v>
      </c>
      <c r="E15" s="51" t="s">
        <v>97</v>
      </c>
      <c r="F15" s="52" t="s">
        <v>97</v>
      </c>
      <c r="G15" s="53" t="s">
        <v>98</v>
      </c>
      <c r="H15" s="54">
        <v>0.6</v>
      </c>
      <c r="I15" s="54">
        <v>0.5</v>
      </c>
      <c r="J15" s="54">
        <v>0.4</v>
      </c>
      <c r="K15" s="57"/>
      <c r="L15" s="58">
        <f t="shared" si="7"/>
        <v>0.4</v>
      </c>
      <c r="M15" s="58">
        <f t="shared" si="8"/>
        <v>0.5</v>
      </c>
      <c r="N15" s="58">
        <f t="shared" si="9"/>
        <v>0.6</v>
      </c>
      <c r="O15" s="59">
        <f t="shared" si="10"/>
        <v>0.19999999999999996</v>
      </c>
      <c r="P15" s="60" t="str">
        <f>IF(O15&gt;基础信息!$F$3,"N","Y")</f>
        <v>Y</v>
      </c>
      <c r="Q15" s="60">
        <f>VLOOKUP(E15&amp;F15,基础信息!$D$11:$E$20,2,0)</f>
        <v>1</v>
      </c>
      <c r="R15" s="58">
        <f t="shared" si="11"/>
        <v>0.5</v>
      </c>
      <c r="S15" s="61">
        <v>0</v>
      </c>
      <c r="T15" s="58">
        <f t="shared" si="12"/>
        <v>0</v>
      </c>
      <c r="U15" s="58">
        <f t="shared" si="13"/>
        <v>0.5</v>
      </c>
      <c r="V15" s="135"/>
    </row>
    <row r="16" spans="2:22" ht="27" customHeight="1">
      <c r="B16" s="137">
        <v>12</v>
      </c>
      <c r="C16" s="265"/>
      <c r="D16" s="141" t="s">
        <v>206</v>
      </c>
      <c r="E16" s="51" t="s">
        <v>97</v>
      </c>
      <c r="F16" s="52" t="s">
        <v>97</v>
      </c>
      <c r="G16" s="53" t="s">
        <v>98</v>
      </c>
      <c r="H16" s="54">
        <v>1.4</v>
      </c>
      <c r="I16" s="54">
        <v>1.2</v>
      </c>
      <c r="J16" s="54">
        <v>1</v>
      </c>
      <c r="K16" s="57"/>
      <c r="L16" s="58">
        <f t="shared" si="7"/>
        <v>1</v>
      </c>
      <c r="M16" s="58">
        <f t="shared" si="8"/>
        <v>1.2</v>
      </c>
      <c r="N16" s="58">
        <f t="shared" si="9"/>
        <v>1.4</v>
      </c>
      <c r="O16" s="59">
        <f t="shared" si="10"/>
        <v>0.16666666666666663</v>
      </c>
      <c r="P16" s="60" t="str">
        <f>IF(O16&gt;基础信息!$F$3,"N","Y")</f>
        <v>Y</v>
      </c>
      <c r="Q16" s="60">
        <f>VLOOKUP(E16&amp;F16,基础信息!$D$11:$E$20,2,0)</f>
        <v>1</v>
      </c>
      <c r="R16" s="58">
        <f t="shared" si="11"/>
        <v>1.2</v>
      </c>
      <c r="S16" s="61">
        <v>0</v>
      </c>
      <c r="T16" s="58">
        <f t="shared" si="12"/>
        <v>0</v>
      </c>
      <c r="U16" s="58">
        <f t="shared" si="13"/>
        <v>1.2</v>
      </c>
      <c r="V16" s="135"/>
    </row>
    <row r="17" spans="2:22" ht="27" customHeight="1">
      <c r="B17" s="137">
        <v>13</v>
      </c>
      <c r="C17" s="264" t="s">
        <v>222</v>
      </c>
      <c r="D17" s="141" t="s">
        <v>207</v>
      </c>
      <c r="E17" s="51" t="s">
        <v>97</v>
      </c>
      <c r="F17" s="52" t="s">
        <v>97</v>
      </c>
      <c r="G17" s="53" t="s">
        <v>98</v>
      </c>
      <c r="H17" s="54">
        <v>0.6</v>
      </c>
      <c r="I17" s="54">
        <v>0.5</v>
      </c>
      <c r="J17" s="54">
        <v>0.4</v>
      </c>
      <c r="K17" s="57"/>
      <c r="L17" s="58">
        <f t="shared" si="7"/>
        <v>0.4</v>
      </c>
      <c r="M17" s="58">
        <f t="shared" si="8"/>
        <v>0.5</v>
      </c>
      <c r="N17" s="58">
        <f t="shared" si="9"/>
        <v>0.6</v>
      </c>
      <c r="O17" s="59">
        <f t="shared" si="10"/>
        <v>0.19999999999999996</v>
      </c>
      <c r="P17" s="60" t="str">
        <f>IF(O17&gt;基础信息!$F$3,"N","Y")</f>
        <v>Y</v>
      </c>
      <c r="Q17" s="60">
        <f>VLOOKUP(E17&amp;F17,基础信息!$D$11:$E$20,2,0)</f>
        <v>1</v>
      </c>
      <c r="R17" s="58">
        <f t="shared" si="11"/>
        <v>0.5</v>
      </c>
      <c r="S17" s="61">
        <v>0</v>
      </c>
      <c r="T17" s="58">
        <f t="shared" si="12"/>
        <v>0</v>
      </c>
      <c r="U17" s="58">
        <f t="shared" si="13"/>
        <v>0.5</v>
      </c>
      <c r="V17" s="135"/>
    </row>
    <row r="18" spans="2:22" ht="27" customHeight="1">
      <c r="B18" s="137">
        <v>14</v>
      </c>
      <c r="C18" s="265"/>
      <c r="D18" s="141" t="s">
        <v>208</v>
      </c>
      <c r="E18" s="51" t="s">
        <v>97</v>
      </c>
      <c r="F18" s="52" t="s">
        <v>97</v>
      </c>
      <c r="G18" s="53" t="s">
        <v>98</v>
      </c>
      <c r="H18" s="54">
        <v>1.4</v>
      </c>
      <c r="I18" s="54">
        <v>1.2</v>
      </c>
      <c r="J18" s="54">
        <v>1</v>
      </c>
      <c r="K18" s="57"/>
      <c r="L18" s="58">
        <f t="shared" si="7"/>
        <v>1</v>
      </c>
      <c r="M18" s="58">
        <f t="shared" si="8"/>
        <v>1.2</v>
      </c>
      <c r="N18" s="58">
        <f t="shared" si="9"/>
        <v>1.4</v>
      </c>
      <c r="O18" s="59">
        <f t="shared" si="10"/>
        <v>0.16666666666666663</v>
      </c>
      <c r="P18" s="60" t="str">
        <f>IF(O18&gt;基础信息!$F$3,"N","Y")</f>
        <v>Y</v>
      </c>
      <c r="Q18" s="60">
        <f>VLOOKUP(E18&amp;F18,基础信息!$D$11:$E$20,2,0)</f>
        <v>1</v>
      </c>
      <c r="R18" s="58">
        <f t="shared" si="11"/>
        <v>1.2</v>
      </c>
      <c r="S18" s="61">
        <v>0</v>
      </c>
      <c r="T18" s="58">
        <f t="shared" si="12"/>
        <v>0</v>
      </c>
      <c r="U18" s="58">
        <f t="shared" si="13"/>
        <v>1.2</v>
      </c>
      <c r="V18" s="135"/>
    </row>
    <row r="19" spans="2:22" ht="27" customHeight="1">
      <c r="B19" s="137">
        <v>15</v>
      </c>
      <c r="C19" s="142" t="s">
        <v>223</v>
      </c>
      <c r="D19" s="141" t="s">
        <v>209</v>
      </c>
      <c r="E19" s="51" t="s">
        <v>97</v>
      </c>
      <c r="F19" s="52" t="s">
        <v>97</v>
      </c>
      <c r="G19" s="53" t="s">
        <v>98</v>
      </c>
      <c r="H19" s="54">
        <v>1.2</v>
      </c>
      <c r="I19" s="54">
        <v>1</v>
      </c>
      <c r="J19" s="54">
        <v>0.8</v>
      </c>
      <c r="K19" s="57"/>
      <c r="L19" s="58">
        <f t="shared" si="7"/>
        <v>0.8</v>
      </c>
      <c r="M19" s="58">
        <f t="shared" si="8"/>
        <v>1</v>
      </c>
      <c r="N19" s="58">
        <f t="shared" si="9"/>
        <v>1.2</v>
      </c>
      <c r="O19" s="59">
        <f t="shared" si="10"/>
        <v>0.19999999999999996</v>
      </c>
      <c r="P19" s="60" t="str">
        <f>IF(O19&gt;基础信息!$F$3,"N","Y")</f>
        <v>Y</v>
      </c>
      <c r="Q19" s="60">
        <f>VLOOKUP(E19&amp;F19,基础信息!$D$11:$E$20,2,0)</f>
        <v>1</v>
      </c>
      <c r="R19" s="58">
        <f t="shared" si="11"/>
        <v>1</v>
      </c>
      <c r="S19" s="61">
        <v>0</v>
      </c>
      <c r="T19" s="58">
        <f t="shared" si="12"/>
        <v>0</v>
      </c>
      <c r="U19" s="58">
        <f t="shared" si="13"/>
        <v>1</v>
      </c>
      <c r="V19" s="135"/>
    </row>
    <row r="20" spans="2:22" ht="27" customHeight="1">
      <c r="B20" s="137">
        <v>16</v>
      </c>
      <c r="C20" s="142" t="s">
        <v>224</v>
      </c>
      <c r="D20" s="141" t="s">
        <v>206</v>
      </c>
      <c r="E20" s="51" t="s">
        <v>97</v>
      </c>
      <c r="F20" s="52" t="s">
        <v>97</v>
      </c>
      <c r="G20" s="53" t="s">
        <v>98</v>
      </c>
      <c r="H20" s="54">
        <v>0.8</v>
      </c>
      <c r="I20" s="54">
        <v>0.7</v>
      </c>
      <c r="J20" s="54">
        <v>0.6</v>
      </c>
      <c r="K20" s="57"/>
      <c r="L20" s="58">
        <f t="shared" ref="L20:L30" si="14">MIN(H20:K20)</f>
        <v>0.6</v>
      </c>
      <c r="M20" s="58">
        <f t="shared" ref="M20:M30" si="15">IF(AND(ISBLANK(H20),ISBLANK(I20),ISBLANK(J20),ISBLANK(K20)),,AVERAGE(H20:K20))</f>
        <v>0.70000000000000007</v>
      </c>
      <c r="N20" s="58">
        <f t="shared" ref="N20:N30" si="16">MAX(H20:K20)</f>
        <v>0.8</v>
      </c>
      <c r="O20" s="59">
        <f t="shared" ref="O20:O30" si="17">IF(AND(ISNUMBER(M20),M20&lt;&gt;0),MAX(M20-L20,N20-M20)/M20,"")</f>
        <v>0.14285714285714296</v>
      </c>
      <c r="P20" s="60" t="str">
        <f>IF(O20&gt;基础信息!$F$3,"N","Y")</f>
        <v>Y</v>
      </c>
      <c r="Q20" s="60">
        <f>VLOOKUP(E20&amp;F20,基础信息!$D$11:$E$20,2,0)</f>
        <v>1</v>
      </c>
      <c r="R20" s="58">
        <f t="shared" ref="R20:R30" si="18">M20*Q20</f>
        <v>0.70000000000000007</v>
      </c>
      <c r="S20" s="61">
        <v>0</v>
      </c>
      <c r="T20" s="58">
        <f t="shared" ref="T20:T30" si="19">IF(G20="是",R20*S20,0)</f>
        <v>0</v>
      </c>
      <c r="U20" s="58">
        <f t="shared" ref="U20:U30" si="20">R20-T20</f>
        <v>0.70000000000000007</v>
      </c>
      <c r="V20" s="135"/>
    </row>
    <row r="21" spans="2:22" ht="27" customHeight="1">
      <c r="B21" s="137">
        <v>17</v>
      </c>
      <c r="C21" s="264" t="s">
        <v>225</v>
      </c>
      <c r="D21" s="141" t="s">
        <v>207</v>
      </c>
      <c r="E21" s="51" t="s">
        <v>97</v>
      </c>
      <c r="F21" s="52" t="s">
        <v>97</v>
      </c>
      <c r="G21" s="53" t="s">
        <v>98</v>
      </c>
      <c r="H21" s="54">
        <v>0.6</v>
      </c>
      <c r="I21" s="54">
        <v>0.5</v>
      </c>
      <c r="J21" s="54">
        <v>0.4</v>
      </c>
      <c r="K21" s="57"/>
      <c r="L21" s="58">
        <f t="shared" si="14"/>
        <v>0.4</v>
      </c>
      <c r="M21" s="58">
        <f t="shared" si="15"/>
        <v>0.5</v>
      </c>
      <c r="N21" s="58">
        <f t="shared" si="16"/>
        <v>0.6</v>
      </c>
      <c r="O21" s="59">
        <f t="shared" si="17"/>
        <v>0.19999999999999996</v>
      </c>
      <c r="P21" s="60" t="str">
        <f>IF(O21&gt;基础信息!$F$3,"N","Y")</f>
        <v>Y</v>
      </c>
      <c r="Q21" s="60">
        <f>VLOOKUP(E21&amp;F21,基础信息!$D$11:$E$20,2,0)</f>
        <v>1</v>
      </c>
      <c r="R21" s="58">
        <f t="shared" si="18"/>
        <v>0.5</v>
      </c>
      <c r="S21" s="61">
        <v>0</v>
      </c>
      <c r="T21" s="58">
        <f t="shared" si="19"/>
        <v>0</v>
      </c>
      <c r="U21" s="58">
        <f t="shared" si="20"/>
        <v>0.5</v>
      </c>
      <c r="V21" s="135"/>
    </row>
    <row r="22" spans="2:22" ht="27" customHeight="1">
      <c r="B22" s="137">
        <v>18</v>
      </c>
      <c r="C22" s="265"/>
      <c r="D22" s="141" t="s">
        <v>208</v>
      </c>
      <c r="E22" s="51" t="s">
        <v>97</v>
      </c>
      <c r="F22" s="52" t="s">
        <v>97</v>
      </c>
      <c r="G22" s="53" t="s">
        <v>98</v>
      </c>
      <c r="H22" s="54">
        <v>1.4</v>
      </c>
      <c r="I22" s="54">
        <v>1.2</v>
      </c>
      <c r="J22" s="54">
        <v>1</v>
      </c>
      <c r="K22" s="57"/>
      <c r="L22" s="58">
        <f t="shared" si="14"/>
        <v>1</v>
      </c>
      <c r="M22" s="58">
        <f t="shared" si="15"/>
        <v>1.2</v>
      </c>
      <c r="N22" s="58">
        <f t="shared" si="16"/>
        <v>1.4</v>
      </c>
      <c r="O22" s="59">
        <f t="shared" si="17"/>
        <v>0.16666666666666663</v>
      </c>
      <c r="P22" s="60" t="str">
        <f>IF(O22&gt;基础信息!$F$3,"N","Y")</f>
        <v>Y</v>
      </c>
      <c r="Q22" s="60">
        <f>VLOOKUP(E22&amp;F22,基础信息!$D$11:$E$20,2,0)</f>
        <v>1</v>
      </c>
      <c r="R22" s="58">
        <f t="shared" si="18"/>
        <v>1.2</v>
      </c>
      <c r="S22" s="61">
        <v>0</v>
      </c>
      <c r="T22" s="58">
        <f t="shared" si="19"/>
        <v>0</v>
      </c>
      <c r="U22" s="58">
        <f t="shared" si="20"/>
        <v>1.2</v>
      </c>
      <c r="V22" s="135"/>
    </row>
    <row r="23" spans="2:22" ht="27" customHeight="1">
      <c r="B23" s="137">
        <v>19</v>
      </c>
      <c r="C23" s="142" t="s">
        <v>226</v>
      </c>
      <c r="D23" s="141" t="s">
        <v>206</v>
      </c>
      <c r="E23" s="51" t="s">
        <v>97</v>
      </c>
      <c r="F23" s="52" t="s">
        <v>97</v>
      </c>
      <c r="G23" s="53" t="s">
        <v>98</v>
      </c>
      <c r="H23" s="54">
        <v>1.2</v>
      </c>
      <c r="I23" s="54">
        <v>1</v>
      </c>
      <c r="J23" s="54">
        <v>0.8</v>
      </c>
      <c r="K23" s="57"/>
      <c r="L23" s="58">
        <f t="shared" si="14"/>
        <v>0.8</v>
      </c>
      <c r="M23" s="58">
        <f t="shared" si="15"/>
        <v>1</v>
      </c>
      <c r="N23" s="58">
        <f t="shared" si="16"/>
        <v>1.2</v>
      </c>
      <c r="O23" s="59">
        <f t="shared" si="17"/>
        <v>0.19999999999999996</v>
      </c>
      <c r="P23" s="60" t="str">
        <f>IF(O23&gt;基础信息!$F$3,"N","Y")</f>
        <v>Y</v>
      </c>
      <c r="Q23" s="60">
        <f>VLOOKUP(E23&amp;F23,基础信息!$D$11:$E$20,2,0)</f>
        <v>1</v>
      </c>
      <c r="R23" s="58">
        <f t="shared" si="18"/>
        <v>1</v>
      </c>
      <c r="S23" s="61">
        <v>0</v>
      </c>
      <c r="T23" s="58">
        <f t="shared" si="19"/>
        <v>0</v>
      </c>
      <c r="U23" s="58">
        <f t="shared" si="20"/>
        <v>1</v>
      </c>
      <c r="V23" s="135"/>
    </row>
    <row r="24" spans="2:22" ht="27" customHeight="1">
      <c r="B24" s="137">
        <v>20</v>
      </c>
      <c r="C24" s="264" t="s">
        <v>227</v>
      </c>
      <c r="D24" s="141" t="s">
        <v>207</v>
      </c>
      <c r="E24" s="51" t="s">
        <v>97</v>
      </c>
      <c r="F24" s="52" t="s">
        <v>97</v>
      </c>
      <c r="G24" s="53" t="s">
        <v>98</v>
      </c>
      <c r="H24" s="54">
        <v>0.8</v>
      </c>
      <c r="I24" s="54">
        <v>0.7</v>
      </c>
      <c r="J24" s="54">
        <v>0.6</v>
      </c>
      <c r="K24" s="57"/>
      <c r="L24" s="58">
        <f t="shared" si="14"/>
        <v>0.6</v>
      </c>
      <c r="M24" s="58">
        <f t="shared" si="15"/>
        <v>0.70000000000000007</v>
      </c>
      <c r="N24" s="58">
        <f t="shared" si="16"/>
        <v>0.8</v>
      </c>
      <c r="O24" s="59">
        <f t="shared" si="17"/>
        <v>0.14285714285714296</v>
      </c>
      <c r="P24" s="60" t="str">
        <f>IF(O24&gt;基础信息!$F$3,"N","Y")</f>
        <v>Y</v>
      </c>
      <c r="Q24" s="60">
        <f>VLOOKUP(E24&amp;F24,基础信息!$D$11:$E$20,2,0)</f>
        <v>1</v>
      </c>
      <c r="R24" s="58">
        <f t="shared" si="18"/>
        <v>0.70000000000000007</v>
      </c>
      <c r="S24" s="61">
        <v>0</v>
      </c>
      <c r="T24" s="58">
        <f t="shared" si="19"/>
        <v>0</v>
      </c>
      <c r="U24" s="58">
        <f t="shared" si="20"/>
        <v>0.70000000000000007</v>
      </c>
      <c r="V24" s="135"/>
    </row>
    <row r="25" spans="2:22" ht="27" customHeight="1">
      <c r="B25" s="137">
        <v>21</v>
      </c>
      <c r="C25" s="265"/>
      <c r="D25" s="141" t="s">
        <v>208</v>
      </c>
      <c r="E25" s="51" t="s">
        <v>97</v>
      </c>
      <c r="F25" s="52" t="s">
        <v>97</v>
      </c>
      <c r="G25" s="53" t="s">
        <v>98</v>
      </c>
      <c r="H25" s="54">
        <v>1.2</v>
      </c>
      <c r="I25" s="54">
        <v>1</v>
      </c>
      <c r="J25" s="54">
        <v>0.8</v>
      </c>
      <c r="K25" s="57"/>
      <c r="L25" s="58">
        <f t="shared" si="14"/>
        <v>0.8</v>
      </c>
      <c r="M25" s="58">
        <f t="shared" si="15"/>
        <v>1</v>
      </c>
      <c r="N25" s="58">
        <f t="shared" si="16"/>
        <v>1.2</v>
      </c>
      <c r="O25" s="59">
        <f t="shared" si="17"/>
        <v>0.19999999999999996</v>
      </c>
      <c r="P25" s="60" t="str">
        <f>IF(O25&gt;基础信息!$F$3,"N","Y")</f>
        <v>Y</v>
      </c>
      <c r="Q25" s="60">
        <f>VLOOKUP(E25&amp;F25,基础信息!$D$11:$E$20,2,0)</f>
        <v>1</v>
      </c>
      <c r="R25" s="58">
        <f t="shared" si="18"/>
        <v>1</v>
      </c>
      <c r="S25" s="61">
        <v>0</v>
      </c>
      <c r="T25" s="58">
        <f t="shared" si="19"/>
        <v>0</v>
      </c>
      <c r="U25" s="58">
        <f t="shared" si="20"/>
        <v>1</v>
      </c>
      <c r="V25" s="135"/>
    </row>
    <row r="26" spans="2:22" ht="27" customHeight="1">
      <c r="B26" s="137">
        <v>22</v>
      </c>
      <c r="C26" s="142" t="s">
        <v>228</v>
      </c>
      <c r="D26" s="141" t="s">
        <v>206</v>
      </c>
      <c r="E26" s="51" t="s">
        <v>97</v>
      </c>
      <c r="F26" s="52" t="s">
        <v>97</v>
      </c>
      <c r="G26" s="53" t="s">
        <v>98</v>
      </c>
      <c r="H26" s="54">
        <v>1.2</v>
      </c>
      <c r="I26" s="54">
        <v>1</v>
      </c>
      <c r="J26" s="54">
        <v>0.8</v>
      </c>
      <c r="K26" s="57"/>
      <c r="L26" s="58">
        <f t="shared" si="14"/>
        <v>0.8</v>
      </c>
      <c r="M26" s="58">
        <f t="shared" si="15"/>
        <v>1</v>
      </c>
      <c r="N26" s="58">
        <f t="shared" si="16"/>
        <v>1.2</v>
      </c>
      <c r="O26" s="59">
        <f t="shared" si="17"/>
        <v>0.19999999999999996</v>
      </c>
      <c r="P26" s="60" t="str">
        <f>IF(O26&gt;基础信息!$F$3,"N","Y")</f>
        <v>Y</v>
      </c>
      <c r="Q26" s="60">
        <f>VLOOKUP(E26&amp;F26,基础信息!$D$11:$E$20,2,0)</f>
        <v>1</v>
      </c>
      <c r="R26" s="58">
        <f t="shared" si="18"/>
        <v>1</v>
      </c>
      <c r="S26" s="61">
        <v>0</v>
      </c>
      <c r="T26" s="58">
        <f t="shared" si="19"/>
        <v>0</v>
      </c>
      <c r="U26" s="58">
        <f t="shared" si="20"/>
        <v>1</v>
      </c>
      <c r="V26" s="135"/>
    </row>
    <row r="27" spans="2:22" ht="27" customHeight="1">
      <c r="B27" s="137">
        <v>23</v>
      </c>
      <c r="C27" s="264" t="s">
        <v>229</v>
      </c>
      <c r="D27" s="141" t="s">
        <v>207</v>
      </c>
      <c r="E27" s="51" t="s">
        <v>97</v>
      </c>
      <c r="F27" s="52" t="s">
        <v>97</v>
      </c>
      <c r="G27" s="53" t="s">
        <v>98</v>
      </c>
      <c r="H27" s="54">
        <v>0.8</v>
      </c>
      <c r="I27" s="54">
        <v>0.7</v>
      </c>
      <c r="J27" s="54">
        <v>0.6</v>
      </c>
      <c r="K27" s="57"/>
      <c r="L27" s="58">
        <f t="shared" si="14"/>
        <v>0.6</v>
      </c>
      <c r="M27" s="58">
        <f t="shared" si="15"/>
        <v>0.70000000000000007</v>
      </c>
      <c r="N27" s="58">
        <f t="shared" si="16"/>
        <v>0.8</v>
      </c>
      <c r="O27" s="59">
        <f t="shared" si="17"/>
        <v>0.14285714285714296</v>
      </c>
      <c r="P27" s="60" t="str">
        <f>IF(O27&gt;基础信息!$F$3,"N","Y")</f>
        <v>Y</v>
      </c>
      <c r="Q27" s="60">
        <f>VLOOKUP(E27&amp;F27,基础信息!$D$11:$E$20,2,0)</f>
        <v>1</v>
      </c>
      <c r="R27" s="58">
        <f t="shared" si="18"/>
        <v>0.70000000000000007</v>
      </c>
      <c r="S27" s="61">
        <v>0</v>
      </c>
      <c r="T27" s="58">
        <f t="shared" si="19"/>
        <v>0</v>
      </c>
      <c r="U27" s="58">
        <f t="shared" si="20"/>
        <v>0.70000000000000007</v>
      </c>
      <c r="V27" s="135"/>
    </row>
    <row r="28" spans="2:22" ht="27" customHeight="1">
      <c r="B28" s="137">
        <v>24</v>
      </c>
      <c r="C28" s="265"/>
      <c r="D28" s="141" t="s">
        <v>208</v>
      </c>
      <c r="E28" s="51" t="s">
        <v>97</v>
      </c>
      <c r="F28" s="52" t="s">
        <v>97</v>
      </c>
      <c r="G28" s="53" t="s">
        <v>98</v>
      </c>
      <c r="H28" s="54">
        <v>1.8</v>
      </c>
      <c r="I28" s="54">
        <v>1.5</v>
      </c>
      <c r="J28" s="54">
        <v>1.2</v>
      </c>
      <c r="K28" s="57"/>
      <c r="L28" s="58">
        <f t="shared" si="14"/>
        <v>1.2</v>
      </c>
      <c r="M28" s="58">
        <f t="shared" si="15"/>
        <v>1.5</v>
      </c>
      <c r="N28" s="58">
        <f t="shared" si="16"/>
        <v>1.8</v>
      </c>
      <c r="O28" s="59">
        <f t="shared" si="17"/>
        <v>0.20000000000000004</v>
      </c>
      <c r="P28" s="60" t="str">
        <f>IF(O28&gt;基础信息!$F$3,"N","Y")</f>
        <v>Y</v>
      </c>
      <c r="Q28" s="60">
        <f>VLOOKUP(E28&amp;F28,基础信息!$D$11:$E$20,2,0)</f>
        <v>1</v>
      </c>
      <c r="R28" s="58">
        <f t="shared" si="18"/>
        <v>1.5</v>
      </c>
      <c r="S28" s="61">
        <v>0</v>
      </c>
      <c r="T28" s="58">
        <f t="shared" si="19"/>
        <v>0</v>
      </c>
      <c r="U28" s="58">
        <f t="shared" si="20"/>
        <v>1.5</v>
      </c>
      <c r="V28" s="135"/>
    </row>
    <row r="29" spans="2:22" ht="27" customHeight="1">
      <c r="B29" s="137">
        <v>25</v>
      </c>
      <c r="C29" s="264" t="s">
        <v>230</v>
      </c>
      <c r="D29" s="141" t="s">
        <v>207</v>
      </c>
      <c r="E29" s="51" t="s">
        <v>97</v>
      </c>
      <c r="F29" s="52" t="s">
        <v>97</v>
      </c>
      <c r="G29" s="53" t="s">
        <v>98</v>
      </c>
      <c r="H29" s="54">
        <v>0.8</v>
      </c>
      <c r="I29" s="54">
        <v>0.7</v>
      </c>
      <c r="J29" s="54">
        <v>0.6</v>
      </c>
      <c r="K29" s="57"/>
      <c r="L29" s="58">
        <f t="shared" si="14"/>
        <v>0.6</v>
      </c>
      <c r="M29" s="58">
        <f t="shared" si="15"/>
        <v>0.70000000000000007</v>
      </c>
      <c r="N29" s="58">
        <f t="shared" si="16"/>
        <v>0.8</v>
      </c>
      <c r="O29" s="59">
        <f t="shared" si="17"/>
        <v>0.14285714285714296</v>
      </c>
      <c r="P29" s="60" t="str">
        <f>IF(O29&gt;基础信息!$F$3,"N","Y")</f>
        <v>Y</v>
      </c>
      <c r="Q29" s="60">
        <f>VLOOKUP(E29&amp;F29,基础信息!$D$11:$E$20,2,0)</f>
        <v>1</v>
      </c>
      <c r="R29" s="58">
        <f t="shared" si="18"/>
        <v>0.70000000000000007</v>
      </c>
      <c r="S29" s="61">
        <v>0</v>
      </c>
      <c r="T29" s="58">
        <f t="shared" si="19"/>
        <v>0</v>
      </c>
      <c r="U29" s="58">
        <f t="shared" si="20"/>
        <v>0.70000000000000007</v>
      </c>
      <c r="V29" s="135"/>
    </row>
    <row r="30" spans="2:22" ht="27" customHeight="1">
      <c r="B30" s="137">
        <v>16</v>
      </c>
      <c r="C30" s="265"/>
      <c r="D30" s="141" t="s">
        <v>208</v>
      </c>
      <c r="E30" s="51" t="s">
        <v>97</v>
      </c>
      <c r="F30" s="52" t="s">
        <v>97</v>
      </c>
      <c r="G30" s="53" t="s">
        <v>98</v>
      </c>
      <c r="H30" s="54">
        <v>1.8</v>
      </c>
      <c r="I30" s="54">
        <v>1.5</v>
      </c>
      <c r="J30" s="54">
        <v>1.2</v>
      </c>
      <c r="K30" s="57"/>
      <c r="L30" s="58">
        <f t="shared" si="14"/>
        <v>1.2</v>
      </c>
      <c r="M30" s="58">
        <f t="shared" si="15"/>
        <v>1.5</v>
      </c>
      <c r="N30" s="58">
        <f t="shared" si="16"/>
        <v>1.8</v>
      </c>
      <c r="O30" s="59">
        <f t="shared" si="17"/>
        <v>0.20000000000000004</v>
      </c>
      <c r="P30" s="60" t="str">
        <f>IF(O30&gt;基础信息!$F$3,"N","Y")</f>
        <v>Y</v>
      </c>
      <c r="Q30" s="60">
        <f>VLOOKUP(E30&amp;F30,基础信息!$D$11:$E$20,2,0)</f>
        <v>1</v>
      </c>
      <c r="R30" s="58">
        <f t="shared" si="18"/>
        <v>1.5</v>
      </c>
      <c r="S30" s="61">
        <v>0</v>
      </c>
      <c r="T30" s="58">
        <f t="shared" si="19"/>
        <v>0</v>
      </c>
      <c r="U30" s="58">
        <f t="shared" si="20"/>
        <v>1.5</v>
      </c>
      <c r="V30" s="135"/>
    </row>
    <row r="31" spans="2:22" ht="27" customHeight="1">
      <c r="B31" s="137">
        <v>17</v>
      </c>
      <c r="C31" s="142" t="s">
        <v>231</v>
      </c>
      <c r="D31" s="141" t="s">
        <v>206</v>
      </c>
      <c r="E31" s="51" t="s">
        <v>97</v>
      </c>
      <c r="F31" s="52" t="s">
        <v>97</v>
      </c>
      <c r="G31" s="53" t="s">
        <v>98</v>
      </c>
      <c r="H31" s="54">
        <v>1.2</v>
      </c>
      <c r="I31" s="54">
        <v>1</v>
      </c>
      <c r="J31" s="54">
        <v>0.8</v>
      </c>
      <c r="K31" s="57"/>
      <c r="L31" s="58">
        <f t="shared" si="7"/>
        <v>0.8</v>
      </c>
      <c r="M31" s="58">
        <f t="shared" si="8"/>
        <v>1</v>
      </c>
      <c r="N31" s="58">
        <f t="shared" si="9"/>
        <v>1.2</v>
      </c>
      <c r="O31" s="59">
        <f t="shared" si="10"/>
        <v>0.19999999999999996</v>
      </c>
      <c r="P31" s="60" t="str">
        <f>IF(O31&gt;基础信息!$F$3,"N","Y")</f>
        <v>Y</v>
      </c>
      <c r="Q31" s="60">
        <f>VLOOKUP(E31&amp;F31,基础信息!$D$11:$E$20,2,0)</f>
        <v>1</v>
      </c>
      <c r="R31" s="58">
        <f t="shared" si="11"/>
        <v>1</v>
      </c>
      <c r="S31" s="61">
        <v>0</v>
      </c>
      <c r="T31" s="58">
        <f t="shared" si="12"/>
        <v>0</v>
      </c>
      <c r="U31" s="58">
        <f t="shared" si="13"/>
        <v>1</v>
      </c>
      <c r="V31" s="135"/>
    </row>
    <row r="32" spans="2:22" ht="27" customHeight="1">
      <c r="B32" s="137">
        <v>18</v>
      </c>
      <c r="C32" s="264" t="s">
        <v>232</v>
      </c>
      <c r="D32" s="141" t="s">
        <v>207</v>
      </c>
      <c r="E32" s="51" t="s">
        <v>97</v>
      </c>
      <c r="F32" s="52" t="s">
        <v>97</v>
      </c>
      <c r="G32" s="53" t="s">
        <v>98</v>
      </c>
      <c r="H32" s="54">
        <v>0.6</v>
      </c>
      <c r="I32" s="54">
        <v>0.5</v>
      </c>
      <c r="J32" s="54">
        <v>0.4</v>
      </c>
      <c r="K32" s="57"/>
      <c r="L32" s="58">
        <f t="shared" si="0"/>
        <v>0.4</v>
      </c>
      <c r="M32" s="58">
        <f t="shared" si="1"/>
        <v>0.5</v>
      </c>
      <c r="N32" s="58">
        <f t="shared" si="2"/>
        <v>0.6</v>
      </c>
      <c r="O32" s="59">
        <f t="shared" si="3"/>
        <v>0.19999999999999996</v>
      </c>
      <c r="P32" s="60" t="str">
        <f>IF(O32&gt;基础信息!$F$3,"N","Y")</f>
        <v>Y</v>
      </c>
      <c r="Q32" s="60">
        <f>VLOOKUP(E32&amp;F32,基础信息!$D$11:$E$20,2,0)</f>
        <v>1</v>
      </c>
      <c r="R32" s="58">
        <f t="shared" si="4"/>
        <v>0.5</v>
      </c>
      <c r="S32" s="61">
        <v>0</v>
      </c>
      <c r="T32" s="58">
        <f t="shared" si="5"/>
        <v>0</v>
      </c>
      <c r="U32" s="58">
        <f t="shared" si="6"/>
        <v>0.5</v>
      </c>
      <c r="V32" s="133"/>
    </row>
    <row r="33" spans="2:22" ht="27" customHeight="1">
      <c r="B33" s="137">
        <v>19</v>
      </c>
      <c r="C33" s="265"/>
      <c r="D33" s="141" t="s">
        <v>208</v>
      </c>
      <c r="E33" s="51" t="s">
        <v>97</v>
      </c>
      <c r="F33" s="52" t="s">
        <v>97</v>
      </c>
      <c r="G33" s="53" t="s">
        <v>98</v>
      </c>
      <c r="H33" s="54">
        <v>1.4</v>
      </c>
      <c r="I33" s="54">
        <v>1.2</v>
      </c>
      <c r="J33" s="54">
        <v>1</v>
      </c>
      <c r="K33" s="57"/>
      <c r="L33" s="58">
        <f t="shared" si="0"/>
        <v>1</v>
      </c>
      <c r="M33" s="58">
        <f t="shared" si="1"/>
        <v>1.2</v>
      </c>
      <c r="N33" s="58">
        <f t="shared" si="2"/>
        <v>1.4</v>
      </c>
      <c r="O33" s="59">
        <f t="shared" si="3"/>
        <v>0.16666666666666663</v>
      </c>
      <c r="P33" s="60" t="str">
        <f>IF(O33&gt;基础信息!$F$3,"N","Y")</f>
        <v>Y</v>
      </c>
      <c r="Q33" s="60">
        <f>VLOOKUP(E33&amp;F33,基础信息!$D$11:$E$20,2,0)</f>
        <v>1</v>
      </c>
      <c r="R33" s="58">
        <f t="shared" si="4"/>
        <v>1.2</v>
      </c>
      <c r="S33" s="61">
        <v>0</v>
      </c>
      <c r="T33" s="58">
        <f t="shared" si="5"/>
        <v>0</v>
      </c>
      <c r="U33" s="58">
        <f t="shared" si="6"/>
        <v>1.2</v>
      </c>
      <c r="V33" s="133"/>
    </row>
    <row r="34" spans="2:22" ht="27" customHeight="1">
      <c r="B34" s="137">
        <v>20</v>
      </c>
      <c r="C34" s="142" t="s">
        <v>233</v>
      </c>
      <c r="D34" s="141" t="s">
        <v>206</v>
      </c>
      <c r="E34" s="51" t="s">
        <v>97</v>
      </c>
      <c r="F34" s="52" t="s">
        <v>97</v>
      </c>
      <c r="G34" s="53" t="s">
        <v>98</v>
      </c>
      <c r="H34" s="54">
        <v>1.2</v>
      </c>
      <c r="I34" s="54">
        <v>1</v>
      </c>
      <c r="J34" s="54">
        <v>0.8</v>
      </c>
      <c r="K34" s="57"/>
      <c r="L34" s="58">
        <f t="shared" ref="L34:L37" si="21">MIN(H34:K34)</f>
        <v>0.8</v>
      </c>
      <c r="M34" s="58">
        <f t="shared" ref="M34:M37" si="22">IF(AND(ISBLANK(H34),ISBLANK(I34),ISBLANK(J34),ISBLANK(K34)),,AVERAGE(H34:K34))</f>
        <v>1</v>
      </c>
      <c r="N34" s="58">
        <f t="shared" ref="N34:N37" si="23">MAX(H34:K34)</f>
        <v>1.2</v>
      </c>
      <c r="O34" s="59">
        <f t="shared" ref="O34:O37" si="24">IF(AND(ISNUMBER(M34),M34&lt;&gt;0),MAX(M34-L34,N34-M34)/M34,"")</f>
        <v>0.19999999999999996</v>
      </c>
      <c r="P34" s="60" t="str">
        <f>IF(O34&gt;基础信息!$F$3,"N","Y")</f>
        <v>Y</v>
      </c>
      <c r="Q34" s="60">
        <f>VLOOKUP(E34&amp;F34,基础信息!$D$11:$E$20,2,0)</f>
        <v>1</v>
      </c>
      <c r="R34" s="58">
        <f t="shared" ref="R34:R37" si="25">M34*Q34</f>
        <v>1</v>
      </c>
      <c r="S34" s="61">
        <v>0</v>
      </c>
      <c r="T34" s="58">
        <f t="shared" ref="T34:T37" si="26">IF(G34="是",R34*S34,0)</f>
        <v>0</v>
      </c>
      <c r="U34" s="58">
        <f t="shared" ref="U34:U37" si="27">R34-T34</f>
        <v>1</v>
      </c>
      <c r="V34" s="133"/>
    </row>
    <row r="35" spans="2:22" ht="27" customHeight="1">
      <c r="B35" s="137">
        <v>21</v>
      </c>
      <c r="C35" s="264" t="s">
        <v>234</v>
      </c>
      <c r="D35" s="141" t="s">
        <v>207</v>
      </c>
      <c r="E35" s="51" t="s">
        <v>97</v>
      </c>
      <c r="F35" s="52" t="s">
        <v>97</v>
      </c>
      <c r="G35" s="53" t="s">
        <v>98</v>
      </c>
      <c r="H35" s="54">
        <v>0.6</v>
      </c>
      <c r="I35" s="54">
        <v>0.5</v>
      </c>
      <c r="J35" s="54">
        <v>0.4</v>
      </c>
      <c r="K35" s="57"/>
      <c r="L35" s="58">
        <f t="shared" si="21"/>
        <v>0.4</v>
      </c>
      <c r="M35" s="58">
        <f t="shared" si="22"/>
        <v>0.5</v>
      </c>
      <c r="N35" s="58">
        <f t="shared" si="23"/>
        <v>0.6</v>
      </c>
      <c r="O35" s="59">
        <f t="shared" si="24"/>
        <v>0.19999999999999996</v>
      </c>
      <c r="P35" s="60" t="str">
        <f>IF(O35&gt;基础信息!$F$3,"N","Y")</f>
        <v>Y</v>
      </c>
      <c r="Q35" s="60">
        <f>VLOOKUP(E35&amp;F35,基础信息!$D$11:$E$20,2,0)</f>
        <v>1</v>
      </c>
      <c r="R35" s="58">
        <f t="shared" si="25"/>
        <v>0.5</v>
      </c>
      <c r="S35" s="61">
        <v>0</v>
      </c>
      <c r="T35" s="58">
        <f t="shared" si="26"/>
        <v>0</v>
      </c>
      <c r="U35" s="58">
        <f t="shared" si="27"/>
        <v>0.5</v>
      </c>
      <c r="V35" s="133"/>
    </row>
    <row r="36" spans="2:22" ht="27" customHeight="1">
      <c r="B36" s="137">
        <v>22</v>
      </c>
      <c r="C36" s="265"/>
      <c r="D36" s="141" t="s">
        <v>208</v>
      </c>
      <c r="E36" s="51" t="s">
        <v>97</v>
      </c>
      <c r="F36" s="52" t="s">
        <v>97</v>
      </c>
      <c r="G36" s="53" t="s">
        <v>98</v>
      </c>
      <c r="H36" s="54">
        <v>1.4</v>
      </c>
      <c r="I36" s="54">
        <v>1.2</v>
      </c>
      <c r="J36" s="54">
        <v>1</v>
      </c>
      <c r="K36" s="57"/>
      <c r="L36" s="58">
        <f t="shared" si="21"/>
        <v>1</v>
      </c>
      <c r="M36" s="58">
        <f t="shared" si="22"/>
        <v>1.2</v>
      </c>
      <c r="N36" s="58">
        <f t="shared" si="23"/>
        <v>1.4</v>
      </c>
      <c r="O36" s="59">
        <f t="shared" si="24"/>
        <v>0.16666666666666663</v>
      </c>
      <c r="P36" s="60" t="str">
        <f>IF(O36&gt;基础信息!$F$3,"N","Y")</f>
        <v>Y</v>
      </c>
      <c r="Q36" s="60">
        <f>VLOOKUP(E36&amp;F36,基础信息!$D$11:$E$20,2,0)</f>
        <v>1</v>
      </c>
      <c r="R36" s="58">
        <f t="shared" si="25"/>
        <v>1.2</v>
      </c>
      <c r="S36" s="61">
        <v>0</v>
      </c>
      <c r="T36" s="58">
        <f t="shared" si="26"/>
        <v>0</v>
      </c>
      <c r="U36" s="58">
        <f t="shared" si="27"/>
        <v>1.2</v>
      </c>
      <c r="V36" s="133"/>
    </row>
    <row r="37" spans="2:22" ht="27" customHeight="1">
      <c r="B37" s="137">
        <v>23</v>
      </c>
      <c r="C37" s="142" t="s">
        <v>235</v>
      </c>
      <c r="D37" s="141" t="s">
        <v>206</v>
      </c>
      <c r="E37" s="51" t="s">
        <v>97</v>
      </c>
      <c r="F37" s="52" t="s">
        <v>97</v>
      </c>
      <c r="G37" s="53" t="s">
        <v>98</v>
      </c>
      <c r="H37" s="54">
        <v>1.2</v>
      </c>
      <c r="I37" s="54">
        <v>1</v>
      </c>
      <c r="J37" s="54">
        <v>0.8</v>
      </c>
      <c r="K37" s="57"/>
      <c r="L37" s="58">
        <f t="shared" si="21"/>
        <v>0.8</v>
      </c>
      <c r="M37" s="58">
        <f t="shared" si="22"/>
        <v>1</v>
      </c>
      <c r="N37" s="58">
        <f t="shared" si="23"/>
        <v>1.2</v>
      </c>
      <c r="O37" s="59">
        <f t="shared" si="24"/>
        <v>0.19999999999999996</v>
      </c>
      <c r="P37" s="60" t="str">
        <f>IF(O37&gt;基础信息!$F$3,"N","Y")</f>
        <v>Y</v>
      </c>
      <c r="Q37" s="60">
        <f>VLOOKUP(E37&amp;F37,基础信息!$D$11:$E$20,2,0)</f>
        <v>1</v>
      </c>
      <c r="R37" s="58">
        <f t="shared" si="25"/>
        <v>1</v>
      </c>
      <c r="S37" s="61">
        <v>0</v>
      </c>
      <c r="T37" s="58">
        <f t="shared" si="26"/>
        <v>0</v>
      </c>
      <c r="U37" s="58">
        <f t="shared" si="27"/>
        <v>1</v>
      </c>
      <c r="V37" s="133"/>
    </row>
    <row r="38" spans="2:22" ht="27" customHeight="1">
      <c r="B38" s="137">
        <v>24</v>
      </c>
      <c r="C38" s="264" t="s">
        <v>236</v>
      </c>
      <c r="D38" s="141" t="s">
        <v>207</v>
      </c>
      <c r="E38" s="51" t="s">
        <v>97</v>
      </c>
      <c r="F38" s="52" t="s">
        <v>97</v>
      </c>
      <c r="G38" s="53" t="s">
        <v>98</v>
      </c>
      <c r="H38" s="54">
        <v>0.6</v>
      </c>
      <c r="I38" s="54">
        <v>0.5</v>
      </c>
      <c r="J38" s="54">
        <v>0.4</v>
      </c>
      <c r="K38" s="57"/>
      <c r="L38" s="58">
        <f t="shared" ref="L38:L39" si="28">MIN(H38:K38)</f>
        <v>0.4</v>
      </c>
      <c r="M38" s="58">
        <f t="shared" ref="M38:M39" si="29">IF(AND(ISBLANK(H38),ISBLANK(I38),ISBLANK(J38),ISBLANK(K38)),,AVERAGE(H38:K38))</f>
        <v>0.5</v>
      </c>
      <c r="N38" s="58">
        <f t="shared" ref="N38:N39" si="30">MAX(H38:K38)</f>
        <v>0.6</v>
      </c>
      <c r="O38" s="59">
        <f t="shared" ref="O38:O39" si="31">IF(AND(ISNUMBER(M38),M38&lt;&gt;0),MAX(M38-L38,N38-M38)/M38,"")</f>
        <v>0.19999999999999996</v>
      </c>
      <c r="P38" s="60" t="str">
        <f>IF(O38&gt;基础信息!$F$3,"N","Y")</f>
        <v>Y</v>
      </c>
      <c r="Q38" s="60">
        <f>VLOOKUP(E38&amp;F38,基础信息!$D$11:$E$20,2,0)</f>
        <v>1</v>
      </c>
      <c r="R38" s="58">
        <f t="shared" ref="R38:R39" si="32">M38*Q38</f>
        <v>0.5</v>
      </c>
      <c r="S38" s="61">
        <v>0</v>
      </c>
      <c r="T38" s="58">
        <f t="shared" ref="T38:T39" si="33">IF(G38="是",R38*S38,0)</f>
        <v>0</v>
      </c>
      <c r="U38" s="58">
        <f t="shared" ref="U38:U39" si="34">R38-T38</f>
        <v>0.5</v>
      </c>
      <c r="V38" s="62"/>
    </row>
    <row r="39" spans="2:22" ht="27" customHeight="1">
      <c r="B39" s="137">
        <v>25</v>
      </c>
      <c r="C39" s="265"/>
      <c r="D39" s="141" t="s">
        <v>208</v>
      </c>
      <c r="E39" s="51" t="s">
        <v>97</v>
      </c>
      <c r="F39" s="52" t="s">
        <v>97</v>
      </c>
      <c r="G39" s="53" t="s">
        <v>98</v>
      </c>
      <c r="H39" s="54">
        <v>1.2</v>
      </c>
      <c r="I39" s="54">
        <v>1</v>
      </c>
      <c r="J39" s="54">
        <v>0.8</v>
      </c>
      <c r="K39" s="57"/>
      <c r="L39" s="58">
        <f t="shared" si="28"/>
        <v>0.8</v>
      </c>
      <c r="M39" s="58">
        <f t="shared" si="29"/>
        <v>1</v>
      </c>
      <c r="N39" s="58">
        <f t="shared" si="30"/>
        <v>1.2</v>
      </c>
      <c r="O39" s="59">
        <f t="shared" si="31"/>
        <v>0.19999999999999996</v>
      </c>
      <c r="P39" s="60" t="str">
        <f>IF(O39&gt;基础信息!$F$3,"N","Y")</f>
        <v>Y</v>
      </c>
      <c r="Q39" s="60">
        <f>VLOOKUP(E39&amp;F39,基础信息!$D$11:$E$20,2,0)</f>
        <v>1</v>
      </c>
      <c r="R39" s="58">
        <f t="shared" si="32"/>
        <v>1</v>
      </c>
      <c r="S39" s="61">
        <v>0</v>
      </c>
      <c r="T39" s="58">
        <f t="shared" si="33"/>
        <v>0</v>
      </c>
      <c r="U39" s="58">
        <f t="shared" si="34"/>
        <v>1</v>
      </c>
      <c r="V39" s="62"/>
    </row>
    <row r="40" spans="2:22" ht="27" customHeight="1">
      <c r="B40" s="182" t="s">
        <v>99</v>
      </c>
      <c r="C40" s="182"/>
      <c r="D40" s="55" t="s">
        <v>100</v>
      </c>
      <c r="E40" s="55">
        <f>COUNTIF(E38:E39,"高")</f>
        <v>0</v>
      </c>
      <c r="F40" s="55">
        <f>COUNTIF(F38:F39,"高")</f>
        <v>0</v>
      </c>
      <c r="G40" s="55">
        <f>COUNTIF(G38:G39,"是")</f>
        <v>0</v>
      </c>
      <c r="H40" s="242">
        <f>SUM(H38:H39)</f>
        <v>1.7999999999999998</v>
      </c>
      <c r="I40" s="242">
        <f>SUM(I5:I39)</f>
        <v>32.099999999999994</v>
      </c>
      <c r="J40" s="242">
        <f>SUM(J38:J39)</f>
        <v>1.2000000000000002</v>
      </c>
      <c r="K40" s="242">
        <f>SUM(K38:K39)</f>
        <v>0</v>
      </c>
      <c r="L40" s="242">
        <f>SUM(L5:L39)</f>
        <v>26.100000000000005</v>
      </c>
      <c r="M40" s="242">
        <f>SUM(M5:M39)</f>
        <v>32.099999999999994</v>
      </c>
      <c r="N40" s="242">
        <f>SUM(N5:N39)</f>
        <v>38.100000000000009</v>
      </c>
      <c r="O40" s="242"/>
      <c r="P40" s="55">
        <f>COUNTIF(P5:P39,"Y")</f>
        <v>35</v>
      </c>
      <c r="Q40" s="242"/>
      <c r="R40" s="242">
        <f>SUM(R5:R39)</f>
        <v>32.099999999999994</v>
      </c>
      <c r="S40" s="233"/>
      <c r="T40" s="242">
        <f>SUM(T38:T39)</f>
        <v>0</v>
      </c>
      <c r="U40" s="242">
        <f>SUM(U5:U39)</f>
        <v>32.099999999999994</v>
      </c>
      <c r="V40" s="219"/>
    </row>
    <row r="41" spans="2:22" ht="27" customHeight="1">
      <c r="B41" s="182"/>
      <c r="C41" s="182"/>
      <c r="D41" s="55" t="s">
        <v>97</v>
      </c>
      <c r="E41" s="55">
        <f>COUNTIF(E38:E39,"中")</f>
        <v>2</v>
      </c>
      <c r="F41" s="55">
        <f>COUNTIF(F38:F39,"中")</f>
        <v>2</v>
      </c>
      <c r="G41" s="55">
        <f>COUNTIF(G38:G39,"否")</f>
        <v>2</v>
      </c>
      <c r="H41" s="242"/>
      <c r="I41" s="242"/>
      <c r="J41" s="242"/>
      <c r="K41" s="242"/>
      <c r="L41" s="242"/>
      <c r="M41" s="242"/>
      <c r="N41" s="242"/>
      <c r="O41" s="242"/>
      <c r="P41" s="55">
        <f>COUNTIF(P5:P39,"N")</f>
        <v>0</v>
      </c>
      <c r="Q41" s="242"/>
      <c r="R41" s="242"/>
      <c r="S41" s="234"/>
      <c r="T41" s="242"/>
      <c r="U41" s="242"/>
      <c r="V41" s="219"/>
    </row>
    <row r="42" spans="2:22" ht="27" customHeight="1">
      <c r="B42" s="182"/>
      <c r="C42" s="182"/>
      <c r="D42" s="55" t="s">
        <v>101</v>
      </c>
      <c r="E42" s="55">
        <f>COUNTIF(E38:E39,"低")</f>
        <v>0</v>
      </c>
      <c r="F42" s="55">
        <f>COUNTIF(F38:F39,"低")</f>
        <v>0</v>
      </c>
      <c r="G42" s="55"/>
      <c r="H42" s="242"/>
      <c r="I42" s="242"/>
      <c r="J42" s="242"/>
      <c r="K42" s="242"/>
      <c r="L42" s="242"/>
      <c r="M42" s="242"/>
      <c r="N42" s="242"/>
      <c r="O42" s="242"/>
      <c r="P42" s="55"/>
      <c r="Q42" s="242"/>
      <c r="R42" s="242"/>
      <c r="S42" s="235"/>
      <c r="T42" s="242"/>
      <c r="U42" s="242"/>
      <c r="V42" s="219"/>
    </row>
  </sheetData>
  <mergeCells count="46">
    <mergeCell ref="B40:C42"/>
    <mergeCell ref="T40:T42"/>
    <mergeCell ref="U3:U4"/>
    <mergeCell ref="U40:U42"/>
    <mergeCell ref="V3:V4"/>
    <mergeCell ref="V40:V42"/>
    <mergeCell ref="Q40:Q42"/>
    <mergeCell ref="R3:R4"/>
    <mergeCell ref="R40:R42"/>
    <mergeCell ref="S3:S4"/>
    <mergeCell ref="S40:S42"/>
    <mergeCell ref="M40:M42"/>
    <mergeCell ref="N3:N4"/>
    <mergeCell ref="N40:N42"/>
    <mergeCell ref="O3:O4"/>
    <mergeCell ref="O40:O42"/>
    <mergeCell ref="H40:H42"/>
    <mergeCell ref="I40:I42"/>
    <mergeCell ref="J40:J42"/>
    <mergeCell ref="K40:K42"/>
    <mergeCell ref="L3:L4"/>
    <mergeCell ref="L40:L42"/>
    <mergeCell ref="B1:V1"/>
    <mergeCell ref="H3:K3"/>
    <mergeCell ref="B3:B4"/>
    <mergeCell ref="C3:C4"/>
    <mergeCell ref="D3:D4"/>
    <mergeCell ref="E3:E4"/>
    <mergeCell ref="F3:F4"/>
    <mergeCell ref="G3:G4"/>
    <mergeCell ref="M3:M4"/>
    <mergeCell ref="P3:P4"/>
    <mergeCell ref="Q3:Q4"/>
    <mergeCell ref="T3:T4"/>
    <mergeCell ref="C6:C7"/>
    <mergeCell ref="C11:C12"/>
    <mergeCell ref="C13:C14"/>
    <mergeCell ref="C15:C16"/>
    <mergeCell ref="C17:C18"/>
    <mergeCell ref="C35:C36"/>
    <mergeCell ref="C38:C39"/>
    <mergeCell ref="C21:C22"/>
    <mergeCell ref="C24:C25"/>
    <mergeCell ref="C27:C28"/>
    <mergeCell ref="C29:C30"/>
    <mergeCell ref="C32:C33"/>
  </mergeCells>
  <phoneticPr fontId="25" type="noConversion"/>
  <dataValidations count="4">
    <dataValidation allowBlank="1" showInputMessage="1" showErrorMessage="1" prompt="功能需求项内容=功能需求编号+功能需求内容描述_x000a__x000a_非功能需求项=非功能需求属性+内容描述" sqref="D5:D39"/>
    <dataValidation type="list" allowBlank="1" showInputMessage="1" showErrorMessage="1" sqref="E5:E39">
      <formula1>难易程度</formula1>
    </dataValidation>
    <dataValidation type="list" allowBlank="1" showInputMessage="1" showErrorMessage="1" sqref="F5:F39">
      <formula1>优先级</formula1>
    </dataValidation>
    <dataValidation type="list" allowBlank="1" showInputMessage="1" showErrorMessage="1" sqref="G5:G39">
      <formula1>是否复用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1"/>
  <sheetViews>
    <sheetView workbookViewId="0">
      <pane xSplit="11" ySplit="4" topLeftCell="P5" activePane="bottomRight" state="frozen"/>
      <selection pane="topRight"/>
      <selection pane="bottomLeft"/>
      <selection pane="bottomRight" activeCell="R9" sqref="R9:R11"/>
    </sheetView>
  </sheetViews>
  <sheetFormatPr defaultColWidth="9" defaultRowHeight="13.5"/>
  <cols>
    <col min="1" max="1" width="1.875" style="47" customWidth="1"/>
    <col min="2" max="2" width="5.125" style="47" customWidth="1"/>
    <col min="3" max="3" width="16.375" style="47" customWidth="1"/>
    <col min="4" max="4" width="10" style="47" customWidth="1"/>
    <col min="5" max="7" width="9.75" style="47" customWidth="1"/>
    <col min="8" max="8" width="11.25" style="47" customWidth="1"/>
    <col min="9" max="10" width="11.875" style="47" customWidth="1"/>
    <col min="11" max="11" width="11.25" style="47" customWidth="1"/>
    <col min="12" max="12" width="9.75" style="47" customWidth="1"/>
    <col min="13" max="18" width="12.75" style="47" customWidth="1"/>
    <col min="19" max="20" width="9.75" style="47" customWidth="1"/>
    <col min="21" max="21" width="11.875" style="47" customWidth="1"/>
    <col min="22" max="22" width="30.375" style="47" customWidth="1"/>
    <col min="23" max="16384" width="9" style="47"/>
  </cols>
  <sheetData>
    <row r="1" spans="2:22" ht="34.5" customHeight="1">
      <c r="B1" s="227" t="s">
        <v>102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</row>
    <row r="2" spans="2:22" ht="6" customHeight="1"/>
    <row r="3" spans="2:22" s="46" customFormat="1" ht="20.25">
      <c r="B3" s="166" t="s">
        <v>76</v>
      </c>
      <c r="C3" s="166" t="s">
        <v>77</v>
      </c>
      <c r="D3" s="166" t="s">
        <v>78</v>
      </c>
      <c r="E3" s="166" t="s">
        <v>79</v>
      </c>
      <c r="F3" s="166" t="s">
        <v>80</v>
      </c>
      <c r="G3" s="166" t="s">
        <v>81</v>
      </c>
      <c r="H3" s="166" t="s">
        <v>107</v>
      </c>
      <c r="I3" s="166"/>
      <c r="J3" s="166"/>
      <c r="K3" s="166"/>
      <c r="L3" s="166" t="s">
        <v>84</v>
      </c>
      <c r="M3" s="166" t="s">
        <v>85</v>
      </c>
      <c r="N3" s="166" t="s">
        <v>86</v>
      </c>
      <c r="O3" s="166" t="s">
        <v>87</v>
      </c>
      <c r="P3" s="166" t="s">
        <v>88</v>
      </c>
      <c r="Q3" s="166" t="s">
        <v>89</v>
      </c>
      <c r="R3" s="166" t="s">
        <v>90</v>
      </c>
      <c r="S3" s="166" t="s">
        <v>91</v>
      </c>
      <c r="T3" s="166" t="s">
        <v>92</v>
      </c>
      <c r="U3" s="166" t="s">
        <v>93</v>
      </c>
      <c r="V3" s="166" t="s">
        <v>8</v>
      </c>
    </row>
    <row r="4" spans="2:22" s="46" customFormat="1" ht="20.25" customHeight="1">
      <c r="B4" s="166"/>
      <c r="C4" s="166"/>
      <c r="D4" s="166"/>
      <c r="E4" s="166"/>
      <c r="F4" s="166"/>
      <c r="G4" s="166"/>
      <c r="H4" s="48" t="s">
        <v>94</v>
      </c>
      <c r="I4" s="48" t="s">
        <v>95</v>
      </c>
      <c r="J4" s="48" t="s">
        <v>96</v>
      </c>
      <c r="K4" s="48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</row>
    <row r="5" spans="2:22" ht="27" customHeight="1">
      <c r="B5" s="49">
        <v>1</v>
      </c>
      <c r="C5" s="50" t="s">
        <v>26</v>
      </c>
      <c r="D5" s="50"/>
      <c r="E5" s="51" t="s">
        <v>97</v>
      </c>
      <c r="F5" s="52" t="s">
        <v>97</v>
      </c>
      <c r="G5" s="53" t="s">
        <v>98</v>
      </c>
      <c r="H5" s="54">
        <v>2</v>
      </c>
      <c r="I5" s="54">
        <v>2</v>
      </c>
      <c r="J5" s="54">
        <v>2</v>
      </c>
      <c r="K5" s="57"/>
      <c r="L5" s="58">
        <f t="shared" ref="L5:L8" si="0">MIN(H5:K5)</f>
        <v>2</v>
      </c>
      <c r="M5" s="58">
        <f t="shared" ref="M5:M8" si="1">IF(AND(ISBLANK(H5),ISBLANK(I5),ISBLANK(J5),ISBLANK(K5)),,AVERAGE(H5:K5))</f>
        <v>2</v>
      </c>
      <c r="N5" s="58">
        <f t="shared" ref="N5:N8" si="2">MAX(H5:K5)</f>
        <v>2</v>
      </c>
      <c r="O5" s="59">
        <f t="shared" ref="O5:O8" si="3">IF(AND(ISNUMBER(M5),M5&lt;&gt;0),MAX(M5-L5,N5-M5)/M5,"")</f>
        <v>0</v>
      </c>
      <c r="P5" s="60" t="str">
        <f>IF(O5&gt;基础信息!$F$3,"N","Y")</f>
        <v>Y</v>
      </c>
      <c r="Q5" s="60">
        <f>VLOOKUP(E5&amp;F5,基础信息!$D$11:$E$20,2,0)</f>
        <v>1</v>
      </c>
      <c r="R5" s="58">
        <f t="shared" ref="R5:R8" si="4">M5*Q5</f>
        <v>2</v>
      </c>
      <c r="S5" s="61">
        <v>0</v>
      </c>
      <c r="T5" s="58">
        <f t="shared" ref="T5:T8" si="5">IF(G5="是",R5*S5,0)</f>
        <v>0</v>
      </c>
      <c r="U5" s="58">
        <f t="shared" ref="U5:U8" si="6">R5-T5</f>
        <v>2</v>
      </c>
      <c r="V5" s="62"/>
    </row>
    <row r="6" spans="2:22" ht="27" customHeight="1">
      <c r="B6" s="49">
        <v>2</v>
      </c>
      <c r="C6" s="50"/>
      <c r="D6" s="50"/>
      <c r="E6" s="51" t="s">
        <v>97</v>
      </c>
      <c r="F6" s="52" t="s">
        <v>97</v>
      </c>
      <c r="G6" s="53" t="s">
        <v>98</v>
      </c>
      <c r="H6" s="54"/>
      <c r="I6" s="54"/>
      <c r="J6" s="54"/>
      <c r="K6" s="57"/>
      <c r="L6" s="58">
        <f t="shared" si="0"/>
        <v>0</v>
      </c>
      <c r="M6" s="58">
        <f t="shared" si="1"/>
        <v>0</v>
      </c>
      <c r="N6" s="58">
        <f t="shared" si="2"/>
        <v>0</v>
      </c>
      <c r="O6" s="59" t="str">
        <f t="shared" si="3"/>
        <v/>
      </c>
      <c r="P6" s="60" t="str">
        <f>IF(O6&gt;基础信息!$F$3,"N","Y")</f>
        <v>N</v>
      </c>
      <c r="Q6" s="60">
        <f>VLOOKUP(E6&amp;F6,基础信息!$D$11:$E$20,2,0)</f>
        <v>1</v>
      </c>
      <c r="R6" s="58">
        <f t="shared" si="4"/>
        <v>0</v>
      </c>
      <c r="S6" s="61">
        <v>0</v>
      </c>
      <c r="T6" s="58">
        <f t="shared" si="5"/>
        <v>0</v>
      </c>
      <c r="U6" s="58">
        <f t="shared" si="6"/>
        <v>0</v>
      </c>
      <c r="V6" s="62"/>
    </row>
    <row r="7" spans="2:22" ht="27" customHeight="1">
      <c r="B7" s="49">
        <v>5</v>
      </c>
      <c r="C7" s="50"/>
      <c r="D7" s="50"/>
      <c r="E7" s="51" t="s">
        <v>97</v>
      </c>
      <c r="F7" s="52" t="s">
        <v>97</v>
      </c>
      <c r="G7" s="53" t="s">
        <v>98</v>
      </c>
      <c r="H7" s="54"/>
      <c r="I7" s="54"/>
      <c r="J7" s="54"/>
      <c r="K7" s="57"/>
      <c r="L7" s="58">
        <f t="shared" si="0"/>
        <v>0</v>
      </c>
      <c r="M7" s="58">
        <f t="shared" si="1"/>
        <v>0</v>
      </c>
      <c r="N7" s="58">
        <f t="shared" si="2"/>
        <v>0</v>
      </c>
      <c r="O7" s="59" t="str">
        <f t="shared" si="3"/>
        <v/>
      </c>
      <c r="P7" s="60" t="str">
        <f>IF(O7&gt;基础信息!$F$3,"N","Y")</f>
        <v>N</v>
      </c>
      <c r="Q7" s="60">
        <f>VLOOKUP(E7&amp;F7,基础信息!$D$11:$E$20,2,0)</f>
        <v>1</v>
      </c>
      <c r="R7" s="58">
        <f t="shared" si="4"/>
        <v>0</v>
      </c>
      <c r="S7" s="61">
        <v>0</v>
      </c>
      <c r="T7" s="58">
        <f t="shared" si="5"/>
        <v>0</v>
      </c>
      <c r="U7" s="58">
        <f t="shared" si="6"/>
        <v>0</v>
      </c>
      <c r="V7" s="62"/>
    </row>
    <row r="8" spans="2:22" ht="27" customHeight="1">
      <c r="B8" s="49">
        <v>6</v>
      </c>
      <c r="C8" s="50"/>
      <c r="D8" s="50"/>
      <c r="E8" s="51" t="s">
        <v>97</v>
      </c>
      <c r="F8" s="52" t="s">
        <v>97</v>
      </c>
      <c r="G8" s="53" t="s">
        <v>98</v>
      </c>
      <c r="H8" s="54"/>
      <c r="I8" s="54"/>
      <c r="J8" s="54"/>
      <c r="K8" s="57"/>
      <c r="L8" s="58">
        <f t="shared" si="0"/>
        <v>0</v>
      </c>
      <c r="M8" s="58">
        <f t="shared" si="1"/>
        <v>0</v>
      </c>
      <c r="N8" s="58">
        <f t="shared" si="2"/>
        <v>0</v>
      </c>
      <c r="O8" s="59" t="str">
        <f t="shared" si="3"/>
        <v/>
      </c>
      <c r="P8" s="60" t="str">
        <f>IF(O8&gt;基础信息!$F$3,"N","Y")</f>
        <v>N</v>
      </c>
      <c r="Q8" s="60">
        <f>VLOOKUP(E8&amp;F8,基础信息!$D$11:$E$20,2,0)</f>
        <v>1</v>
      </c>
      <c r="R8" s="58">
        <f t="shared" si="4"/>
        <v>0</v>
      </c>
      <c r="S8" s="61">
        <v>0</v>
      </c>
      <c r="T8" s="58">
        <f t="shared" si="5"/>
        <v>0</v>
      </c>
      <c r="U8" s="58">
        <f t="shared" si="6"/>
        <v>0</v>
      </c>
      <c r="V8" s="62"/>
    </row>
    <row r="9" spans="2:22" ht="27" customHeight="1">
      <c r="B9" s="182" t="s">
        <v>99</v>
      </c>
      <c r="C9" s="182"/>
      <c r="D9" s="55" t="s">
        <v>100</v>
      </c>
      <c r="E9" s="55">
        <f>COUNTIF(E5:E8,"高")</f>
        <v>0</v>
      </c>
      <c r="F9" s="55">
        <f>COUNTIF(F5:F8,"高")</f>
        <v>0</v>
      </c>
      <c r="G9" s="55">
        <f>COUNTIF(G5:G8,"是")</f>
        <v>0</v>
      </c>
      <c r="H9" s="242">
        <f t="shared" ref="H9:N9" si="7">SUM(H5:H8)</f>
        <v>2</v>
      </c>
      <c r="I9" s="242">
        <f t="shared" si="7"/>
        <v>2</v>
      </c>
      <c r="J9" s="242">
        <f t="shared" si="7"/>
        <v>2</v>
      </c>
      <c r="K9" s="242">
        <f t="shared" si="7"/>
        <v>0</v>
      </c>
      <c r="L9" s="242">
        <f t="shared" si="7"/>
        <v>2</v>
      </c>
      <c r="M9" s="242">
        <f t="shared" si="7"/>
        <v>2</v>
      </c>
      <c r="N9" s="242">
        <f t="shared" si="7"/>
        <v>2</v>
      </c>
      <c r="O9" s="242"/>
      <c r="P9" s="55">
        <f>COUNTIF(P5:P8,"Y")</f>
        <v>1</v>
      </c>
      <c r="Q9" s="242"/>
      <c r="R9" s="242">
        <f t="shared" ref="R9:U9" si="8">SUM(R5:R8)</f>
        <v>2</v>
      </c>
      <c r="S9" s="233"/>
      <c r="T9" s="242">
        <f t="shared" si="8"/>
        <v>0</v>
      </c>
      <c r="U9" s="242">
        <f t="shared" si="8"/>
        <v>2</v>
      </c>
      <c r="V9" s="219"/>
    </row>
    <row r="10" spans="2:22" ht="27" customHeight="1">
      <c r="B10" s="182"/>
      <c r="C10" s="182"/>
      <c r="D10" s="55" t="s">
        <v>97</v>
      </c>
      <c r="E10" s="55">
        <f>COUNTIF(E5:E8,"中")</f>
        <v>4</v>
      </c>
      <c r="F10" s="55">
        <f>COUNTIF(F5:F8,"中")</f>
        <v>4</v>
      </c>
      <c r="G10" s="55">
        <f>COUNTIF(G5:G8,"否")</f>
        <v>4</v>
      </c>
      <c r="H10" s="242"/>
      <c r="I10" s="242"/>
      <c r="J10" s="242"/>
      <c r="K10" s="242"/>
      <c r="L10" s="242"/>
      <c r="M10" s="242"/>
      <c r="N10" s="242"/>
      <c r="O10" s="242"/>
      <c r="P10" s="55">
        <f>COUNTIF(P5:P8,"N")</f>
        <v>3</v>
      </c>
      <c r="Q10" s="242"/>
      <c r="R10" s="242"/>
      <c r="S10" s="234"/>
      <c r="T10" s="242"/>
      <c r="U10" s="242"/>
      <c r="V10" s="219"/>
    </row>
    <row r="11" spans="2:22" ht="27" customHeight="1">
      <c r="B11" s="182"/>
      <c r="C11" s="182"/>
      <c r="D11" s="55" t="s">
        <v>101</v>
      </c>
      <c r="E11" s="55">
        <f>COUNTIF(E5:E8,"低")</f>
        <v>0</v>
      </c>
      <c r="F11" s="55">
        <f>COUNTIF(F5:F8,"低")</f>
        <v>0</v>
      </c>
      <c r="G11" s="55"/>
      <c r="H11" s="242"/>
      <c r="I11" s="242"/>
      <c r="J11" s="242"/>
      <c r="K11" s="242"/>
      <c r="L11" s="242"/>
      <c r="M11" s="242"/>
      <c r="N11" s="242"/>
      <c r="O11" s="242"/>
      <c r="P11" s="55"/>
      <c r="Q11" s="242"/>
      <c r="R11" s="242"/>
      <c r="S11" s="235"/>
      <c r="T11" s="242"/>
      <c r="U11" s="242"/>
      <c r="V11" s="219"/>
    </row>
  </sheetData>
  <mergeCells count="34">
    <mergeCell ref="B9:C11"/>
    <mergeCell ref="T9:T11"/>
    <mergeCell ref="U3:U4"/>
    <mergeCell ref="U9:U11"/>
    <mergeCell ref="V3:V4"/>
    <mergeCell ref="V9:V11"/>
    <mergeCell ref="Q9:Q11"/>
    <mergeCell ref="R3:R4"/>
    <mergeCell ref="R9:R11"/>
    <mergeCell ref="S3:S4"/>
    <mergeCell ref="S9:S11"/>
    <mergeCell ref="M9:M11"/>
    <mergeCell ref="N3:N4"/>
    <mergeCell ref="N9:N11"/>
    <mergeCell ref="O3:O4"/>
    <mergeCell ref="O9:O11"/>
    <mergeCell ref="H9:H11"/>
    <mergeCell ref="I9:I11"/>
    <mergeCell ref="J9:J11"/>
    <mergeCell ref="K9:K11"/>
    <mergeCell ref="L3:L4"/>
    <mergeCell ref="L9:L11"/>
    <mergeCell ref="B1:V1"/>
    <mergeCell ref="H3:K3"/>
    <mergeCell ref="B3:B4"/>
    <mergeCell ref="C3:C4"/>
    <mergeCell ref="D3:D4"/>
    <mergeCell ref="E3:E4"/>
    <mergeCell ref="F3:F4"/>
    <mergeCell ref="G3:G4"/>
    <mergeCell ref="M3:M4"/>
    <mergeCell ref="P3:P4"/>
    <mergeCell ref="Q3:Q4"/>
    <mergeCell ref="T3:T4"/>
  </mergeCells>
  <phoneticPr fontId="25" type="noConversion"/>
  <dataValidations count="4">
    <dataValidation allowBlank="1" showInputMessage="1" showErrorMessage="1" prompt="功能需求项内容=功能需求编号+功能需求内容描述_x000a__x000a_非功能需求项=非功能需求属性+内容描述" sqref="D5 C5:C8 D6:D8"/>
    <dataValidation type="list" allowBlank="1" showInputMessage="1" showErrorMessage="1" sqref="E5:E8">
      <formula1>难易程度</formula1>
    </dataValidation>
    <dataValidation type="list" allowBlank="1" showInputMessage="1" showErrorMessage="1" sqref="F5:F8">
      <formula1>优先级</formula1>
    </dataValidation>
    <dataValidation type="list" allowBlank="1" showInputMessage="1" showErrorMessage="1" sqref="G5:G8">
      <formula1>是否复用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workbookViewId="0">
      <selection activeCell="I21" sqref="I21"/>
    </sheetView>
  </sheetViews>
  <sheetFormatPr defaultColWidth="9" defaultRowHeight="13.5"/>
  <cols>
    <col min="1" max="16384" width="9" style="31"/>
  </cols>
  <sheetData>
    <row r="2" spans="2:6">
      <c r="B2" s="32" t="s">
        <v>79</v>
      </c>
      <c r="C2" s="32" t="s">
        <v>80</v>
      </c>
      <c r="D2" s="32" t="s">
        <v>81</v>
      </c>
      <c r="F2" s="33" t="s">
        <v>108</v>
      </c>
    </row>
    <row r="3" spans="2:6">
      <c r="B3" s="34" t="s">
        <v>100</v>
      </c>
      <c r="C3" s="34" t="s">
        <v>100</v>
      </c>
      <c r="D3" s="34" t="s">
        <v>109</v>
      </c>
      <c r="F3" s="35">
        <v>0.3</v>
      </c>
    </row>
    <row r="4" spans="2:6">
      <c r="B4" s="34" t="s">
        <v>97</v>
      </c>
      <c r="C4" s="34" t="s">
        <v>97</v>
      </c>
      <c r="D4" s="34" t="s">
        <v>98</v>
      </c>
    </row>
    <row r="5" spans="2:6">
      <c r="B5" s="34" t="s">
        <v>101</v>
      </c>
      <c r="C5" s="34" t="s">
        <v>101</v>
      </c>
      <c r="D5" s="34"/>
    </row>
    <row r="11" spans="2:6">
      <c r="B11" s="36" t="s">
        <v>79</v>
      </c>
      <c r="C11" s="37" t="s">
        <v>80</v>
      </c>
      <c r="D11" s="38" t="s">
        <v>110</v>
      </c>
      <c r="E11" s="39" t="s">
        <v>89</v>
      </c>
    </row>
    <row r="12" spans="2:6">
      <c r="B12" s="40" t="s">
        <v>100</v>
      </c>
      <c r="C12" s="34" t="s">
        <v>100</v>
      </c>
      <c r="D12" s="41" t="s">
        <v>111</v>
      </c>
      <c r="E12" s="42">
        <v>2</v>
      </c>
    </row>
    <row r="13" spans="2:6">
      <c r="B13" s="40" t="s">
        <v>100</v>
      </c>
      <c r="C13" s="34" t="s">
        <v>97</v>
      </c>
      <c r="D13" s="41" t="s">
        <v>112</v>
      </c>
      <c r="E13" s="42">
        <v>1.5</v>
      </c>
    </row>
    <row r="14" spans="2:6">
      <c r="B14" s="40" t="s">
        <v>97</v>
      </c>
      <c r="C14" s="34" t="s">
        <v>100</v>
      </c>
      <c r="D14" s="41" t="s">
        <v>113</v>
      </c>
      <c r="E14" s="42">
        <v>1.5</v>
      </c>
    </row>
    <row r="15" spans="2:6">
      <c r="B15" s="40" t="s">
        <v>97</v>
      </c>
      <c r="C15" s="34" t="s">
        <v>97</v>
      </c>
      <c r="D15" s="41" t="s">
        <v>114</v>
      </c>
      <c r="E15" s="42">
        <v>1</v>
      </c>
    </row>
    <row r="16" spans="2:6">
      <c r="B16" s="40" t="s">
        <v>100</v>
      </c>
      <c r="C16" s="34" t="s">
        <v>101</v>
      </c>
      <c r="D16" s="41" t="s">
        <v>115</v>
      </c>
      <c r="E16" s="42">
        <v>0.8</v>
      </c>
    </row>
    <row r="17" spans="2:5">
      <c r="B17" s="40" t="s">
        <v>101</v>
      </c>
      <c r="C17" s="34" t="s">
        <v>100</v>
      </c>
      <c r="D17" s="41" t="s">
        <v>116</v>
      </c>
      <c r="E17" s="42">
        <v>0.8</v>
      </c>
    </row>
    <row r="18" spans="2:5">
      <c r="B18" s="40" t="s">
        <v>97</v>
      </c>
      <c r="C18" s="34" t="s">
        <v>101</v>
      </c>
      <c r="D18" s="41" t="s">
        <v>117</v>
      </c>
      <c r="E18" s="42">
        <v>0.5</v>
      </c>
    </row>
    <row r="19" spans="2:5">
      <c r="B19" s="40" t="s">
        <v>101</v>
      </c>
      <c r="C19" s="34" t="s">
        <v>97</v>
      </c>
      <c r="D19" s="41" t="s">
        <v>118</v>
      </c>
      <c r="E19" s="42">
        <v>0.5</v>
      </c>
    </row>
    <row r="20" spans="2:5">
      <c r="B20" s="43" t="s">
        <v>101</v>
      </c>
      <c r="C20" s="44" t="s">
        <v>101</v>
      </c>
      <c r="D20" s="41" t="s">
        <v>119</v>
      </c>
      <c r="E20" s="45">
        <v>0.5</v>
      </c>
    </row>
  </sheetData>
  <phoneticPr fontId="2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项目总体评估 </vt:lpstr>
      <vt:lpstr>UI_工作量评估</vt:lpstr>
      <vt:lpstr>.NET_工作量评估</vt:lpstr>
      <vt:lpstr>U3D_工作量评估</vt:lpstr>
      <vt:lpstr>建模_工作量评估</vt:lpstr>
      <vt:lpstr>场景_工作量评估</vt:lpstr>
      <vt:lpstr>动画_工作量评估</vt:lpstr>
      <vt:lpstr>特效_工作量评估</vt:lpstr>
      <vt:lpstr>基础信息</vt:lpstr>
      <vt:lpstr>技术复杂度评估表</vt:lpstr>
      <vt:lpstr>附录-节假日</vt:lpstr>
      <vt:lpstr>分析</vt:lpstr>
      <vt:lpstr>难易程度</vt:lpstr>
      <vt:lpstr>是否复用</vt:lpstr>
      <vt:lpstr>优先级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陆地</dc:creator>
  <cp:lastModifiedBy>Windows 用户</cp:lastModifiedBy>
  <dcterms:created xsi:type="dcterms:W3CDTF">2006-09-16T00:00:00Z</dcterms:created>
  <dcterms:modified xsi:type="dcterms:W3CDTF">2018-11-16T08:16:22Z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