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copy\CMMI 4 Ｖ2.1\10.项目管理\项目估算表\"/>
    </mc:Choice>
  </mc:AlternateContent>
  <bookViews>
    <workbookView xWindow="0" yWindow="30" windowWidth="15360" windowHeight="7845" firstSheet="7" activeTab="11"/>
  </bookViews>
  <sheets>
    <sheet name="项目总体评估 " sheetId="1" r:id="rId1"/>
    <sheet name="UI_工作量评估" sheetId="2" r:id="rId2"/>
    <sheet name=".NET_工作量评估" sheetId="11" r:id="rId3"/>
    <sheet name="U3D_工作量评估" sheetId="3" r:id="rId4"/>
    <sheet name="建模_工作量评估" sheetId="4" r:id="rId5"/>
    <sheet name="烘焙_工作量评估" sheetId="5" r:id="rId6"/>
    <sheet name="动画_工作量评估" sheetId="6" r:id="rId7"/>
    <sheet name="特效_工作量评估" sheetId="7" r:id="rId8"/>
    <sheet name="基础信息" sheetId="8" r:id="rId9"/>
    <sheet name="人员评估系数表" sheetId="12" r:id="rId10"/>
    <sheet name="技术复杂度评估表" sheetId="9" r:id="rId11"/>
    <sheet name="附录-节假日" sheetId="10" r:id="rId12"/>
    <sheet name="Sheet1" sheetId="13" r:id="rId13"/>
  </sheets>
  <externalReferences>
    <externalReference r:id="rId14"/>
  </externalReferences>
  <definedNames>
    <definedName name="_xlnm._FilterDatabase" localSheetId="3" hidden="1">U3D_工作量评估!$B$3:$V$23</definedName>
    <definedName name="_xlnm._FilterDatabase" localSheetId="1" hidden="1">UI_工作量评估!$B$3:$X$10</definedName>
    <definedName name="_xlnm._FilterDatabase" localSheetId="5" hidden="1">烘焙_工作量评估!$B$3:$V$13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复杂度" localSheetId="6">#REF!</definedName>
    <definedName name="复杂度" localSheetId="5">#REF!</definedName>
    <definedName name="复杂度" localSheetId="7">#REF!</definedName>
    <definedName name="复杂度">#REF!</definedName>
    <definedName name="难易程度">基础信息!$B$3:$B$5</definedName>
    <definedName name="是否复用">基础信息!$D$3:$D$5</definedName>
    <definedName name="问题跟踪" localSheetId="6">[1]选项列表!#REF!</definedName>
    <definedName name="问题跟踪" localSheetId="5">[1]选项列表!#REF!</definedName>
    <definedName name="问题跟踪" localSheetId="7">[1]选项列表!#REF!</definedName>
    <definedName name="问题跟踪">[1]选项列表!#REF!</definedName>
    <definedName name="问题状态" localSheetId="6">[1]选项列表!#REF!</definedName>
    <definedName name="问题状态" localSheetId="5">[1]选项列表!#REF!</definedName>
    <definedName name="问题状态" localSheetId="7">[1]选项列表!#REF!</definedName>
    <definedName name="问题状态">[1]选项列表!#REF!</definedName>
    <definedName name="优先级">基础信息!$C$3:$C$5</definedName>
  </definedNames>
  <calcPr calcId="152511" concurrentCalc="0"/>
</workbook>
</file>

<file path=xl/calcChain.xml><?xml version="1.0" encoding="utf-8"?>
<calcChain xmlns="http://schemas.openxmlformats.org/spreadsheetml/2006/main">
  <c r="G22" i="3" l="1"/>
  <c r="G21" i="3"/>
  <c r="G10" i="11"/>
  <c r="G9" i="11"/>
  <c r="G9" i="2"/>
  <c r="G8" i="2"/>
  <c r="F23" i="3"/>
  <c r="E23" i="3"/>
  <c r="F22" i="3"/>
  <c r="E22" i="3"/>
  <c r="F21" i="3"/>
  <c r="E21" i="3"/>
  <c r="T9" i="11"/>
  <c r="F10" i="2"/>
  <c r="E10" i="2"/>
  <c r="F9" i="2"/>
  <c r="E9" i="2"/>
  <c r="F8" i="2"/>
  <c r="E8" i="2"/>
  <c r="T7" i="11"/>
  <c r="U7" i="11"/>
  <c r="Q7" i="11"/>
  <c r="L7" i="11"/>
  <c r="M7" i="11"/>
  <c r="R7" i="11"/>
  <c r="N7" i="11"/>
  <c r="J8" i="2"/>
  <c r="M5" i="11"/>
  <c r="M6" i="11"/>
  <c r="R6" i="11"/>
  <c r="U6" i="11"/>
  <c r="M8" i="11"/>
  <c r="M9" i="11"/>
  <c r="N5" i="11"/>
  <c r="N6" i="11"/>
  <c r="N8" i="11"/>
  <c r="L5" i="11"/>
  <c r="L6" i="11"/>
  <c r="L8" i="11"/>
  <c r="Q5" i="11"/>
  <c r="R5" i="11"/>
  <c r="R9" i="11"/>
  <c r="E13" i="1"/>
  <c r="D43" i="1"/>
  <c r="F43" i="1"/>
  <c r="T5" i="11"/>
  <c r="U5" i="11"/>
  <c r="Q6" i="11"/>
  <c r="T6" i="11"/>
  <c r="Q8" i="11"/>
  <c r="R8" i="11"/>
  <c r="T8" i="11"/>
  <c r="U8" i="11"/>
  <c r="O5" i="11"/>
  <c r="P5" i="11"/>
  <c r="O8" i="11"/>
  <c r="P8" i="11"/>
  <c r="F11" i="11"/>
  <c r="F10" i="11"/>
  <c r="F9" i="11"/>
  <c r="E10" i="11"/>
  <c r="E11" i="11"/>
  <c r="E9" i="11"/>
  <c r="K9" i="11"/>
  <c r="J9" i="11"/>
  <c r="I9" i="11"/>
  <c r="H9" i="11"/>
  <c r="S5" i="2"/>
  <c r="S6" i="2"/>
  <c r="S7" i="2"/>
  <c r="M5" i="3"/>
  <c r="Q5" i="3"/>
  <c r="R5" i="3"/>
  <c r="U5" i="3"/>
  <c r="T5" i="3"/>
  <c r="T21" i="3"/>
  <c r="M6" i="3"/>
  <c r="M21" i="3"/>
  <c r="Q6" i="3"/>
  <c r="R6" i="3"/>
  <c r="T6" i="3"/>
  <c r="U6" i="3"/>
  <c r="M7" i="3"/>
  <c r="Q7" i="3"/>
  <c r="R7" i="3"/>
  <c r="U7" i="3"/>
  <c r="T7" i="3"/>
  <c r="M8" i="3"/>
  <c r="Q8" i="3"/>
  <c r="R8" i="3"/>
  <c r="T8" i="3"/>
  <c r="U8" i="3"/>
  <c r="M9" i="3"/>
  <c r="Q9" i="3"/>
  <c r="R9" i="3"/>
  <c r="U9" i="3"/>
  <c r="T9" i="3"/>
  <c r="M10" i="3"/>
  <c r="Q10" i="3"/>
  <c r="R10" i="3"/>
  <c r="T10" i="3"/>
  <c r="U10" i="3"/>
  <c r="M11" i="3"/>
  <c r="Q11" i="3"/>
  <c r="R11" i="3"/>
  <c r="U11" i="3"/>
  <c r="T11" i="3"/>
  <c r="M12" i="3"/>
  <c r="Q12" i="3"/>
  <c r="R12" i="3"/>
  <c r="T12" i="3"/>
  <c r="U12" i="3"/>
  <c r="M13" i="3"/>
  <c r="Q13" i="3"/>
  <c r="R13" i="3"/>
  <c r="U13" i="3"/>
  <c r="T13" i="3"/>
  <c r="M14" i="3"/>
  <c r="Q14" i="3"/>
  <c r="R14" i="3"/>
  <c r="T14" i="3"/>
  <c r="U14" i="3"/>
  <c r="M15" i="3"/>
  <c r="Q15" i="3"/>
  <c r="R15" i="3"/>
  <c r="U15" i="3"/>
  <c r="T15" i="3"/>
  <c r="M16" i="3"/>
  <c r="Q16" i="3"/>
  <c r="R16" i="3"/>
  <c r="T16" i="3"/>
  <c r="U16" i="3"/>
  <c r="M17" i="3"/>
  <c r="Q17" i="3"/>
  <c r="R17" i="3"/>
  <c r="U17" i="3"/>
  <c r="T17" i="3"/>
  <c r="M18" i="3"/>
  <c r="Q18" i="3"/>
  <c r="R18" i="3"/>
  <c r="T18" i="3"/>
  <c r="U18" i="3"/>
  <c r="M19" i="3"/>
  <c r="Q19" i="3"/>
  <c r="R19" i="3"/>
  <c r="U19" i="3"/>
  <c r="T19" i="3"/>
  <c r="M20" i="3"/>
  <c r="Q20" i="3"/>
  <c r="R20" i="3"/>
  <c r="T20" i="3"/>
  <c r="U20" i="3"/>
  <c r="M5" i="4"/>
  <c r="Q5" i="4"/>
  <c r="R5" i="4"/>
  <c r="T5" i="4"/>
  <c r="U5" i="4"/>
  <c r="M6" i="4"/>
  <c r="Q6" i="4"/>
  <c r="R6" i="4"/>
  <c r="T6" i="4"/>
  <c r="M7" i="4"/>
  <c r="Q7" i="4"/>
  <c r="R7" i="4"/>
  <c r="T7" i="4"/>
  <c r="U7" i="4"/>
  <c r="M8" i="4"/>
  <c r="Q8" i="4"/>
  <c r="R8" i="4"/>
  <c r="U8" i="4"/>
  <c r="T8" i="4"/>
  <c r="M9" i="4"/>
  <c r="Q9" i="4"/>
  <c r="R9" i="4"/>
  <c r="T9" i="4"/>
  <c r="U9" i="4"/>
  <c r="M10" i="4"/>
  <c r="Q10" i="4"/>
  <c r="R10" i="4"/>
  <c r="U10" i="4"/>
  <c r="T10" i="4"/>
  <c r="M11" i="4"/>
  <c r="Q11" i="4"/>
  <c r="R11" i="4"/>
  <c r="T11" i="4"/>
  <c r="U11" i="4"/>
  <c r="M5" i="5"/>
  <c r="Q5" i="5"/>
  <c r="R5" i="5"/>
  <c r="T5" i="5"/>
  <c r="U5" i="5"/>
  <c r="M6" i="5"/>
  <c r="Q6" i="5"/>
  <c r="R6" i="5"/>
  <c r="T6" i="5"/>
  <c r="T11" i="5"/>
  <c r="M7" i="5"/>
  <c r="Q7" i="5"/>
  <c r="R7" i="5"/>
  <c r="T7" i="5"/>
  <c r="U7" i="5"/>
  <c r="M8" i="5"/>
  <c r="Q8" i="5"/>
  <c r="R8" i="5"/>
  <c r="T8" i="5"/>
  <c r="M9" i="5"/>
  <c r="Q9" i="5"/>
  <c r="R9" i="5"/>
  <c r="T9" i="5"/>
  <c r="U9" i="5"/>
  <c r="M10" i="5"/>
  <c r="Q10" i="5"/>
  <c r="R10" i="5"/>
  <c r="T10" i="5"/>
  <c r="R11" i="5"/>
  <c r="E16" i="1"/>
  <c r="I39" i="1"/>
  <c r="K39" i="1"/>
  <c r="D39" i="1"/>
  <c r="F39" i="1"/>
  <c r="H25" i="1"/>
  <c r="H30" i="1"/>
  <c r="F25" i="1"/>
  <c r="F30" i="1"/>
  <c r="H21" i="3"/>
  <c r="K21" i="3"/>
  <c r="J21" i="3"/>
  <c r="I21" i="3"/>
  <c r="E1" i="9"/>
  <c r="F8" i="7"/>
  <c r="E8" i="7"/>
  <c r="G7" i="7"/>
  <c r="F7" i="7"/>
  <c r="E7" i="7"/>
  <c r="K6" i="7"/>
  <c r="J6" i="7"/>
  <c r="I6" i="7"/>
  <c r="H6" i="7"/>
  <c r="G6" i="7"/>
  <c r="F6" i="7"/>
  <c r="E6" i="7"/>
  <c r="T5" i="7"/>
  <c r="T6" i="7"/>
  <c r="Q5" i="7"/>
  <c r="N5" i="7"/>
  <c r="N6" i="7"/>
  <c r="M5" i="7"/>
  <c r="M6" i="7"/>
  <c r="L5" i="7"/>
  <c r="L6" i="7"/>
  <c r="F10" i="6"/>
  <c r="E10" i="6"/>
  <c r="G9" i="6"/>
  <c r="F9" i="6"/>
  <c r="E9" i="6"/>
  <c r="K8" i="6"/>
  <c r="J8" i="6"/>
  <c r="I8" i="6"/>
  <c r="H8" i="6"/>
  <c r="G8" i="6"/>
  <c r="F8" i="6"/>
  <c r="E8" i="6"/>
  <c r="T7" i="6"/>
  <c r="Q7" i="6"/>
  <c r="N7" i="6"/>
  <c r="M7" i="6"/>
  <c r="L7" i="6"/>
  <c r="T6" i="6"/>
  <c r="Q6" i="6"/>
  <c r="N6" i="6"/>
  <c r="M6" i="6"/>
  <c r="L6" i="6"/>
  <c r="T5" i="6"/>
  <c r="T8" i="6"/>
  <c r="Q5" i="6"/>
  <c r="N5" i="6"/>
  <c r="M5" i="6"/>
  <c r="L5" i="6"/>
  <c r="L8" i="6"/>
  <c r="F13" i="5"/>
  <c r="E13" i="5"/>
  <c r="G12" i="5"/>
  <c r="F12" i="5"/>
  <c r="E12" i="5"/>
  <c r="K11" i="5"/>
  <c r="J11" i="5"/>
  <c r="I11" i="5"/>
  <c r="H11" i="5"/>
  <c r="G11" i="5"/>
  <c r="F11" i="5"/>
  <c r="E11" i="5"/>
  <c r="N10" i="5"/>
  <c r="L10" i="5"/>
  <c r="O10" i="5"/>
  <c r="P10" i="5"/>
  <c r="N9" i="5"/>
  <c r="L9" i="5"/>
  <c r="N8" i="5"/>
  <c r="L8" i="5"/>
  <c r="O8" i="5"/>
  <c r="P8" i="5"/>
  <c r="N7" i="5"/>
  <c r="N11" i="5"/>
  <c r="L7" i="5"/>
  <c r="O7" i="5"/>
  <c r="P7" i="5"/>
  <c r="N6" i="5"/>
  <c r="L6" i="5"/>
  <c r="N5" i="5"/>
  <c r="L5" i="5"/>
  <c r="L11" i="5"/>
  <c r="F14" i="4"/>
  <c r="E14" i="4"/>
  <c r="G13" i="4"/>
  <c r="F13" i="4"/>
  <c r="E13" i="4"/>
  <c r="K12" i="4"/>
  <c r="J12" i="4"/>
  <c r="I12" i="4"/>
  <c r="H12" i="4"/>
  <c r="G12" i="4"/>
  <c r="F12" i="4"/>
  <c r="E12" i="4"/>
  <c r="N11" i="4"/>
  <c r="L11" i="4"/>
  <c r="N10" i="4"/>
  <c r="L10" i="4"/>
  <c r="N9" i="4"/>
  <c r="L9" i="4"/>
  <c r="N8" i="4"/>
  <c r="L8" i="4"/>
  <c r="O8" i="4"/>
  <c r="P8" i="4"/>
  <c r="N7" i="4"/>
  <c r="L7" i="4"/>
  <c r="O7" i="4"/>
  <c r="P7" i="4"/>
  <c r="N6" i="4"/>
  <c r="L6" i="4"/>
  <c r="O6" i="4"/>
  <c r="P6" i="4"/>
  <c r="N5" i="4"/>
  <c r="N12" i="4"/>
  <c r="L5" i="4"/>
  <c r="L12" i="4"/>
  <c r="N20" i="3"/>
  <c r="O20" i="3"/>
  <c r="P20" i="3"/>
  <c r="L20" i="3"/>
  <c r="N19" i="3"/>
  <c r="O19" i="3"/>
  <c r="P19" i="3"/>
  <c r="L19" i="3"/>
  <c r="N18" i="3"/>
  <c r="O18" i="3"/>
  <c r="P18" i="3"/>
  <c r="L18" i="3"/>
  <c r="N17" i="3"/>
  <c r="O17" i="3"/>
  <c r="P17" i="3"/>
  <c r="L17" i="3"/>
  <c r="N16" i="3"/>
  <c r="O16" i="3"/>
  <c r="P16" i="3"/>
  <c r="L16" i="3"/>
  <c r="N15" i="3"/>
  <c r="O15" i="3"/>
  <c r="P15" i="3"/>
  <c r="L15" i="3"/>
  <c r="N14" i="3"/>
  <c r="O14" i="3"/>
  <c r="P14" i="3"/>
  <c r="L14" i="3"/>
  <c r="N13" i="3"/>
  <c r="O13" i="3"/>
  <c r="P13" i="3"/>
  <c r="L13" i="3"/>
  <c r="N12" i="3"/>
  <c r="O12" i="3"/>
  <c r="P12" i="3"/>
  <c r="L12" i="3"/>
  <c r="N11" i="3"/>
  <c r="O11" i="3"/>
  <c r="P11" i="3"/>
  <c r="L11" i="3"/>
  <c r="N10" i="3"/>
  <c r="O10" i="3"/>
  <c r="P10" i="3"/>
  <c r="L10" i="3"/>
  <c r="N9" i="3"/>
  <c r="O9" i="3"/>
  <c r="P9" i="3"/>
  <c r="L9" i="3"/>
  <c r="N8" i="3"/>
  <c r="O8" i="3"/>
  <c r="P8" i="3"/>
  <c r="L8" i="3"/>
  <c r="N7" i="3"/>
  <c r="O7" i="3"/>
  <c r="P7" i="3"/>
  <c r="L7" i="3"/>
  <c r="N6" i="3"/>
  <c r="O6" i="3"/>
  <c r="P6" i="3"/>
  <c r="L6" i="3"/>
  <c r="N5" i="3"/>
  <c r="N21" i="3"/>
  <c r="L5" i="3"/>
  <c r="L21" i="3"/>
  <c r="M8" i="2"/>
  <c r="L8" i="2"/>
  <c r="K8" i="2"/>
  <c r="I8" i="2"/>
  <c r="H8" i="2"/>
  <c r="P7" i="2"/>
  <c r="O7" i="2"/>
  <c r="T7" i="2"/>
  <c r="V7" i="2"/>
  <c r="N7" i="2"/>
  <c r="P6" i="2"/>
  <c r="O6" i="2"/>
  <c r="T6" i="2"/>
  <c r="N6" i="2"/>
  <c r="P5" i="2"/>
  <c r="P8" i="2"/>
  <c r="O5" i="2"/>
  <c r="N5" i="2"/>
  <c r="N8" i="2"/>
  <c r="K4" i="1"/>
  <c r="M12" i="4"/>
  <c r="O10" i="4"/>
  <c r="P10" i="4"/>
  <c r="O11" i="4"/>
  <c r="P11" i="4"/>
  <c r="O5" i="5"/>
  <c r="P5" i="5"/>
  <c r="M11" i="5"/>
  <c r="O9" i="5"/>
  <c r="P9" i="5"/>
  <c r="Q5" i="2"/>
  <c r="R5" i="2"/>
  <c r="Q7" i="2"/>
  <c r="R7" i="2"/>
  <c r="O7" i="6"/>
  <c r="P7" i="6"/>
  <c r="R5" i="7"/>
  <c r="E18" i="1"/>
  <c r="D48" i="1"/>
  <c r="F48" i="1"/>
  <c r="O6" i="5"/>
  <c r="P6" i="5"/>
  <c r="O5" i="7"/>
  <c r="P5" i="7"/>
  <c r="Q6" i="2"/>
  <c r="R6" i="2"/>
  <c r="N8" i="6"/>
  <c r="R6" i="6"/>
  <c r="U6" i="6"/>
  <c r="M8" i="6"/>
  <c r="O6" i="6"/>
  <c r="P6" i="6"/>
  <c r="P9" i="6"/>
  <c r="R5" i="6"/>
  <c r="O5" i="6"/>
  <c r="P5" i="6"/>
  <c r="R7" i="6"/>
  <c r="U7" i="6"/>
  <c r="D46" i="1"/>
  <c r="F46" i="1"/>
  <c r="D49" i="1"/>
  <c r="F49" i="1"/>
  <c r="U5" i="7"/>
  <c r="G18" i="1"/>
  <c r="I48" i="1"/>
  <c r="K48" i="1"/>
  <c r="I49" i="1"/>
  <c r="K49" i="1"/>
  <c r="T12" i="4"/>
  <c r="U5" i="6"/>
  <c r="U8" i="6"/>
  <c r="G17" i="1"/>
  <c r="I47" i="1"/>
  <c r="K47" i="1"/>
  <c r="R8" i="6"/>
  <c r="E17" i="1"/>
  <c r="D47" i="1"/>
  <c r="F47" i="1"/>
  <c r="P6" i="7"/>
  <c r="P7" i="7"/>
  <c r="R9" i="2"/>
  <c r="R8" i="2"/>
  <c r="P8" i="6"/>
  <c r="P11" i="5"/>
  <c r="P12" i="5"/>
  <c r="U6" i="7"/>
  <c r="R6" i="7"/>
  <c r="O5" i="3"/>
  <c r="P5" i="3"/>
  <c r="O5" i="4"/>
  <c r="P5" i="4"/>
  <c r="R21" i="3"/>
  <c r="E14" i="1"/>
  <c r="D44" i="1"/>
  <c r="F44" i="1"/>
  <c r="U10" i="5"/>
  <c r="U8" i="5"/>
  <c r="U6" i="5"/>
  <c r="U6" i="4"/>
  <c r="U12" i="4"/>
  <c r="G15" i="1"/>
  <c r="I45" i="1"/>
  <c r="K45" i="1"/>
  <c r="R12" i="4"/>
  <c r="E15" i="1"/>
  <c r="D45" i="1"/>
  <c r="F45" i="1"/>
  <c r="V6" i="2"/>
  <c r="W6" i="2"/>
  <c r="O6" i="11"/>
  <c r="P6" i="11"/>
  <c r="P10" i="11"/>
  <c r="U9" i="11"/>
  <c r="G13" i="1"/>
  <c r="I43" i="1"/>
  <c r="K43" i="1"/>
  <c r="N9" i="11"/>
  <c r="O8" i="2"/>
  <c r="T5" i="2"/>
  <c r="W7" i="2"/>
  <c r="O9" i="4"/>
  <c r="P9" i="4"/>
  <c r="U21" i="3"/>
  <c r="G14" i="1"/>
  <c r="I44" i="1"/>
  <c r="K44" i="1"/>
  <c r="L9" i="11"/>
  <c r="O7" i="11"/>
  <c r="P7" i="11"/>
  <c r="P9" i="11"/>
  <c r="T8" i="2"/>
  <c r="E12" i="1"/>
  <c r="V5" i="2"/>
  <c r="V8" i="2"/>
  <c r="P13" i="4"/>
  <c r="P12" i="4"/>
  <c r="U11" i="5"/>
  <c r="G16" i="1"/>
  <c r="I46" i="1"/>
  <c r="K46" i="1"/>
  <c r="P21" i="3"/>
  <c r="P22" i="3"/>
  <c r="E32" i="1"/>
  <c r="D42" i="1"/>
  <c r="F42" i="1"/>
  <c r="W5" i="2"/>
  <c r="W8" i="2"/>
  <c r="G12" i="1"/>
  <c r="G32" i="1"/>
  <c r="I42" i="1"/>
  <c r="K42" i="1"/>
  <c r="E10" i="1"/>
  <c r="E33" i="1"/>
  <c r="E11" i="1"/>
  <c r="D41" i="1"/>
  <c r="F41" i="1"/>
  <c r="E29" i="1"/>
  <c r="E24" i="1"/>
  <c r="D54" i="1"/>
  <c r="F54" i="1"/>
  <c r="E27" i="1"/>
  <c r="E20" i="1"/>
  <c r="D50" i="1"/>
  <c r="F50" i="1"/>
  <c r="E21" i="1"/>
  <c r="D51" i="1"/>
  <c r="F51" i="1"/>
  <c r="E23" i="1"/>
  <c r="D53" i="1"/>
  <c r="F53" i="1"/>
  <c r="E8" i="1"/>
  <c r="E26" i="1"/>
  <c r="E22" i="1"/>
  <c r="D52" i="1"/>
  <c r="F52" i="1"/>
  <c r="E28" i="1"/>
  <c r="D38" i="1"/>
  <c r="F38" i="1"/>
  <c r="E25" i="1"/>
  <c r="E30" i="1"/>
  <c r="D40" i="1"/>
  <c r="F40" i="1"/>
  <c r="E4" i="1"/>
  <c r="G28" i="1"/>
  <c r="G26" i="1"/>
  <c r="G22" i="1"/>
  <c r="G20" i="1"/>
  <c r="G10" i="1"/>
  <c r="G8" i="1"/>
  <c r="G27" i="1"/>
  <c r="G23" i="1"/>
  <c r="I53" i="1"/>
  <c r="K53" i="1"/>
  <c r="G11" i="1"/>
  <c r="I41" i="1"/>
  <c r="K41" i="1"/>
  <c r="G29" i="1"/>
  <c r="G24" i="1"/>
  <c r="G21" i="1"/>
  <c r="I51" i="1"/>
  <c r="K51" i="1"/>
  <c r="G33" i="1"/>
  <c r="D62" i="1"/>
  <c r="D64" i="1"/>
  <c r="I40" i="1"/>
  <c r="K40" i="1"/>
  <c r="F62" i="1"/>
  <c r="F64" i="1"/>
  <c r="I52" i="1"/>
  <c r="K52" i="1"/>
  <c r="E31" i="1"/>
  <c r="C73" i="1"/>
  <c r="G62" i="1"/>
  <c r="G64" i="1"/>
  <c r="I54" i="1"/>
  <c r="K54" i="1"/>
  <c r="C62" i="1"/>
  <c r="C64" i="1"/>
  <c r="I38" i="1"/>
  <c r="K38" i="1"/>
  <c r="G25" i="1"/>
  <c r="G30" i="1"/>
  <c r="G31" i="1"/>
  <c r="C71" i="1"/>
  <c r="E71" i="1"/>
  <c r="I50" i="1"/>
  <c r="K50" i="1"/>
  <c r="E62" i="1"/>
  <c r="E64" i="1"/>
  <c r="F56" i="1"/>
  <c r="H38" i="1"/>
  <c r="G39" i="1"/>
  <c r="H39" i="1"/>
  <c r="G41" i="1"/>
  <c r="H41" i="1"/>
  <c r="G42" i="1"/>
  <c r="H42" i="1"/>
  <c r="G50" i="1"/>
  <c r="H50" i="1"/>
  <c r="G51" i="1"/>
  <c r="H51" i="1"/>
  <c r="G52" i="1"/>
  <c r="H52" i="1"/>
  <c r="G53" i="1"/>
  <c r="H53" i="1"/>
  <c r="G54" i="1"/>
  <c r="H54" i="1"/>
  <c r="G55" i="1"/>
  <c r="F55" i="1"/>
  <c r="C72" i="1"/>
  <c r="E72" i="1"/>
  <c r="E73" i="1"/>
  <c r="H55" i="1"/>
  <c r="M38" i="1"/>
  <c r="L39" i="1"/>
  <c r="M39" i="1"/>
  <c r="L41" i="1"/>
  <c r="M41" i="1"/>
  <c r="L42" i="1"/>
  <c r="M42" i="1"/>
  <c r="L50" i="1"/>
  <c r="M50" i="1"/>
  <c r="L51" i="1"/>
  <c r="M51" i="1"/>
  <c r="L52" i="1"/>
  <c r="M52" i="1"/>
  <c r="L53" i="1"/>
  <c r="M53" i="1"/>
  <c r="L54" i="1"/>
  <c r="M54" i="1"/>
  <c r="L55" i="1"/>
  <c r="K56" i="1"/>
  <c r="K55" i="1"/>
  <c r="H4" i="1"/>
  <c r="M55" i="1"/>
</calcChain>
</file>

<file path=xl/comments1.xml><?xml version="1.0" encoding="utf-8"?>
<comments xmlns="http://schemas.openxmlformats.org/spreadsheetml/2006/main">
  <authors>
    <author>Windows 用户</author>
    <author>作者</author>
  </authors>
  <commentList>
    <comment ref="E4" authorId="0" shapeId="0">
      <text>
        <r>
          <rPr>
            <sz val="9"/>
            <color indexed="81"/>
            <rFont val="宋体"/>
            <family val="3"/>
            <charset val="134"/>
          </rPr>
          <t xml:space="preserve">SFP的值为产品设计与研发阶段除去测试工作量以外的工作量之和
</t>
        </r>
      </text>
    </comment>
    <comment ref="G33" authorId="0" shapeId="0">
      <text>
        <r>
          <rPr>
            <sz val="9"/>
            <color indexed="81"/>
            <rFont val="宋体"/>
            <family val="3"/>
            <charset val="134"/>
          </rPr>
          <t>该数据即为立项申请表中的“项目规模”数据</t>
        </r>
      </text>
    </comment>
    <comment ref="X38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测试</t>
        </r>
      </text>
    </comment>
    <comment ref="X39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缺陷修改</t>
        </r>
      </text>
    </comment>
  </commentList>
</comments>
</file>

<file path=xl/sharedStrings.xml><?xml version="1.0" encoding="utf-8"?>
<sst xmlns="http://schemas.openxmlformats.org/spreadsheetml/2006/main" count="611" uniqueCount="232">
  <si>
    <t>1、项目工作量评估</t>
  </si>
  <si>
    <t>规模（SFP）</t>
  </si>
  <si>
    <t>复用率(%)</t>
  </si>
  <si>
    <t>技术复杂
程度</t>
  </si>
  <si>
    <t>项目阶段</t>
  </si>
  <si>
    <t>全量工作量
（人天）</t>
  </si>
  <si>
    <t>阶段工作量占比</t>
  </si>
  <si>
    <t>新开发工作量（人天）</t>
  </si>
  <si>
    <t>备注</t>
  </si>
  <si>
    <t>需求对接</t>
  </si>
  <si>
    <t>客户需求分析</t>
  </si>
  <si>
    <t>项目立项阶段质控评估</t>
  </si>
  <si>
    <t>项目组全员：13人</t>
  </si>
  <si>
    <t>软件项目研发</t>
  </si>
  <si>
    <t>软件需求分析</t>
  </si>
  <si>
    <t>1、需求分析人员8人：项目经理 1人，3D产品设计师1人，U3D设计 1人，美术4人，测试 1人。</t>
  </si>
  <si>
    <t>设计阶段质控评估</t>
  </si>
  <si>
    <t>研发</t>
  </si>
  <si>
    <t>UI</t>
  </si>
  <si>
    <t>U3D</t>
  </si>
  <si>
    <t>建模</t>
  </si>
  <si>
    <t>烘焙</t>
  </si>
  <si>
    <t>动画</t>
  </si>
  <si>
    <t>特效</t>
  </si>
  <si>
    <t>整合联调</t>
  </si>
  <si>
    <t>事业部初验质控</t>
  </si>
  <si>
    <t>系统测试</t>
  </si>
  <si>
    <t>1、按研发人员与测试人员的工作量配比为3:2测算；
2、测试阶段人员共计5人：研发3人，测试2人；</t>
  </si>
  <si>
    <t>BUG修改</t>
  </si>
  <si>
    <t>事业部终验质控及验收</t>
  </si>
  <si>
    <t>BUFFER</t>
  </si>
  <si>
    <t>项目管理</t>
  </si>
  <si>
    <t>合计（人天）</t>
  </si>
  <si>
    <t>2、项目周期评估</t>
  </si>
  <si>
    <t>软件工程阶段</t>
  </si>
  <si>
    <t>全量开发工期</t>
  </si>
  <si>
    <t>新开发工期</t>
  </si>
  <si>
    <t>工作量
（人天）</t>
  </si>
  <si>
    <t>投入人员（人）</t>
  </si>
  <si>
    <t>周期
（天）</t>
  </si>
  <si>
    <t>预计
开始日期</t>
  </si>
  <si>
    <t>预计
结束日期</t>
  </si>
  <si>
    <t>项目总周期
（天）</t>
  </si>
  <si>
    <t>成本单元</t>
  </si>
  <si>
    <t>工作量
(人月)</t>
  </si>
  <si>
    <t>单价
（万/人月）</t>
  </si>
  <si>
    <t>金额
（万）</t>
  </si>
  <si>
    <t>新开发成本</t>
  </si>
  <si>
    <t>复用成本</t>
  </si>
  <si>
    <t>项目总成本</t>
  </si>
  <si>
    <t>NO.</t>
  </si>
  <si>
    <t>模块</t>
  </si>
  <si>
    <t>模块拆分</t>
  </si>
  <si>
    <t>难易程度</t>
  </si>
  <si>
    <t>优先级</t>
  </si>
  <si>
    <t>是否复用</t>
  </si>
  <si>
    <t>估算人(骆宣霏)</t>
  </si>
  <si>
    <t>估算人(易秋彤)</t>
  </si>
  <si>
    <t>最小值</t>
  </si>
  <si>
    <t>平均值</t>
  </si>
  <si>
    <t>最大值</t>
  </si>
  <si>
    <t>偏差（%）</t>
  </si>
  <si>
    <t>是否接受(Y/N)</t>
  </si>
  <si>
    <t>加权系数</t>
  </si>
  <si>
    <t>加权工作量
（人天）</t>
  </si>
  <si>
    <t>复用比例
（％）</t>
  </si>
  <si>
    <t>复用工作量（人天）</t>
  </si>
  <si>
    <t>新增工作量
（人天）</t>
  </si>
  <si>
    <t>最悲观值</t>
  </si>
  <si>
    <t>最可能值</t>
  </si>
  <si>
    <t>最乐观值</t>
  </si>
  <si>
    <t>中</t>
  </si>
  <si>
    <t>否</t>
  </si>
  <si>
    <r>
      <rPr>
        <sz val="11"/>
        <color theme="1"/>
        <rFont val="宋体"/>
        <family val="3"/>
        <charset val="134"/>
      </rPr>
      <t>工具架U</t>
    </r>
    <r>
      <rPr>
        <sz val="11"/>
        <color theme="1"/>
        <rFont val="宋体"/>
        <family val="3"/>
        <charset val="134"/>
      </rPr>
      <t>I</t>
    </r>
  </si>
  <si>
    <r>
      <rPr>
        <sz val="11"/>
        <color theme="1"/>
        <rFont val="宋体"/>
        <family val="3"/>
        <charset val="134"/>
      </rPr>
      <t>零件架U</t>
    </r>
    <r>
      <rPr>
        <sz val="11"/>
        <color theme="1"/>
        <rFont val="宋体"/>
        <family val="3"/>
        <charset val="134"/>
      </rPr>
      <t>I</t>
    </r>
  </si>
  <si>
    <t>合计</t>
  </si>
  <si>
    <t>工作量评估表</t>
  </si>
  <si>
    <t>估算人</t>
  </si>
  <si>
    <t>陈志鹏</t>
  </si>
  <si>
    <t>胡烈钧</t>
  </si>
  <si>
    <t>汤辉</t>
  </si>
  <si>
    <t>聂祖承</t>
  </si>
  <si>
    <t>国际化框架搭建</t>
  </si>
  <si>
    <t>底层数据模型</t>
  </si>
  <si>
    <t>数据类自动生成工具</t>
  </si>
  <si>
    <t>数据类编辑工具</t>
  </si>
  <si>
    <t>多语言编辑界面</t>
  </si>
  <si>
    <t>多语言配置同步工具</t>
  </si>
  <si>
    <t>本地语言配置加载</t>
  </si>
  <si>
    <t>网络语言配置加载</t>
  </si>
  <si>
    <t>字体，文字，图片，模型国际化配置脚本</t>
  </si>
  <si>
    <t>XML配置导出工具</t>
  </si>
  <si>
    <t>工具拖拽控制</t>
  </si>
  <si>
    <t>变速器壳体总成拆卸</t>
  </si>
  <si>
    <t>2-6档低速档和倒档与1-2-3-4档离合器片总成拆卸</t>
  </si>
  <si>
    <t>3-5档倒档与4-5-6档离合器总成拆卸</t>
  </si>
  <si>
    <t>变速箱流程控制</t>
  </si>
  <si>
    <t>高</t>
  </si>
  <si>
    <t>低</t>
  </si>
  <si>
    <t>估算人(肖嘉琪)</t>
  </si>
  <si>
    <t>零件与工具拆分</t>
  </si>
  <si>
    <t>控制部件总成</t>
  </si>
  <si>
    <t>变矩器和油泵壳体总成</t>
  </si>
  <si>
    <t>传动机构总成拆分</t>
  </si>
  <si>
    <t>是</t>
  </si>
  <si>
    <t>变速器壳体总成</t>
  </si>
  <si>
    <t>2-6档低速档和倒档与1-2-3-4档离合器片总成</t>
  </si>
  <si>
    <t>3-5档倒档与4-5-6档离合器总成</t>
  </si>
  <si>
    <t>模型制作</t>
  </si>
  <si>
    <t>部分工具制作</t>
  </si>
  <si>
    <t>估算人（佘宇）</t>
  </si>
  <si>
    <t>姓名4</t>
  </si>
  <si>
    <t>烘培</t>
  </si>
  <si>
    <t>工具材质调优</t>
  </si>
  <si>
    <t>零件材质调优</t>
  </si>
  <si>
    <t>估算人(陈都)</t>
  </si>
  <si>
    <t>拆卸液力变矩器动画</t>
  </si>
  <si>
    <t>油泵的变矩器壳体总成拆卸动画</t>
  </si>
  <si>
    <t>部分动画补充</t>
  </si>
  <si>
    <t>估算人(姚凯)</t>
  </si>
  <si>
    <t>模块选择光圈</t>
  </si>
  <si>
    <t>偏差阈值</t>
  </si>
  <si>
    <t>综合评分</t>
  </si>
  <si>
    <t>高高</t>
  </si>
  <si>
    <t>高中</t>
  </si>
  <si>
    <t>中高</t>
  </si>
  <si>
    <t>中中</t>
  </si>
  <si>
    <t>高低</t>
  </si>
  <si>
    <t>低高</t>
  </si>
  <si>
    <t>中低</t>
  </si>
  <si>
    <t>低中</t>
  </si>
  <si>
    <t>低低</t>
  </si>
  <si>
    <r>
      <rPr>
        <b/>
        <sz val="10"/>
        <rFont val="宋体"/>
        <family val="3"/>
        <charset val="134"/>
      </rPr>
      <t>参考标准：</t>
    </r>
    <r>
      <rPr>
        <sz val="11"/>
        <color theme="1"/>
        <rFont val="宋体"/>
        <family val="3"/>
        <charset val="134"/>
      </rPr>
      <t>一共考虑</t>
    </r>
    <r>
      <rPr>
        <sz val="10"/>
        <rFont val="Arial"/>
        <family val="2"/>
      </rPr>
      <t>13</t>
    </r>
    <r>
      <rPr>
        <sz val="11"/>
        <color theme="1"/>
        <rFont val="宋体"/>
        <family val="3"/>
        <charset val="134"/>
      </rPr>
      <t>个技术因素，分别是：</t>
    </r>
  </si>
  <si>
    <t>技术复杂度</t>
  </si>
  <si>
    <t>序号</t>
  </si>
  <si>
    <t>技术因素</t>
  </si>
  <si>
    <t>取值范围</t>
  </si>
  <si>
    <t>参数说明</t>
  </si>
  <si>
    <t>请填写技术因素填写数据参考取值范围</t>
  </si>
  <si>
    <t>E1</t>
  </si>
  <si>
    <t>0~5</t>
  </si>
  <si>
    <t>系统分布式程度</t>
  </si>
  <si>
    <t>E2</t>
  </si>
  <si>
    <t>系统性能要求</t>
  </si>
  <si>
    <t>E3</t>
  </si>
  <si>
    <t>最终用户使用效率要求</t>
  </si>
  <si>
    <t>E4</t>
  </si>
  <si>
    <t>内部处理复杂度</t>
  </si>
  <si>
    <t>E5</t>
  </si>
  <si>
    <t>复用程度</t>
  </si>
  <si>
    <t>E6</t>
  </si>
  <si>
    <t>易于安装要求度</t>
  </si>
  <si>
    <t>E7</t>
  </si>
  <si>
    <t>系统易于使用程度</t>
  </si>
  <si>
    <t>E8</t>
  </si>
  <si>
    <t>可移植性</t>
  </si>
  <si>
    <t>E9</t>
  </si>
  <si>
    <t>系统易于修改程度</t>
  </si>
  <si>
    <t>E10</t>
  </si>
  <si>
    <t>并发性要求</t>
  </si>
  <si>
    <t>E11</t>
  </si>
  <si>
    <t>特殊安全功能特性要求</t>
  </si>
  <si>
    <t>E12</t>
  </si>
  <si>
    <t>为第三方系统提供直接系统访问</t>
  </si>
  <si>
    <t>E13</t>
  </si>
  <si>
    <t>是否需要特殊的用户培训措施</t>
  </si>
  <si>
    <t xml:space="preserve">注：复杂度的技术因素取值范围从0到5，表示该项对技术复杂度的影响从没有到极高。为0意味着该技术因素与本项目无关，3代表一般，5代表对该项目有很强的影响。
每个因素都是对技术复杂度的线性调整，设Ei为根据13个方面的技术因素对软件系统的影响程度，则技术复杂度为：
TCF = 0.6 + 0.01 x ∑Ei， (i=1….13)
Ei∈（0,5），则： TCF∈（0.6，1.25）
</t>
  </si>
  <si>
    <t>日期</t>
  </si>
  <si>
    <t>节假日名</t>
  </si>
  <si>
    <t>配置管理活动</t>
    <phoneticPr fontId="21" type="noConversion"/>
  </si>
  <si>
    <t>质量保证活动</t>
    <phoneticPr fontId="21" type="noConversion"/>
  </si>
  <si>
    <t>含需求对接工作量合计（人天）</t>
    <phoneticPr fontId="21" type="noConversion"/>
  </si>
  <si>
    <t>含需求对接工作量合计（人月）</t>
    <phoneticPr fontId="21" type="noConversion"/>
  </si>
  <si>
    <t>不含需求对接工作量合计（人天）</t>
    <phoneticPr fontId="21" type="noConversion"/>
  </si>
  <si>
    <t>不含需求对接工作量合计（人月）</t>
    <phoneticPr fontId="21" type="noConversion"/>
  </si>
  <si>
    <t>6个功能按钮</t>
    <phoneticPr fontId="21" type="noConversion"/>
  </si>
  <si>
    <t>项目成本评估</t>
    <phoneticPr fontId="21" type="noConversion"/>
  </si>
  <si>
    <t>软件工程活动工作量小计（人天）</t>
    <phoneticPr fontId="21" type="noConversion"/>
  </si>
  <si>
    <t>1、按总工作量13%测算；</t>
    <phoneticPr fontId="21" type="noConversion"/>
  </si>
  <si>
    <t>1、按总工作量3%测算；
2、事业部产品经理验收，研发配合；
3、事业产品经理1人；</t>
    <phoneticPr fontId="21" type="noConversion"/>
  </si>
  <si>
    <t>总体评估工作量的5%</t>
    <phoneticPr fontId="21" type="noConversion"/>
  </si>
  <si>
    <r>
      <t>总体评估工作量的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%</t>
    </r>
    <phoneticPr fontId="21" type="noConversion"/>
  </si>
  <si>
    <r>
      <t>总体评估工作量的3</t>
    </r>
    <r>
      <rPr>
        <sz val="11"/>
        <color theme="1"/>
        <rFont val="宋体"/>
        <family val="3"/>
        <charset val="134"/>
        <scheme val="minor"/>
      </rPr>
      <t>%</t>
    </r>
    <phoneticPr fontId="21" type="noConversion"/>
  </si>
  <si>
    <t>测试需求分析</t>
    <phoneticPr fontId="21" type="noConversion"/>
  </si>
  <si>
    <t>测试1人</t>
    <phoneticPr fontId="21" type="noConversion"/>
  </si>
  <si>
    <t>设计阶段</t>
    <phoneticPr fontId="21" type="noConversion"/>
  </si>
  <si>
    <t>软件设计</t>
    <phoneticPr fontId="21" type="noConversion"/>
  </si>
  <si>
    <t>测试用例</t>
    <phoneticPr fontId="21" type="noConversion"/>
  </si>
  <si>
    <t>1、设计人员5人：3D产品设计师2人，U3D设计2人，UI 1人。</t>
    <phoneticPr fontId="21" type="noConversion"/>
  </si>
  <si>
    <t>.NET</t>
    <phoneticPr fontId="21" type="noConversion"/>
  </si>
  <si>
    <t>1、开发人员人：U3D 3人，web 2人、模型 1人，动画 人，特效1人，烘培1人，UI 1人,测试1人。</t>
    <phoneticPr fontId="21" type="noConversion"/>
  </si>
  <si>
    <t>高</t>
    <phoneticPr fontId="21" type="noConversion"/>
  </si>
  <si>
    <t>中</t>
    <phoneticPr fontId="21" type="noConversion"/>
  </si>
  <si>
    <t>低</t>
    <phoneticPr fontId="21" type="noConversion"/>
  </si>
  <si>
    <t>新开发“不含需求对接工作量”：该数据即为立项申请表中的“项目规模”数据</t>
    <phoneticPr fontId="21" type="noConversion"/>
  </si>
  <si>
    <r>
      <t>1、需求对接人9：3D产品设计师1人，项目经理1人，产品经理1人，U3D 2人，模型1人，动画1人，特效1人，UI1人，测试</t>
    </r>
    <r>
      <rPr>
        <sz val="11"/>
        <color theme="1"/>
        <rFont val="宋体"/>
        <family val="3"/>
        <charset val="134"/>
        <scheme val="minor"/>
      </rPr>
      <t>1人。</t>
    </r>
    <phoneticPr fontId="21" type="noConversion"/>
  </si>
  <si>
    <t>阶段项目</t>
    <phoneticPr fontId="20" type="noConversion"/>
  </si>
  <si>
    <t>项目立项和需求阶段</t>
    <phoneticPr fontId="20" type="noConversion"/>
  </si>
  <si>
    <t>设计阶段</t>
    <phoneticPr fontId="20" type="noConversion"/>
  </si>
  <si>
    <t>开发阶段</t>
    <phoneticPr fontId="20" type="noConversion"/>
  </si>
  <si>
    <t>测试阶段</t>
    <phoneticPr fontId="20" type="noConversion"/>
  </si>
  <si>
    <t>验收阶段</t>
    <phoneticPr fontId="20" type="noConversion"/>
  </si>
  <si>
    <t>项目工作量（人天）</t>
    <phoneticPr fontId="20" type="noConversion"/>
  </si>
  <si>
    <t>3、项目阶段工作量评估</t>
    <phoneticPr fontId="20" type="noConversion"/>
  </si>
  <si>
    <t>项目阶段工作量评估</t>
    <phoneticPr fontId="21" type="noConversion"/>
  </si>
  <si>
    <t>各阶段工作量配比</t>
    <phoneticPr fontId="20" type="noConversion"/>
  </si>
  <si>
    <t>说明：各阶段项目管理活动、质量保障活动、配置管理活动以及BUFFER所花费的工作量可通过调整公式中的具体比例进行调整</t>
    <phoneticPr fontId="20" type="noConversion"/>
  </si>
  <si>
    <t>4、项目成本评估</t>
    <phoneticPr fontId="20" type="noConversion"/>
  </si>
  <si>
    <t>元旦</t>
  </si>
  <si>
    <t>春节</t>
  </si>
  <si>
    <t>清明</t>
  </si>
  <si>
    <t>端午</t>
  </si>
  <si>
    <t>国庆</t>
  </si>
  <si>
    <t>人员评估系数表</t>
    <phoneticPr fontId="20" type="noConversion"/>
  </si>
  <si>
    <t xml:space="preserve">说明：此表内容用于人员能力情况系数，用于工作量的评估之用，人员能力分析包括工作年限，来公司年限，工作能力等：
</t>
    <phoneticPr fontId="20" type="noConversion"/>
  </si>
  <si>
    <t>人员等级</t>
    <phoneticPr fontId="20" type="noConversion"/>
  </si>
  <si>
    <t>人员技能系数等级</t>
    <phoneticPr fontId="20" type="noConversion"/>
  </si>
  <si>
    <t>备注</t>
    <phoneticPr fontId="20" type="noConversion"/>
  </si>
  <si>
    <t>专家</t>
    <phoneticPr fontId="20" type="noConversion"/>
  </si>
  <si>
    <t>一个具有5到10年全职开发工作经验的工程师，非常熟悉公司相关业务，多次参与公司项目开发</t>
  </si>
  <si>
    <t>高级工程师</t>
    <phoneticPr fontId="20" type="noConversion"/>
  </si>
  <si>
    <t>一个具有3到5年全职开发工作经验的工程师，非常熟悉公司相关业务</t>
  </si>
  <si>
    <t>标准人员</t>
    <phoneticPr fontId="20" type="noConversion"/>
  </si>
  <si>
    <t>一个具有2年全职开发工作经验的工程师，熟悉公司相关业务</t>
  </si>
  <si>
    <t>一般工程师</t>
    <phoneticPr fontId="20" type="noConversion"/>
  </si>
  <si>
    <t>一个具有1到2年全职开发工作经验的工程师，较熟悉公司相关业务</t>
  </si>
  <si>
    <t>初级工程师</t>
    <phoneticPr fontId="20" type="noConversion"/>
  </si>
  <si>
    <t>一个具有1到2年全职开发工作经验的工程师，能力一般，不太熟悉公司相关业务</t>
  </si>
  <si>
    <t>实习生</t>
    <phoneticPr fontId="20" type="noConversion"/>
  </si>
  <si>
    <t>实习生，工作经验不足1年，不熟悉公司业务</t>
  </si>
  <si>
    <t>劳动</t>
    <phoneticPr fontId="20" type="noConversion"/>
  </si>
  <si>
    <t>中秋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</si>
</sst>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 "/>
    <numFmt numFmtId="177" formatCode="yyyy/mm/dd"/>
    <numFmt numFmtId="178" formatCode="0.0"/>
    <numFmt numFmtId="179" formatCode="0.0_);[Red]\(0.0\)"/>
  </numFmts>
  <fonts count="31">
    <font>
      <sz val="11"/>
      <color theme="1"/>
      <name val="宋体"/>
      <charset val="134"/>
      <scheme val="minor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.5"/>
      <name val="Calibri"/>
      <family val="2"/>
    </font>
    <font>
      <sz val="10.5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name val="Arial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8" tint="0.3999755851924192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3" tint="0.3999755851924192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FFCC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12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6" fillId="0" borderId="0"/>
  </cellStyleXfs>
  <cellXfs count="237">
    <xf numFmtId="0" fontId="0" fillId="0" borderId="0" xfId="0"/>
    <xf numFmtId="0" fontId="1" fillId="2" borderId="0" xfId="6" applyFont="1" applyFill="1">
      <alignment vertical="center"/>
    </xf>
    <xf numFmtId="0" fontId="2" fillId="3" borderId="1" xfId="6" applyFont="1" applyFill="1" applyBorder="1" applyAlignment="1">
      <alignment horizontal="center" vertical="center"/>
    </xf>
    <xf numFmtId="31" fontId="1" fillId="0" borderId="1" xfId="6" applyNumberFormat="1" applyFont="1" applyBorder="1" applyAlignment="1">
      <alignment horizontal="left" vertical="center"/>
    </xf>
    <xf numFmtId="0" fontId="1" fillId="0" borderId="1" xfId="6" applyFont="1" applyBorder="1">
      <alignment vertical="center"/>
    </xf>
    <xf numFmtId="14" fontId="1" fillId="2" borderId="0" xfId="6" applyNumberFormat="1" applyFont="1" applyFill="1">
      <alignment vertical="center"/>
    </xf>
    <xf numFmtId="0" fontId="1" fillId="0" borderId="1" xfId="6" applyFont="1" applyBorder="1" applyAlignment="1">
      <alignment vertical="center" wrapText="1"/>
    </xf>
    <xf numFmtId="0" fontId="1" fillId="0" borderId="1" xfId="6" applyFont="1" applyBorder="1" applyAlignment="1">
      <alignment vertical="center"/>
    </xf>
    <xf numFmtId="0" fontId="1" fillId="2" borderId="1" xfId="6" applyFont="1" applyFill="1" applyBorder="1">
      <alignment vertical="center"/>
    </xf>
    <xf numFmtId="0" fontId="3" fillId="0" borderId="0" xfId="6">
      <alignment vertical="center"/>
    </xf>
    <xf numFmtId="0" fontId="1" fillId="3" borderId="1" xfId="5" applyFont="1" applyFill="1" applyBorder="1" applyAlignment="1">
      <alignment horizontal="center" vertical="center" wrapText="1"/>
    </xf>
    <xf numFmtId="0" fontId="3" fillId="4" borderId="4" xfId="6" applyFont="1" applyFill="1" applyBorder="1" applyAlignment="1">
      <alignment horizontal="center" vertical="center"/>
    </xf>
    <xf numFmtId="0" fontId="5" fillId="2" borderId="4" xfId="6" applyFont="1" applyFill="1" applyBorder="1" applyAlignment="1">
      <alignment horizontal="center" vertical="center" wrapText="1"/>
    </xf>
    <xf numFmtId="0" fontId="6" fillId="2" borderId="4" xfId="6" applyFont="1" applyFill="1" applyBorder="1" applyAlignment="1">
      <alignment horizontal="justify" vertical="center" wrapText="1"/>
    </xf>
    <xf numFmtId="0" fontId="3" fillId="0" borderId="4" xfId="6" applyBorder="1">
      <alignment vertical="center"/>
    </xf>
    <xf numFmtId="0" fontId="3" fillId="0" borderId="0" xfId="6" applyFill="1">
      <alignment vertical="center"/>
    </xf>
    <xf numFmtId="0" fontId="1" fillId="0" borderId="0" xfId="5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 wrapText="1"/>
    </xf>
    <xf numFmtId="176" fontId="1" fillId="5" borderId="0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8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8" fontId="0" fillId="0" borderId="18" xfId="0" applyNumberFormat="1" applyBorder="1" applyAlignment="1">
      <alignment horizontal="center" vertical="center"/>
    </xf>
    <xf numFmtId="0" fontId="8" fillId="7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11" fillId="0" borderId="19" xfId="7" applyFont="1" applyFill="1" applyBorder="1" applyAlignment="1">
      <alignment horizontal="center" vertical="center" wrapText="1"/>
    </xf>
    <xf numFmtId="0" fontId="12" fillId="0" borderId="20" xfId="7" applyFont="1" applyFill="1" applyBorder="1" applyAlignment="1">
      <alignment horizontal="center" vertical="center"/>
    </xf>
    <xf numFmtId="0" fontId="13" fillId="0" borderId="20" xfId="7" applyFont="1" applyFill="1" applyBorder="1" applyAlignment="1">
      <alignment horizontal="center" vertical="center"/>
    </xf>
    <xf numFmtId="0" fontId="0" fillId="0" borderId="1" xfId="7" applyFont="1" applyFill="1" applyBorder="1" applyAlignment="1">
      <alignment horizontal="center" vertical="center"/>
    </xf>
    <xf numFmtId="0" fontId="0" fillId="7" borderId="1" xfId="7" applyFont="1" applyFill="1" applyBorder="1" applyAlignment="1">
      <alignment horizontal="center" vertical="center" wrapText="1"/>
    </xf>
    <xf numFmtId="178" fontId="0" fillId="0" borderId="1" xfId="7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178" fontId="7" fillId="6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6" borderId="1" xfId="0" applyNumberFormat="1" applyFont="1" applyFill="1" applyBorder="1" applyAlignment="1">
      <alignment horizontal="center" vertical="center" wrapText="1"/>
    </xf>
    <xf numFmtId="9" fontId="0" fillId="6" borderId="1" xfId="1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9" fontId="0" fillId="0" borderId="1" xfId="2" applyFont="1" applyBorder="1" applyAlignment="1">
      <alignment horizontal="center" vertical="center" wrapText="1"/>
    </xf>
    <xf numFmtId="0" fontId="0" fillId="7" borderId="1" xfId="0" applyFont="1" applyFill="1" applyBorder="1" applyAlignment="1">
      <alignment horizontal="left" vertical="center" wrapText="1"/>
    </xf>
    <xf numFmtId="0" fontId="12" fillId="0" borderId="1" xfId="7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 wrapText="1"/>
    </xf>
    <xf numFmtId="9" fontId="0" fillId="7" borderId="0" xfId="1" applyFont="1" applyFill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2" fillId="0" borderId="20" xfId="7" applyFont="1" applyFill="1" applyBorder="1" applyAlignment="1">
      <alignment horizontal="center" vertical="center" wrapText="1"/>
    </xf>
    <xf numFmtId="0" fontId="12" fillId="0" borderId="22" xfId="7" applyFont="1" applyFill="1" applyBorder="1" applyAlignment="1">
      <alignment horizontal="center" vertical="center" wrapText="1"/>
    </xf>
    <xf numFmtId="0" fontId="0" fillId="2" borderId="23" xfId="0" applyFont="1" applyFill="1" applyBorder="1" applyAlignment="1">
      <alignment horizontal="left" vertical="center" wrapText="1"/>
    </xf>
    <xf numFmtId="0" fontId="0" fillId="2" borderId="23" xfId="0" applyFont="1" applyFill="1" applyBorder="1" applyAlignment="1">
      <alignment horizontal="center" vertical="center" wrapText="1"/>
    </xf>
    <xf numFmtId="178" fontId="0" fillId="7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10" fillId="8" borderId="22" xfId="0" applyFont="1" applyFill="1" applyBorder="1" applyAlignment="1">
      <alignment horizontal="center" vertical="center" wrapText="1"/>
    </xf>
    <xf numFmtId="0" fontId="0" fillId="7" borderId="1" xfId="7" applyFont="1" applyFill="1" applyBorder="1" applyAlignment="1">
      <alignment horizontal="center" vertical="center"/>
    </xf>
    <xf numFmtId="178" fontId="0" fillId="0" borderId="1" xfId="7" applyNumberFormat="1" applyFont="1" applyFill="1" applyBorder="1" applyAlignment="1">
      <alignment horizontal="center" vertical="center"/>
    </xf>
    <xf numFmtId="0" fontId="14" fillId="7" borderId="0" xfId="0" applyFont="1" applyFill="1" applyAlignment="1">
      <alignment horizontal="left" vertical="center" wrapText="1"/>
    </xf>
    <xf numFmtId="0" fontId="10" fillId="8" borderId="12" xfId="0" applyFont="1" applyFill="1" applyBorder="1" applyAlignment="1">
      <alignment horizontal="center" vertical="center" wrapText="1"/>
    </xf>
    <xf numFmtId="178" fontId="0" fillId="7" borderId="1" xfId="0" applyNumberFormat="1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 wrapText="1"/>
    </xf>
    <xf numFmtId="178" fontId="7" fillId="6" borderId="17" xfId="0" applyNumberFormat="1" applyFont="1" applyFill="1" applyBorder="1" applyAlignment="1">
      <alignment horizontal="center" vertical="center" wrapText="1"/>
    </xf>
    <xf numFmtId="14" fontId="0" fillId="7" borderId="1" xfId="0" applyNumberFormat="1" applyFill="1" applyBorder="1" applyAlignment="1">
      <alignment horizontal="center" vertical="center" wrapText="1"/>
    </xf>
    <xf numFmtId="177" fontId="1" fillId="4" borderId="1" xfId="5" applyNumberFormat="1" applyFont="1" applyFill="1" applyBorder="1" applyAlignment="1">
      <alignment horizontal="center" vertical="center" wrapText="1"/>
    </xf>
    <xf numFmtId="0" fontId="0" fillId="7" borderId="17" xfId="0" applyFill="1" applyBorder="1" applyAlignment="1">
      <alignment horizontal="center" vertical="center" wrapText="1"/>
    </xf>
    <xf numFmtId="0" fontId="10" fillId="8" borderId="11" xfId="0" applyFont="1" applyFill="1" applyBorder="1" applyAlignment="1">
      <alignment horizontal="center" vertical="center"/>
    </xf>
    <xf numFmtId="179" fontId="7" fillId="6" borderId="1" xfId="0" applyNumberFormat="1" applyFont="1" applyFill="1" applyBorder="1" applyAlignment="1">
      <alignment horizontal="center" vertical="center" wrapText="1"/>
    </xf>
    <xf numFmtId="179" fontId="7" fillId="6" borderId="17" xfId="0" applyNumberFormat="1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10" fillId="8" borderId="15" xfId="0" applyFont="1" applyFill="1" applyBorder="1" applyAlignment="1">
      <alignment horizontal="center" vertical="center" wrapText="1"/>
    </xf>
    <xf numFmtId="0" fontId="0" fillId="7" borderId="0" xfId="0" applyFill="1" applyBorder="1" applyAlignment="1">
      <alignment horizontal="left" vertical="center" wrapText="1"/>
    </xf>
    <xf numFmtId="178" fontId="0" fillId="6" borderId="1" xfId="0" applyNumberFormat="1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9" fontId="22" fillId="7" borderId="1" xfId="0" applyNumberFormat="1" applyFont="1" applyFill="1" applyBorder="1" applyAlignment="1">
      <alignment horizontal="center" vertical="center" wrapText="1"/>
    </xf>
    <xf numFmtId="9" fontId="22" fillId="6" borderId="1" xfId="0" applyNumberFormat="1" applyFont="1" applyFill="1" applyBorder="1" applyAlignment="1">
      <alignment horizontal="center" vertical="center" wrapText="1"/>
    </xf>
    <xf numFmtId="178" fontId="7" fillId="6" borderId="1" xfId="0" applyNumberFormat="1" applyFont="1" applyFill="1" applyBorder="1" applyAlignment="1">
      <alignment horizontal="center" vertical="center" wrapText="1"/>
    </xf>
    <xf numFmtId="178" fontId="0" fillId="9" borderId="1" xfId="0" applyNumberFormat="1" applyFill="1" applyBorder="1" applyAlignment="1">
      <alignment horizontal="center" vertical="center" wrapText="1"/>
    </xf>
    <xf numFmtId="9" fontId="15" fillId="9" borderId="1" xfId="0" applyNumberFormat="1" applyFont="1" applyFill="1" applyBorder="1" applyAlignment="1">
      <alignment horizontal="center" vertical="center" wrapText="1"/>
    </xf>
    <xf numFmtId="178" fontId="7" fillId="9" borderId="1" xfId="0" applyNumberFormat="1" applyFont="1" applyFill="1" applyBorder="1" applyAlignment="1">
      <alignment horizontal="center" vertical="center" wrapText="1"/>
    </xf>
    <xf numFmtId="9" fontId="22" fillId="9" borderId="1" xfId="0" applyNumberFormat="1" applyFont="1" applyFill="1" applyBorder="1" applyAlignment="1">
      <alignment horizontal="center" vertical="center" wrapText="1"/>
    </xf>
    <xf numFmtId="178" fontId="14" fillId="6" borderId="12" xfId="0" applyNumberFormat="1" applyFont="1" applyFill="1" applyBorder="1" applyAlignment="1">
      <alignment horizontal="center" vertical="center" wrapText="1"/>
    </xf>
    <xf numFmtId="9" fontId="14" fillId="6" borderId="12" xfId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178" fontId="7" fillId="10" borderId="17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178" fontId="7" fillId="6" borderId="1" xfId="0" applyNumberFormat="1" applyFont="1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23" xfId="0" applyFill="1" applyBorder="1" applyAlignment="1">
      <alignment vertical="center" wrapText="1"/>
    </xf>
    <xf numFmtId="178" fontId="7" fillId="7" borderId="1" xfId="0" applyNumberFormat="1" applyFont="1" applyFill="1" applyBorder="1" applyAlignment="1">
      <alignment horizontal="center" vertical="center" wrapText="1"/>
    </xf>
    <xf numFmtId="0" fontId="0" fillId="7" borderId="23" xfId="0" applyFill="1" applyBorder="1" applyAlignment="1">
      <alignment horizontal="left" vertical="center" wrapText="1"/>
    </xf>
    <xf numFmtId="178" fontId="22" fillId="6" borderId="1" xfId="0" applyNumberFormat="1" applyFont="1" applyFill="1" applyBorder="1" applyAlignment="1">
      <alignment horizontal="center" vertical="center" wrapText="1"/>
    </xf>
    <xf numFmtId="178" fontId="23" fillId="7" borderId="1" xfId="0" applyNumberFormat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4" fillId="7" borderId="0" xfId="0" applyFont="1" applyFill="1" applyAlignment="1">
      <alignment horizontal="left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left" vertical="center" wrapText="1"/>
    </xf>
    <xf numFmtId="178" fontId="7" fillId="6" borderId="1" xfId="0" applyNumberFormat="1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178" fontId="7" fillId="6" borderId="1" xfId="0" applyNumberFormat="1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7" fillId="6" borderId="23" xfId="0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left" vertical="center" wrapText="1"/>
    </xf>
    <xf numFmtId="0" fontId="14" fillId="7" borderId="0" xfId="0" applyFont="1" applyFill="1" applyAlignment="1">
      <alignment horizontal="left" vertical="center" wrapText="1"/>
    </xf>
    <xf numFmtId="0" fontId="10" fillId="8" borderId="11" xfId="0" applyFont="1" applyFill="1" applyBorder="1" applyAlignment="1">
      <alignment horizontal="center" vertical="center" wrapText="1"/>
    </xf>
    <xf numFmtId="178" fontId="7" fillId="6" borderId="1" xfId="0" applyNumberFormat="1" applyFont="1" applyFill="1" applyBorder="1" applyAlignment="1">
      <alignment horizontal="center" vertical="center" wrapText="1"/>
    </xf>
    <xf numFmtId="10" fontId="26" fillId="11" borderId="32" xfId="5" applyNumberFormat="1" applyFont="1" applyFill="1" applyBorder="1" applyAlignment="1">
      <alignment horizontal="center" vertical="center" wrapText="1"/>
    </xf>
    <xf numFmtId="176" fontId="0" fillId="6" borderId="32" xfId="0" applyNumberFormat="1" applyFill="1" applyBorder="1" applyAlignment="1">
      <alignment horizontal="center" vertical="center" wrapText="1"/>
    </xf>
    <xf numFmtId="0" fontId="26" fillId="7" borderId="0" xfId="5" applyFont="1" applyFill="1" applyAlignment="1">
      <alignment vertical="center" wrapText="1"/>
    </xf>
    <xf numFmtId="176" fontId="26" fillId="7" borderId="0" xfId="5" applyNumberFormat="1" applyFont="1" applyFill="1" applyAlignment="1">
      <alignment vertical="center" wrapText="1"/>
    </xf>
    <xf numFmtId="0" fontId="30" fillId="7" borderId="0" xfId="5" applyFont="1" applyFill="1" applyAlignment="1">
      <alignment vertical="center" wrapText="1"/>
    </xf>
    <xf numFmtId="0" fontId="28" fillId="12" borderId="3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35" xfId="0" applyFont="1" applyBorder="1" applyAlignment="1">
      <alignment vertical="center"/>
    </xf>
    <xf numFmtId="0" fontId="26" fillId="7" borderId="35" xfId="5" applyFont="1" applyFill="1" applyBorder="1" applyAlignment="1">
      <alignment horizontal="center" vertical="center" wrapText="1"/>
    </xf>
    <xf numFmtId="0" fontId="10" fillId="8" borderId="33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left" vertical="center" wrapText="1"/>
    </xf>
    <xf numFmtId="0" fontId="10" fillId="8" borderId="11" xfId="0" applyFont="1" applyFill="1" applyBorder="1" applyAlignment="1">
      <alignment horizontal="center" vertical="center" wrapText="1"/>
    </xf>
    <xf numFmtId="0" fontId="10" fillId="8" borderId="12" xfId="0" applyFont="1" applyFill="1" applyBorder="1" applyAlignment="1">
      <alignment horizontal="center" vertical="center" wrapText="1"/>
    </xf>
    <xf numFmtId="0" fontId="10" fillId="8" borderId="12" xfId="0" applyFont="1" applyFill="1" applyBorder="1" applyAlignment="1">
      <alignment horizontal="center" vertical="center"/>
    </xf>
    <xf numFmtId="0" fontId="10" fillId="8" borderId="14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0" fillId="8" borderId="15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5" xfId="0" applyFill="1" applyBorder="1" applyAlignment="1">
      <alignment horizontal="left" vertical="center" wrapText="1"/>
    </xf>
    <xf numFmtId="0" fontId="23" fillId="7" borderId="1" xfId="0" applyFont="1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left" vertical="center" wrapText="1"/>
    </xf>
    <xf numFmtId="0" fontId="0" fillId="9" borderId="15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9" fontId="22" fillId="7" borderId="1" xfId="0" applyNumberFormat="1" applyFont="1" applyFill="1" applyBorder="1" applyAlignment="1">
      <alignment horizontal="center" vertical="center" wrapText="1"/>
    </xf>
    <xf numFmtId="0" fontId="0" fillId="7" borderId="24" xfId="0" applyFill="1" applyBorder="1" applyAlignment="1">
      <alignment horizontal="left" vertical="center" wrapText="1"/>
    </xf>
    <xf numFmtId="0" fontId="0" fillId="7" borderId="25" xfId="0" applyFill="1" applyBorder="1" applyAlignment="1">
      <alignment horizontal="left" vertical="center" wrapText="1"/>
    </xf>
    <xf numFmtId="0" fontId="0" fillId="7" borderId="28" xfId="0" applyFill="1" applyBorder="1" applyAlignment="1">
      <alignment horizontal="left" vertical="center" wrapText="1"/>
    </xf>
    <xf numFmtId="9" fontId="22" fillId="7" borderId="19" xfId="0" applyNumberFormat="1" applyFont="1" applyFill="1" applyBorder="1" applyAlignment="1">
      <alignment horizontal="center" vertical="center" wrapText="1"/>
    </xf>
    <xf numFmtId="9" fontId="22" fillId="7" borderId="22" xfId="0" applyNumberFormat="1" applyFont="1" applyFill="1" applyBorder="1" applyAlignment="1">
      <alignment horizontal="center" vertical="center" wrapText="1"/>
    </xf>
    <xf numFmtId="177" fontId="1" fillId="4" borderId="19" xfId="5" applyNumberFormat="1" applyFont="1" applyFill="1" applyBorder="1" applyAlignment="1">
      <alignment horizontal="center" vertical="center" wrapText="1"/>
    </xf>
    <xf numFmtId="177" fontId="1" fillId="4" borderId="21" xfId="5" applyNumberFormat="1" applyFont="1" applyFill="1" applyBorder="1" applyAlignment="1">
      <alignment horizontal="center" vertical="center" wrapText="1"/>
    </xf>
    <xf numFmtId="177" fontId="1" fillId="4" borderId="22" xfId="5" applyNumberFormat="1" applyFont="1" applyFill="1" applyBorder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0" fillId="7" borderId="14" xfId="0" applyFill="1" applyBorder="1" applyAlignment="1">
      <alignment horizontal="left" vertical="center" wrapText="1"/>
    </xf>
    <xf numFmtId="0" fontId="0" fillId="7" borderId="14" xfId="0" applyFill="1" applyBorder="1" applyAlignment="1">
      <alignment horizontal="center" vertical="center" wrapText="1"/>
    </xf>
    <xf numFmtId="0" fontId="22" fillId="6" borderId="14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7" fillId="6" borderId="15" xfId="0" applyFont="1" applyFill="1" applyBorder="1" applyAlignment="1">
      <alignment horizontal="left" vertical="center" wrapText="1"/>
    </xf>
    <xf numFmtId="0" fontId="22" fillId="6" borderId="16" xfId="0" applyFont="1" applyFill="1" applyBorder="1" applyAlignment="1">
      <alignment horizontal="center" vertical="center" wrapText="1"/>
    </xf>
    <xf numFmtId="0" fontId="25" fillId="6" borderId="17" xfId="0" applyFont="1" applyFill="1" applyBorder="1" applyAlignment="1">
      <alignment horizontal="left" vertical="center" wrapText="1"/>
    </xf>
    <xf numFmtId="0" fontId="25" fillId="6" borderId="18" xfId="0" applyFont="1" applyFill="1" applyBorder="1" applyAlignment="1">
      <alignment horizontal="left" vertical="center" wrapText="1"/>
    </xf>
    <xf numFmtId="0" fontId="23" fillId="7" borderId="27" xfId="0" applyFont="1" applyFill="1" applyBorder="1" applyAlignment="1">
      <alignment horizontal="center" vertical="center" wrapText="1"/>
    </xf>
    <xf numFmtId="0" fontId="0" fillId="7" borderId="25" xfId="0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7" fillId="9" borderId="15" xfId="0" applyFont="1" applyFill="1" applyBorder="1" applyAlignment="1">
      <alignment horizontal="left" vertical="center" wrapText="1"/>
    </xf>
    <xf numFmtId="179" fontId="7" fillId="6" borderId="1" xfId="0" applyNumberFormat="1" applyFont="1" applyFill="1" applyBorder="1" applyAlignment="1">
      <alignment horizontal="center" vertical="center" wrapText="1"/>
    </xf>
    <xf numFmtId="179" fontId="7" fillId="6" borderId="17" xfId="0" applyNumberFormat="1" applyFont="1" applyFill="1" applyBorder="1" applyAlignment="1">
      <alignment horizontal="center" vertical="center" wrapText="1"/>
    </xf>
    <xf numFmtId="177" fontId="1" fillId="4" borderId="1" xfId="5" applyNumberFormat="1" applyFont="1" applyFill="1" applyBorder="1" applyAlignment="1">
      <alignment horizontal="center" vertical="center" wrapText="1"/>
    </xf>
    <xf numFmtId="0" fontId="0" fillId="7" borderId="14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22" fillId="9" borderId="14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10" fillId="8" borderId="13" xfId="0" applyFont="1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left" vertical="center" wrapText="1"/>
    </xf>
    <xf numFmtId="0" fontId="0" fillId="9" borderId="14" xfId="0" applyFill="1" applyBorder="1" applyAlignment="1">
      <alignment horizontal="center" vertical="center" wrapText="1"/>
    </xf>
    <xf numFmtId="0" fontId="0" fillId="7" borderId="29" xfId="0" applyFill="1" applyBorder="1" applyAlignment="1">
      <alignment horizontal="center" vertical="center" wrapText="1"/>
    </xf>
    <xf numFmtId="0" fontId="0" fillId="7" borderId="30" xfId="0" applyFill="1" applyBorder="1" applyAlignment="1">
      <alignment horizontal="center" vertical="center" wrapText="1"/>
    </xf>
    <xf numFmtId="0" fontId="0" fillId="7" borderId="31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left" vertical="center" wrapText="1"/>
    </xf>
    <xf numFmtId="0" fontId="0" fillId="6" borderId="25" xfId="0" applyFill="1" applyBorder="1" applyAlignment="1">
      <alignment horizontal="left" vertical="center" wrapText="1"/>
    </xf>
    <xf numFmtId="0" fontId="0" fillId="6" borderId="28" xfId="0" applyFill="1" applyBorder="1" applyAlignment="1">
      <alignment horizontal="left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27" fillId="7" borderId="0" xfId="0" applyFont="1" applyFill="1" applyAlignment="1">
      <alignment horizontal="left" vertical="center" wrapText="1"/>
    </xf>
    <xf numFmtId="0" fontId="23" fillId="7" borderId="25" xfId="0" applyFont="1" applyFill="1" applyBorder="1" applyAlignment="1">
      <alignment horizontal="center" vertical="center" wrapText="1"/>
    </xf>
    <xf numFmtId="0" fontId="23" fillId="7" borderId="23" xfId="0" applyFont="1" applyFill="1" applyBorder="1" applyAlignment="1">
      <alignment horizontal="center" vertical="center" wrapText="1"/>
    </xf>
    <xf numFmtId="0" fontId="10" fillId="8" borderId="19" xfId="0" applyFont="1" applyFill="1" applyBorder="1" applyAlignment="1">
      <alignment horizontal="center" vertical="center" wrapText="1"/>
    </xf>
    <xf numFmtId="0" fontId="10" fillId="8" borderId="22" xfId="0" applyFont="1" applyFill="1" applyBorder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10" fillId="8" borderId="24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10" fillId="8" borderId="23" xfId="0" applyFont="1" applyFill="1" applyBorder="1" applyAlignment="1">
      <alignment horizontal="center" vertical="center" wrapText="1"/>
    </xf>
    <xf numFmtId="178" fontId="7" fillId="6" borderId="19" xfId="0" applyNumberFormat="1" applyFont="1" applyFill="1" applyBorder="1" applyAlignment="1">
      <alignment horizontal="center" vertical="center" wrapText="1"/>
    </xf>
    <xf numFmtId="178" fontId="7" fillId="6" borderId="21" xfId="0" applyNumberFormat="1" applyFont="1" applyFill="1" applyBorder="1" applyAlignment="1">
      <alignment horizontal="center" vertical="center" wrapText="1"/>
    </xf>
    <xf numFmtId="178" fontId="7" fillId="6" borderId="22" xfId="0" applyNumberFormat="1" applyFont="1" applyFill="1" applyBorder="1" applyAlignment="1">
      <alignment horizontal="center" vertical="center" wrapText="1"/>
    </xf>
    <xf numFmtId="9" fontId="0" fillId="6" borderId="19" xfId="1" applyFont="1" applyFill="1" applyBorder="1" applyAlignment="1">
      <alignment horizontal="center" vertical="center" wrapText="1"/>
    </xf>
    <xf numFmtId="9" fontId="0" fillId="6" borderId="21" xfId="1" applyFont="1" applyFill="1" applyBorder="1" applyAlignment="1">
      <alignment horizontal="center" vertical="center" wrapText="1"/>
    </xf>
    <xf numFmtId="9" fontId="0" fillId="6" borderId="22" xfId="1" applyFont="1" applyFill="1" applyBorder="1" applyAlignment="1">
      <alignment horizontal="center" vertical="center" wrapText="1"/>
    </xf>
    <xf numFmtId="178" fontId="7" fillId="6" borderId="1" xfId="0" applyNumberFormat="1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horizontal="center" vertical="center" wrapText="1"/>
    </xf>
    <xf numFmtId="0" fontId="7" fillId="6" borderId="22" xfId="0" applyFont="1" applyFill="1" applyBorder="1" applyAlignment="1">
      <alignment horizontal="center" vertical="center" wrapText="1"/>
    </xf>
    <xf numFmtId="0" fontId="11" fillId="0" borderId="19" xfId="7" applyFont="1" applyFill="1" applyBorder="1" applyAlignment="1">
      <alignment horizontal="center" vertical="center" wrapText="1"/>
    </xf>
    <xf numFmtId="0" fontId="11" fillId="0" borderId="21" xfId="7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1" fillId="0" borderId="22" xfId="7" applyFont="1" applyFill="1" applyBorder="1" applyAlignment="1">
      <alignment horizontal="center" vertical="center" wrapText="1"/>
    </xf>
    <xf numFmtId="0" fontId="3" fillId="0" borderId="36" xfId="0" applyFont="1" applyBorder="1" applyAlignment="1">
      <alignment horizontal="left" vertical="center"/>
    </xf>
    <xf numFmtId="0" fontId="3" fillId="0" borderId="37" xfId="0" applyFont="1" applyBorder="1" applyAlignment="1">
      <alignment horizontal="left" vertical="center"/>
    </xf>
    <xf numFmtId="0" fontId="3" fillId="0" borderId="38" xfId="0" applyFont="1" applyBorder="1" applyAlignment="1">
      <alignment horizontal="left" vertical="center"/>
    </xf>
    <xf numFmtId="0" fontId="28" fillId="7" borderId="0" xfId="5" applyFont="1" applyFill="1" applyAlignment="1">
      <alignment horizontal="left" vertical="center" wrapText="1"/>
    </xf>
    <xf numFmtId="0" fontId="30" fillId="7" borderId="0" xfId="5" applyFont="1" applyFill="1" applyAlignment="1">
      <alignment horizontal="left" vertical="center" wrapText="1"/>
    </xf>
    <xf numFmtId="0" fontId="28" fillId="12" borderId="36" xfId="0" applyFont="1" applyFill="1" applyBorder="1" applyAlignment="1">
      <alignment horizontal="center" vertical="center"/>
    </xf>
    <xf numFmtId="0" fontId="28" fillId="12" borderId="37" xfId="0" applyFont="1" applyFill="1" applyBorder="1" applyAlignment="1">
      <alignment horizontal="center" vertical="center"/>
    </xf>
    <xf numFmtId="0" fontId="28" fillId="12" borderId="38" xfId="0" applyFont="1" applyFill="1" applyBorder="1" applyAlignment="1">
      <alignment horizontal="center" vertical="center"/>
    </xf>
    <xf numFmtId="0" fontId="4" fillId="0" borderId="2" xfId="6" applyFont="1" applyBorder="1" applyAlignment="1">
      <alignment horizontal="left" vertical="center" wrapText="1"/>
    </xf>
    <xf numFmtId="0" fontId="4" fillId="0" borderId="3" xfId="6" applyFont="1" applyBorder="1" applyAlignment="1">
      <alignment horizontal="left" vertical="center" wrapText="1"/>
    </xf>
    <xf numFmtId="0" fontId="3" fillId="0" borderId="5" xfId="6" applyFont="1" applyBorder="1" applyAlignment="1">
      <alignment horizontal="left" vertical="center" wrapText="1"/>
    </xf>
    <xf numFmtId="0" fontId="3" fillId="0" borderId="6" xfId="6" applyBorder="1" applyAlignment="1">
      <alignment horizontal="left" vertical="center"/>
    </xf>
    <xf numFmtId="0" fontId="3" fillId="0" borderId="7" xfId="6" applyBorder="1" applyAlignment="1">
      <alignment horizontal="left" vertical="center"/>
    </xf>
    <xf numFmtId="0" fontId="3" fillId="0" borderId="8" xfId="6" applyBorder="1" applyAlignment="1">
      <alignment horizontal="left" vertical="center"/>
    </xf>
    <xf numFmtId="0" fontId="3" fillId="0" borderId="0" xfId="6" applyBorder="1" applyAlignment="1">
      <alignment horizontal="left" vertical="center"/>
    </xf>
    <xf numFmtId="0" fontId="3" fillId="0" borderId="9" xfId="6" applyBorder="1" applyAlignment="1">
      <alignment horizontal="left" vertical="center"/>
    </xf>
    <xf numFmtId="0" fontId="3" fillId="0" borderId="10" xfId="6" applyBorder="1" applyAlignment="1">
      <alignment horizontal="left" vertical="center"/>
    </xf>
    <xf numFmtId="0" fontId="3" fillId="0" borderId="2" xfId="6" applyBorder="1" applyAlignment="1">
      <alignment horizontal="left" vertical="center"/>
    </xf>
    <xf numFmtId="0" fontId="3" fillId="0" borderId="3" xfId="6" applyBorder="1" applyAlignment="1">
      <alignment horizontal="left" vertical="center"/>
    </xf>
    <xf numFmtId="31" fontId="26" fillId="0" borderId="39" xfId="0" applyNumberFormat="1" applyFont="1" applyBorder="1" applyAlignment="1">
      <alignment horizontal="left" vertical="center"/>
    </xf>
    <xf numFmtId="0" fontId="26" fillId="0" borderId="39" xfId="0" applyFont="1" applyBorder="1" applyAlignment="1">
      <alignment vertical="center"/>
    </xf>
  </cellXfs>
  <cellStyles count="8">
    <cellStyle name="百分比" xfId="1" builtinId="5"/>
    <cellStyle name="百分比 2" xfId="2"/>
    <cellStyle name="常规" xfId="0" builtinId="0"/>
    <cellStyle name="常规 2" xfId="5"/>
    <cellStyle name="常规 2 2" xfId="4"/>
    <cellStyle name="常规 3" xfId="6"/>
    <cellStyle name="常规 3 2" xfId="3"/>
    <cellStyle name="常规 4" xfId="7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9</xdr:row>
      <xdr:rowOff>0</xdr:rowOff>
    </xdr:from>
    <xdr:to>
      <xdr:col>3</xdr:col>
      <xdr:colOff>142875</xdr:colOff>
      <xdr:row>9</xdr:row>
      <xdr:rowOff>0</xdr:rowOff>
    </xdr:to>
    <xdr:pic>
      <xdr:nvPicPr>
        <xdr:cNvPr id="2" name="图片 1" descr="2_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05025" y="638175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9</xdr:row>
      <xdr:rowOff>0</xdr:rowOff>
    </xdr:from>
    <xdr:to>
      <xdr:col>3</xdr:col>
      <xdr:colOff>142875</xdr:colOff>
      <xdr:row>9</xdr:row>
      <xdr:rowOff>0</xdr:rowOff>
    </xdr:to>
    <xdr:pic>
      <xdr:nvPicPr>
        <xdr:cNvPr id="3" name="图片 2" descr="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14550" y="6381750"/>
          <a:ext cx="123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9</xdr:row>
      <xdr:rowOff>0</xdr:rowOff>
    </xdr:from>
    <xdr:to>
      <xdr:col>3</xdr:col>
      <xdr:colOff>142875</xdr:colOff>
      <xdr:row>9</xdr:row>
      <xdr:rowOff>0</xdr:rowOff>
    </xdr:to>
    <xdr:pic>
      <xdr:nvPicPr>
        <xdr:cNvPr id="4" name="图片 3" descr="3_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0275" y="638175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5</xdr:row>
      <xdr:rowOff>0</xdr:rowOff>
    </xdr:from>
    <xdr:to>
      <xdr:col>3</xdr:col>
      <xdr:colOff>142875</xdr:colOff>
      <xdr:row>5</xdr:row>
      <xdr:rowOff>0</xdr:rowOff>
    </xdr:to>
    <xdr:pic>
      <xdr:nvPicPr>
        <xdr:cNvPr id="5" name="图片 4" descr="2_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05025" y="137160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5</xdr:row>
      <xdr:rowOff>0</xdr:rowOff>
    </xdr:from>
    <xdr:to>
      <xdr:col>3</xdr:col>
      <xdr:colOff>142875</xdr:colOff>
      <xdr:row>5</xdr:row>
      <xdr:rowOff>0</xdr:rowOff>
    </xdr:to>
    <xdr:pic>
      <xdr:nvPicPr>
        <xdr:cNvPr id="6" name="图片 5" descr="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14550" y="1371600"/>
          <a:ext cx="123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5</xdr:row>
      <xdr:rowOff>0</xdr:rowOff>
    </xdr:from>
    <xdr:to>
      <xdr:col>3</xdr:col>
      <xdr:colOff>142875</xdr:colOff>
      <xdr:row>5</xdr:row>
      <xdr:rowOff>0</xdr:rowOff>
    </xdr:to>
    <xdr:pic>
      <xdr:nvPicPr>
        <xdr:cNvPr id="7" name="图片 6" descr="3_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0275" y="137160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5</xdr:row>
      <xdr:rowOff>0</xdr:rowOff>
    </xdr:from>
    <xdr:to>
      <xdr:col>3</xdr:col>
      <xdr:colOff>142875</xdr:colOff>
      <xdr:row>5</xdr:row>
      <xdr:rowOff>0</xdr:rowOff>
    </xdr:to>
    <xdr:pic>
      <xdr:nvPicPr>
        <xdr:cNvPr id="8" name="图片 7" descr="2_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05025" y="137160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5</xdr:row>
      <xdr:rowOff>0</xdr:rowOff>
    </xdr:from>
    <xdr:to>
      <xdr:col>3</xdr:col>
      <xdr:colOff>142875</xdr:colOff>
      <xdr:row>5</xdr:row>
      <xdr:rowOff>0</xdr:rowOff>
    </xdr:to>
    <xdr:pic>
      <xdr:nvPicPr>
        <xdr:cNvPr id="9" name="图片 8" descr="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14550" y="1371600"/>
          <a:ext cx="123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5</xdr:row>
      <xdr:rowOff>0</xdr:rowOff>
    </xdr:from>
    <xdr:to>
      <xdr:col>3</xdr:col>
      <xdr:colOff>142875</xdr:colOff>
      <xdr:row>5</xdr:row>
      <xdr:rowOff>0</xdr:rowOff>
    </xdr:to>
    <xdr:pic>
      <xdr:nvPicPr>
        <xdr:cNvPr id="10" name="图片 9" descr="3_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0275" y="137160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8</xdr:row>
      <xdr:rowOff>0</xdr:rowOff>
    </xdr:from>
    <xdr:to>
      <xdr:col>3</xdr:col>
      <xdr:colOff>142875</xdr:colOff>
      <xdr:row>8</xdr:row>
      <xdr:rowOff>0</xdr:rowOff>
    </xdr:to>
    <xdr:pic>
      <xdr:nvPicPr>
        <xdr:cNvPr id="2" name="图片 1" descr="2_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90700" y="9820275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8</xdr:row>
      <xdr:rowOff>0</xdr:rowOff>
    </xdr:from>
    <xdr:to>
      <xdr:col>3</xdr:col>
      <xdr:colOff>142875</xdr:colOff>
      <xdr:row>8</xdr:row>
      <xdr:rowOff>0</xdr:rowOff>
    </xdr:to>
    <xdr:pic>
      <xdr:nvPicPr>
        <xdr:cNvPr id="3" name="图片 2" descr="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00225" y="9820275"/>
          <a:ext cx="123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8</xdr:row>
      <xdr:rowOff>0</xdr:rowOff>
    </xdr:from>
    <xdr:to>
      <xdr:col>3</xdr:col>
      <xdr:colOff>142875</xdr:colOff>
      <xdr:row>8</xdr:row>
      <xdr:rowOff>0</xdr:rowOff>
    </xdr:to>
    <xdr:pic>
      <xdr:nvPicPr>
        <xdr:cNvPr id="4" name="图片 3" descr="3_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85950" y="9820275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20</xdr:row>
      <xdr:rowOff>0</xdr:rowOff>
    </xdr:from>
    <xdr:to>
      <xdr:col>3</xdr:col>
      <xdr:colOff>142875</xdr:colOff>
      <xdr:row>20</xdr:row>
      <xdr:rowOff>0</xdr:rowOff>
    </xdr:to>
    <xdr:pic>
      <xdr:nvPicPr>
        <xdr:cNvPr id="2" name="图片 1" descr="2_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90700" y="1376045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20</xdr:row>
      <xdr:rowOff>0</xdr:rowOff>
    </xdr:from>
    <xdr:to>
      <xdr:col>3</xdr:col>
      <xdr:colOff>142875</xdr:colOff>
      <xdr:row>20</xdr:row>
      <xdr:rowOff>0</xdr:rowOff>
    </xdr:to>
    <xdr:pic>
      <xdr:nvPicPr>
        <xdr:cNvPr id="3" name="图片 2" descr="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00225" y="13760450"/>
          <a:ext cx="123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20</xdr:row>
      <xdr:rowOff>0</xdr:rowOff>
    </xdr:from>
    <xdr:to>
      <xdr:col>3</xdr:col>
      <xdr:colOff>142875</xdr:colOff>
      <xdr:row>20</xdr:row>
      <xdr:rowOff>0</xdr:rowOff>
    </xdr:to>
    <xdr:pic>
      <xdr:nvPicPr>
        <xdr:cNvPr id="4" name="图片 3" descr="3_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85950" y="1376045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11</xdr:row>
      <xdr:rowOff>0</xdr:rowOff>
    </xdr:from>
    <xdr:to>
      <xdr:col>3</xdr:col>
      <xdr:colOff>142875</xdr:colOff>
      <xdr:row>11</xdr:row>
      <xdr:rowOff>0</xdr:rowOff>
    </xdr:to>
    <xdr:pic>
      <xdr:nvPicPr>
        <xdr:cNvPr id="2" name="图片 1" descr="2_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90700" y="470535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11</xdr:row>
      <xdr:rowOff>0</xdr:rowOff>
    </xdr:from>
    <xdr:to>
      <xdr:col>3</xdr:col>
      <xdr:colOff>142875</xdr:colOff>
      <xdr:row>11</xdr:row>
      <xdr:rowOff>0</xdr:rowOff>
    </xdr:to>
    <xdr:pic>
      <xdr:nvPicPr>
        <xdr:cNvPr id="3" name="图片 2" descr="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00225" y="4705350"/>
          <a:ext cx="123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11</xdr:row>
      <xdr:rowOff>0</xdr:rowOff>
    </xdr:from>
    <xdr:to>
      <xdr:col>3</xdr:col>
      <xdr:colOff>142875</xdr:colOff>
      <xdr:row>11</xdr:row>
      <xdr:rowOff>0</xdr:rowOff>
    </xdr:to>
    <xdr:pic>
      <xdr:nvPicPr>
        <xdr:cNvPr id="4" name="图片 3" descr="3_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85950" y="470535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10</xdr:row>
      <xdr:rowOff>0</xdr:rowOff>
    </xdr:from>
    <xdr:to>
      <xdr:col>3</xdr:col>
      <xdr:colOff>142875</xdr:colOff>
      <xdr:row>10</xdr:row>
      <xdr:rowOff>0</xdr:rowOff>
    </xdr:to>
    <xdr:pic>
      <xdr:nvPicPr>
        <xdr:cNvPr id="2" name="图片 1" descr="2_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90700" y="377190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10</xdr:row>
      <xdr:rowOff>0</xdr:rowOff>
    </xdr:from>
    <xdr:to>
      <xdr:col>3</xdr:col>
      <xdr:colOff>142875</xdr:colOff>
      <xdr:row>10</xdr:row>
      <xdr:rowOff>0</xdr:rowOff>
    </xdr:to>
    <xdr:pic>
      <xdr:nvPicPr>
        <xdr:cNvPr id="3" name="图片 2" descr="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00225" y="3771900"/>
          <a:ext cx="123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10</xdr:row>
      <xdr:rowOff>0</xdr:rowOff>
    </xdr:from>
    <xdr:to>
      <xdr:col>3</xdr:col>
      <xdr:colOff>142875</xdr:colOff>
      <xdr:row>10</xdr:row>
      <xdr:rowOff>0</xdr:rowOff>
    </xdr:to>
    <xdr:pic>
      <xdr:nvPicPr>
        <xdr:cNvPr id="4" name="图片 3" descr="3_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85950" y="377190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7</xdr:row>
      <xdr:rowOff>0</xdr:rowOff>
    </xdr:from>
    <xdr:to>
      <xdr:col>3</xdr:col>
      <xdr:colOff>142875</xdr:colOff>
      <xdr:row>7</xdr:row>
      <xdr:rowOff>0</xdr:rowOff>
    </xdr:to>
    <xdr:pic>
      <xdr:nvPicPr>
        <xdr:cNvPr id="2" name="图片 1" descr="2_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90700" y="2466975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7</xdr:row>
      <xdr:rowOff>0</xdr:rowOff>
    </xdr:from>
    <xdr:to>
      <xdr:col>3</xdr:col>
      <xdr:colOff>142875</xdr:colOff>
      <xdr:row>7</xdr:row>
      <xdr:rowOff>0</xdr:rowOff>
    </xdr:to>
    <xdr:pic>
      <xdr:nvPicPr>
        <xdr:cNvPr id="3" name="图片 2" descr="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00225" y="2466975"/>
          <a:ext cx="123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7</xdr:row>
      <xdr:rowOff>0</xdr:rowOff>
    </xdr:from>
    <xdr:to>
      <xdr:col>3</xdr:col>
      <xdr:colOff>142875</xdr:colOff>
      <xdr:row>7</xdr:row>
      <xdr:rowOff>0</xdr:rowOff>
    </xdr:to>
    <xdr:pic>
      <xdr:nvPicPr>
        <xdr:cNvPr id="4" name="图片 3" descr="3_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85950" y="2466975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5</xdr:row>
      <xdr:rowOff>0</xdr:rowOff>
    </xdr:from>
    <xdr:to>
      <xdr:col>3</xdr:col>
      <xdr:colOff>142875</xdr:colOff>
      <xdr:row>5</xdr:row>
      <xdr:rowOff>0</xdr:rowOff>
    </xdr:to>
    <xdr:pic>
      <xdr:nvPicPr>
        <xdr:cNvPr id="2" name="图片 1" descr="2_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90700" y="137160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5</xdr:row>
      <xdr:rowOff>0</xdr:rowOff>
    </xdr:from>
    <xdr:to>
      <xdr:col>3</xdr:col>
      <xdr:colOff>142875</xdr:colOff>
      <xdr:row>5</xdr:row>
      <xdr:rowOff>0</xdr:rowOff>
    </xdr:to>
    <xdr:pic>
      <xdr:nvPicPr>
        <xdr:cNvPr id="3" name="图片 2" descr="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00225" y="1371600"/>
          <a:ext cx="123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5</xdr:row>
      <xdr:rowOff>0</xdr:rowOff>
    </xdr:from>
    <xdr:to>
      <xdr:col>3</xdr:col>
      <xdr:colOff>142875</xdr:colOff>
      <xdr:row>5</xdr:row>
      <xdr:rowOff>0</xdr:rowOff>
    </xdr:to>
    <xdr:pic>
      <xdr:nvPicPr>
        <xdr:cNvPr id="4" name="图片 3" descr="3_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85950" y="137160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87.1\&#22269;&#27888;&#23433;cmmi&#20307;&#27169;&#29256;&#25351;&#21335;&#27491;&#24335;&#29256;v1.0\1_&#26085;&#24120;&#24037;&#20316;\B_CMMI&#35780;&#20272;\3_&#36807;&#31243;&#23450;&#20041;\&#25104;&#26524;\&#36807;&#31243;&#25903;&#25345;\30_&#27169;&#29256;\&#36807;&#31243;&#23450;&#20041;&#19982;&#36807;&#31243;&#25913;&#3682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过程体系发布说明"/>
      <sheetName val="选项列表"/>
      <sheetName val="过程改进建议一览表"/>
      <sheetName val="过程改进年度计划"/>
      <sheetName val="过程改进实施计划"/>
      <sheetName val="OPF、OPD检查单"/>
      <sheetName val="Sheet1 (2)"/>
      <sheetName val="过程资产库管理规范"/>
      <sheetName val="过程资资产库管理规范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X73"/>
  <sheetViews>
    <sheetView topLeftCell="A28" workbookViewId="0">
      <selection activeCell="H38" sqref="H38"/>
    </sheetView>
  </sheetViews>
  <sheetFormatPr defaultColWidth="9" defaultRowHeight="13.5"/>
  <cols>
    <col min="1" max="1" width="9" style="33"/>
    <col min="2" max="2" width="12.625" style="33" customWidth="1"/>
    <col min="3" max="3" width="17.375" style="33" customWidth="1"/>
    <col min="4" max="4" width="13.625" style="33" customWidth="1"/>
    <col min="5" max="5" width="11.25" style="33" customWidth="1"/>
    <col min="6" max="6" width="10.25" style="33" customWidth="1"/>
    <col min="7" max="7" width="11.125" style="33" customWidth="1"/>
    <col min="8" max="10" width="11.25" style="33" customWidth="1"/>
    <col min="11" max="11" width="17" style="33" customWidth="1"/>
    <col min="12" max="12" width="11.875" style="33" customWidth="1"/>
    <col min="13" max="13" width="11.25" style="33" customWidth="1"/>
    <col min="14" max="14" width="13" style="33" customWidth="1"/>
    <col min="15" max="15" width="10.875" style="33" customWidth="1"/>
    <col min="16" max="16" width="12.5" style="33" customWidth="1"/>
    <col min="17" max="17" width="12.25" style="33" customWidth="1"/>
    <col min="18" max="18" width="10.875" style="33" customWidth="1"/>
    <col min="19" max="19" width="12.5" style="33" customWidth="1"/>
    <col min="20" max="20" width="12.25" style="33" customWidth="1"/>
    <col min="21" max="21" width="14.625" style="33" customWidth="1"/>
    <col min="22" max="22" width="10.625" style="33" customWidth="1"/>
    <col min="23" max="27" width="9" style="33"/>
    <col min="28" max="28" width="19.375" style="33" customWidth="1"/>
    <col min="29" max="16384" width="9" style="33"/>
  </cols>
  <sheetData>
    <row r="3" spans="1:16" ht="39.950000000000003" customHeight="1" thickBot="1">
      <c r="A3" s="134" t="s">
        <v>0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</row>
    <row r="4" spans="1:16" ht="39.950000000000003" customHeight="1">
      <c r="A4" s="64"/>
      <c r="B4" s="135" t="s">
        <v>1</v>
      </c>
      <c r="C4" s="136"/>
      <c r="D4" s="136"/>
      <c r="E4" s="91">
        <f>E10+SUM(E12:E18)</f>
        <v>100.485</v>
      </c>
      <c r="F4" s="137" t="s">
        <v>2</v>
      </c>
      <c r="G4" s="137"/>
      <c r="H4" s="92">
        <f>(E30-G30)/E30</f>
        <v>0.12563095905776767</v>
      </c>
      <c r="I4" s="137" t="s">
        <v>3</v>
      </c>
      <c r="J4" s="137"/>
      <c r="K4" s="93">
        <f>技术复杂度评估表!E1</f>
        <v>0.65999999999999992</v>
      </c>
      <c r="L4" s="77"/>
      <c r="M4" s="64"/>
    </row>
    <row r="5" spans="1:16" ht="27">
      <c r="B5" s="138" t="s">
        <v>4</v>
      </c>
      <c r="C5" s="139"/>
      <c r="D5" s="139"/>
      <c r="E5" s="83" t="s">
        <v>5</v>
      </c>
      <c r="F5" s="83" t="s">
        <v>6</v>
      </c>
      <c r="G5" s="83" t="s">
        <v>7</v>
      </c>
      <c r="H5" s="83" t="s">
        <v>6</v>
      </c>
      <c r="I5" s="139" t="s">
        <v>8</v>
      </c>
      <c r="J5" s="139"/>
      <c r="K5" s="140"/>
      <c r="L5" s="79"/>
      <c r="M5" s="79"/>
      <c r="N5" s="79"/>
    </row>
    <row r="6" spans="1:16" ht="45.75" customHeight="1">
      <c r="B6" s="184" t="s">
        <v>9</v>
      </c>
      <c r="C6" s="144" t="s">
        <v>10</v>
      </c>
      <c r="D6" s="144"/>
      <c r="E6" s="87">
        <v>20</v>
      </c>
      <c r="F6" s="88"/>
      <c r="G6" s="87">
        <v>20</v>
      </c>
      <c r="H6" s="88"/>
      <c r="I6" s="145" t="s">
        <v>195</v>
      </c>
      <c r="J6" s="144"/>
      <c r="K6" s="146"/>
      <c r="L6" s="182"/>
      <c r="M6" s="79"/>
      <c r="N6" s="79"/>
    </row>
    <row r="7" spans="1:16" ht="37.5" customHeight="1">
      <c r="B7" s="184"/>
      <c r="C7" s="144" t="s">
        <v>11</v>
      </c>
      <c r="D7" s="144"/>
      <c r="E7" s="87">
        <v>5.0999999999999996</v>
      </c>
      <c r="F7" s="88"/>
      <c r="G7" s="87">
        <v>4.3</v>
      </c>
      <c r="H7" s="88"/>
      <c r="I7" s="144" t="s">
        <v>12</v>
      </c>
      <c r="J7" s="144"/>
      <c r="K7" s="146"/>
      <c r="L7" s="182"/>
      <c r="M7" s="79"/>
      <c r="N7" s="79"/>
    </row>
    <row r="8" spans="1:16" ht="71.25" customHeight="1">
      <c r="B8" s="185" t="s">
        <v>13</v>
      </c>
      <c r="C8" s="141" t="s">
        <v>14</v>
      </c>
      <c r="D8" s="141"/>
      <c r="E8" s="86">
        <f>$E$32*F8</f>
        <v>13.391071428571429</v>
      </c>
      <c r="F8" s="84">
        <v>0.05</v>
      </c>
      <c r="G8" s="86">
        <f>$G$32*H8</f>
        <v>11.591071428571428</v>
      </c>
      <c r="H8" s="84">
        <v>0.05</v>
      </c>
      <c r="I8" s="141" t="s">
        <v>15</v>
      </c>
      <c r="J8" s="141"/>
      <c r="K8" s="142"/>
      <c r="L8" s="182"/>
      <c r="M8" s="79"/>
      <c r="N8" s="79"/>
    </row>
    <row r="9" spans="1:16" ht="18" customHeight="1">
      <c r="B9" s="186"/>
      <c r="C9" s="147" t="s">
        <v>185</v>
      </c>
      <c r="D9" s="96" t="s">
        <v>183</v>
      </c>
      <c r="E9" s="101">
        <v>5</v>
      </c>
      <c r="F9" s="152">
        <v>7.0000000000000007E-2</v>
      </c>
      <c r="G9" s="101">
        <v>5</v>
      </c>
      <c r="H9" s="152">
        <v>7.0000000000000007E-2</v>
      </c>
      <c r="I9" s="149" t="s">
        <v>184</v>
      </c>
      <c r="J9" s="150"/>
      <c r="K9" s="151"/>
      <c r="L9" s="99"/>
      <c r="M9" s="79"/>
      <c r="N9" s="79"/>
    </row>
    <row r="10" spans="1:16" ht="29.25" customHeight="1">
      <c r="B10" s="186"/>
      <c r="C10" s="147"/>
      <c r="D10" s="67" t="s">
        <v>186</v>
      </c>
      <c r="E10" s="86">
        <f>$E$32*F9-E9</f>
        <v>13.747500000000002</v>
      </c>
      <c r="F10" s="153"/>
      <c r="G10" s="86">
        <f>$G$32*H9-G9</f>
        <v>11.227499999999999</v>
      </c>
      <c r="H10" s="153"/>
      <c r="I10" s="143" t="s">
        <v>188</v>
      </c>
      <c r="J10" s="141"/>
      <c r="K10" s="142"/>
      <c r="L10" s="79"/>
      <c r="M10" s="79"/>
      <c r="N10" s="79"/>
    </row>
    <row r="11" spans="1:16" ht="67.5" customHeight="1">
      <c r="B11" s="186"/>
      <c r="C11" s="141" t="s">
        <v>16</v>
      </c>
      <c r="D11" s="141"/>
      <c r="E11" s="86">
        <f>$E$32*F11</f>
        <v>8.0346428571428561</v>
      </c>
      <c r="F11" s="84">
        <v>0.03</v>
      </c>
      <c r="G11" s="86">
        <f>$G$32*H11</f>
        <v>6.954642857142856</v>
      </c>
      <c r="H11" s="84">
        <v>0.03</v>
      </c>
      <c r="I11" s="141" t="s">
        <v>12</v>
      </c>
      <c r="J11" s="141"/>
      <c r="K11" s="142"/>
      <c r="L11" s="79"/>
      <c r="M11" s="79"/>
      <c r="N11" s="79"/>
    </row>
    <row r="12" spans="1:16" ht="13.5" customHeight="1">
      <c r="B12" s="186"/>
      <c r="C12" s="147" t="s">
        <v>17</v>
      </c>
      <c r="D12" s="66" t="s">
        <v>18</v>
      </c>
      <c r="E12" s="80">
        <f>UI_工作量评估!T8</f>
        <v>13</v>
      </c>
      <c r="F12" s="148">
        <v>0.35</v>
      </c>
      <c r="G12" s="80">
        <f>UI_工作量评估!W8</f>
        <v>0.39999999999999991</v>
      </c>
      <c r="H12" s="148">
        <v>0.35</v>
      </c>
      <c r="I12" s="183" t="s">
        <v>190</v>
      </c>
      <c r="J12" s="141"/>
      <c r="K12" s="142"/>
      <c r="L12" s="79"/>
      <c r="M12" s="79"/>
      <c r="N12" s="79"/>
    </row>
    <row r="13" spans="1:16" ht="13.5" customHeight="1">
      <c r="B13" s="186"/>
      <c r="C13" s="147"/>
      <c r="D13" s="66" t="s">
        <v>189</v>
      </c>
      <c r="E13" s="80">
        <f>'.NET_工作量评估'!R9</f>
        <v>10.6875</v>
      </c>
      <c r="F13" s="148"/>
      <c r="G13" s="80">
        <f>'.NET_工作量评估'!U9</f>
        <v>10.6875</v>
      </c>
      <c r="H13" s="148"/>
      <c r="I13" s="183"/>
      <c r="J13" s="141"/>
      <c r="K13" s="142"/>
      <c r="L13" s="79"/>
      <c r="M13" s="79"/>
      <c r="N13" s="79"/>
    </row>
    <row r="14" spans="1:16" ht="13.5" customHeight="1">
      <c r="B14" s="186"/>
      <c r="C14" s="147"/>
      <c r="D14" s="66" t="s">
        <v>19</v>
      </c>
      <c r="E14" s="80">
        <f>U3D_工作量评估!R21</f>
        <v>33.549999999999997</v>
      </c>
      <c r="F14" s="148"/>
      <c r="G14" s="80">
        <f>U3D_工作量评估!U21</f>
        <v>33.549999999999997</v>
      </c>
      <c r="H14" s="148"/>
      <c r="I14" s="183"/>
      <c r="J14" s="141"/>
      <c r="K14" s="142"/>
      <c r="L14" s="79"/>
      <c r="M14" s="79"/>
      <c r="N14" s="79"/>
    </row>
    <row r="15" spans="1:16" ht="13.5" customHeight="1">
      <c r="B15" s="186"/>
      <c r="C15" s="147"/>
      <c r="D15" s="66" t="s">
        <v>20</v>
      </c>
      <c r="E15" s="80">
        <f>建模_工作量评估!R12</f>
        <v>10.5</v>
      </c>
      <c r="F15" s="148"/>
      <c r="G15" s="80">
        <f>建模_工作量评估!U12</f>
        <v>10.5</v>
      </c>
      <c r="H15" s="148"/>
      <c r="I15" s="183"/>
      <c r="J15" s="141"/>
      <c r="K15" s="142"/>
      <c r="L15" s="79"/>
      <c r="M15" s="79"/>
      <c r="N15" s="79"/>
    </row>
    <row r="16" spans="1:16" ht="13.5" customHeight="1">
      <c r="B16" s="186"/>
      <c r="C16" s="147"/>
      <c r="D16" s="66" t="s">
        <v>21</v>
      </c>
      <c r="E16" s="80">
        <f>烘焙_工作量评估!R11</f>
        <v>6</v>
      </c>
      <c r="F16" s="148"/>
      <c r="G16" s="80">
        <f>烘焙_工作量评估!U11</f>
        <v>6</v>
      </c>
      <c r="H16" s="148"/>
      <c r="I16" s="183"/>
      <c r="J16" s="141"/>
      <c r="K16" s="142"/>
      <c r="L16" s="79"/>
      <c r="M16" s="79"/>
      <c r="N16" s="79"/>
    </row>
    <row r="17" spans="2:14" ht="13.5" customHeight="1">
      <c r="B17" s="186"/>
      <c r="C17" s="147"/>
      <c r="D17" s="66" t="s">
        <v>22</v>
      </c>
      <c r="E17" s="80">
        <f>动画_工作量评估!R8</f>
        <v>6</v>
      </c>
      <c r="F17" s="148"/>
      <c r="G17" s="80">
        <f>动画_工作量评估!U8</f>
        <v>6</v>
      </c>
      <c r="H17" s="148"/>
      <c r="I17" s="183"/>
      <c r="J17" s="141"/>
      <c r="K17" s="142"/>
      <c r="L17" s="79"/>
      <c r="M17" s="79"/>
      <c r="N17" s="79"/>
    </row>
    <row r="18" spans="2:14" ht="13.5" customHeight="1">
      <c r="B18" s="186"/>
      <c r="C18" s="147"/>
      <c r="D18" s="66" t="s">
        <v>23</v>
      </c>
      <c r="E18" s="80">
        <f>特效_工作量评估!R5</f>
        <v>7</v>
      </c>
      <c r="F18" s="148"/>
      <c r="G18" s="80">
        <f>特效_工作量评估!U5</f>
        <v>7</v>
      </c>
      <c r="H18" s="148"/>
      <c r="I18" s="183"/>
      <c r="J18" s="141"/>
      <c r="K18" s="142"/>
      <c r="L18" s="79"/>
      <c r="M18" s="79"/>
      <c r="N18" s="79"/>
    </row>
    <row r="19" spans="2:14" ht="13.5" customHeight="1">
      <c r="B19" s="186"/>
      <c r="C19" s="147"/>
      <c r="D19" s="104" t="s">
        <v>187</v>
      </c>
      <c r="E19" s="66">
        <v>7</v>
      </c>
      <c r="F19" s="148"/>
      <c r="G19" s="66">
        <v>7</v>
      </c>
      <c r="H19" s="148"/>
      <c r="I19" s="183"/>
      <c r="J19" s="141"/>
      <c r="K19" s="142"/>
      <c r="L19" s="79"/>
      <c r="M19" s="79"/>
      <c r="N19" s="79"/>
    </row>
    <row r="20" spans="2:14" ht="48" customHeight="1">
      <c r="B20" s="186"/>
      <c r="C20" s="141" t="s">
        <v>24</v>
      </c>
      <c r="D20" s="141"/>
      <c r="E20" s="86">
        <f>$E$32*F20</f>
        <v>34.816785714285714</v>
      </c>
      <c r="F20" s="84">
        <v>0.13</v>
      </c>
      <c r="G20" s="86">
        <f>$G$32*H20</f>
        <v>30.136785714285715</v>
      </c>
      <c r="H20" s="84">
        <v>0.13</v>
      </c>
      <c r="I20" s="143" t="s">
        <v>178</v>
      </c>
      <c r="J20" s="141"/>
      <c r="K20" s="142"/>
      <c r="L20" s="79"/>
      <c r="M20" s="79"/>
      <c r="N20" s="79"/>
    </row>
    <row r="21" spans="2:14" ht="48" customHeight="1">
      <c r="B21" s="186"/>
      <c r="C21" s="141" t="s">
        <v>25</v>
      </c>
      <c r="D21" s="141"/>
      <c r="E21" s="86">
        <f>$E$32*F21</f>
        <v>8.0346428571428561</v>
      </c>
      <c r="F21" s="84">
        <v>0.03</v>
      </c>
      <c r="G21" s="86">
        <f>$G$32*H21</f>
        <v>6.954642857142856</v>
      </c>
      <c r="H21" s="84">
        <v>0.03</v>
      </c>
      <c r="I21" s="141" t="s">
        <v>12</v>
      </c>
      <c r="J21" s="141"/>
      <c r="K21" s="142"/>
      <c r="L21" s="79"/>
      <c r="M21" s="79"/>
      <c r="N21" s="79"/>
    </row>
    <row r="22" spans="2:14" ht="29.25" customHeight="1">
      <c r="B22" s="186"/>
      <c r="C22" s="147" t="s">
        <v>26</v>
      </c>
      <c r="D22" s="67" t="s">
        <v>26</v>
      </c>
      <c r="E22" s="86">
        <f>$E$32*F22*40%</f>
        <v>12.85542857142857</v>
      </c>
      <c r="F22" s="148">
        <v>0.12</v>
      </c>
      <c r="G22" s="86">
        <f>$G$32*H22*40%</f>
        <v>11.12742857142857</v>
      </c>
      <c r="H22" s="148">
        <v>0.12</v>
      </c>
      <c r="I22" s="141" t="s">
        <v>27</v>
      </c>
      <c r="J22" s="141"/>
      <c r="K22" s="142"/>
      <c r="L22" s="79"/>
      <c r="M22" s="79"/>
      <c r="N22" s="79"/>
    </row>
    <row r="23" spans="2:14" ht="31.5" customHeight="1">
      <c r="B23" s="186"/>
      <c r="C23" s="147"/>
      <c r="D23" s="67" t="s">
        <v>28</v>
      </c>
      <c r="E23" s="86">
        <f>$E$32*F22*60%</f>
        <v>19.283142857142852</v>
      </c>
      <c r="F23" s="148"/>
      <c r="G23" s="86">
        <f>$G$32*H22*60%</f>
        <v>16.691142857142854</v>
      </c>
      <c r="H23" s="148"/>
      <c r="I23" s="141"/>
      <c r="J23" s="141"/>
      <c r="K23" s="142"/>
      <c r="L23" s="79"/>
      <c r="M23" s="79"/>
      <c r="N23" s="79"/>
    </row>
    <row r="24" spans="2:14" ht="43.5" customHeight="1">
      <c r="B24" s="187"/>
      <c r="C24" s="141" t="s">
        <v>29</v>
      </c>
      <c r="D24" s="141"/>
      <c r="E24" s="86">
        <f>$E$32*F24</f>
        <v>8.0346428571428561</v>
      </c>
      <c r="F24" s="84">
        <v>0.03</v>
      </c>
      <c r="G24" s="86">
        <f>$G$32*H24</f>
        <v>6.954642857142856</v>
      </c>
      <c r="H24" s="84">
        <v>0.03</v>
      </c>
      <c r="I24" s="143" t="s">
        <v>179</v>
      </c>
      <c r="J24" s="141"/>
      <c r="K24" s="142"/>
      <c r="L24" s="79"/>
      <c r="M24" s="79"/>
      <c r="N24" s="79"/>
    </row>
    <row r="25" spans="2:14" ht="43.5" customHeight="1">
      <c r="B25" s="162" t="s">
        <v>177</v>
      </c>
      <c r="C25" s="163"/>
      <c r="D25" s="163"/>
      <c r="E25" s="86">
        <f>SUM(E8:E24)</f>
        <v>216.93535714285713</v>
      </c>
      <c r="F25" s="85">
        <f>SUM(F8:F24)</f>
        <v>0.81</v>
      </c>
      <c r="G25" s="86">
        <f>SUM(G8:G24)</f>
        <v>187.77535714285713</v>
      </c>
      <c r="H25" s="85">
        <f>SUM(H8:H24)</f>
        <v>0.81</v>
      </c>
      <c r="I25" s="188"/>
      <c r="J25" s="189"/>
      <c r="K25" s="190"/>
      <c r="L25" s="79"/>
      <c r="M25" s="79"/>
      <c r="N25" s="79"/>
    </row>
    <row r="26" spans="2:14" ht="30" customHeight="1">
      <c r="B26" s="161" t="s">
        <v>30</v>
      </c>
      <c r="C26" s="147"/>
      <c r="D26" s="147"/>
      <c r="E26" s="86">
        <f>$E$32*F26</f>
        <v>13.391071428571429</v>
      </c>
      <c r="F26" s="84">
        <v>0.05</v>
      </c>
      <c r="G26" s="86">
        <f>$G$32*H26</f>
        <v>11.591071428571428</v>
      </c>
      <c r="H26" s="84">
        <v>0.05</v>
      </c>
      <c r="I26" s="143" t="s">
        <v>180</v>
      </c>
      <c r="J26" s="141"/>
      <c r="K26" s="142"/>
      <c r="L26" s="79"/>
      <c r="M26" s="79"/>
      <c r="N26" s="79"/>
    </row>
    <row r="27" spans="2:14" ht="30" customHeight="1">
      <c r="B27" s="169" t="s">
        <v>169</v>
      </c>
      <c r="C27" s="170"/>
      <c r="D27" s="171"/>
      <c r="E27" s="86">
        <f t="shared" ref="E27:E29" si="0">$E$32*F27</f>
        <v>8.0346428571428561</v>
      </c>
      <c r="F27" s="84">
        <v>0.03</v>
      </c>
      <c r="G27" s="121">
        <f t="shared" ref="G27:G29" si="1">$G$32*H27</f>
        <v>6.954642857142856</v>
      </c>
      <c r="H27" s="84">
        <v>0.03</v>
      </c>
      <c r="I27" s="143" t="s">
        <v>182</v>
      </c>
      <c r="J27" s="141"/>
      <c r="K27" s="142"/>
      <c r="L27" s="79"/>
      <c r="M27" s="79"/>
      <c r="N27" s="79"/>
    </row>
    <row r="28" spans="2:14" ht="32.25" customHeight="1">
      <c r="B28" s="169" t="s">
        <v>170</v>
      </c>
      <c r="C28" s="193"/>
      <c r="D28" s="194"/>
      <c r="E28" s="86">
        <f t="shared" si="0"/>
        <v>8.0346428571428561</v>
      </c>
      <c r="F28" s="84">
        <v>0.03</v>
      </c>
      <c r="G28" s="121">
        <f t="shared" si="1"/>
        <v>6.954642857142856</v>
      </c>
      <c r="H28" s="84">
        <v>0.03</v>
      </c>
      <c r="I28" s="143" t="s">
        <v>182</v>
      </c>
      <c r="J28" s="141"/>
      <c r="K28" s="142"/>
      <c r="L28" s="79"/>
      <c r="M28" s="79"/>
      <c r="N28" s="79"/>
    </row>
    <row r="29" spans="2:14" ht="29.25" customHeight="1">
      <c r="B29" s="161" t="s">
        <v>31</v>
      </c>
      <c r="C29" s="147"/>
      <c r="D29" s="147"/>
      <c r="E29" s="86">
        <f t="shared" si="0"/>
        <v>21.425714285714285</v>
      </c>
      <c r="F29" s="84">
        <v>0.08</v>
      </c>
      <c r="G29" s="121">
        <f t="shared" si="1"/>
        <v>18.545714285714286</v>
      </c>
      <c r="H29" s="84">
        <v>0.08</v>
      </c>
      <c r="I29" s="143" t="s">
        <v>181</v>
      </c>
      <c r="J29" s="141"/>
      <c r="K29" s="142"/>
      <c r="L29" s="79"/>
      <c r="M29" s="79"/>
      <c r="N29" s="79"/>
    </row>
    <row r="30" spans="2:14" ht="30" customHeight="1">
      <c r="B30" s="179" t="s">
        <v>171</v>
      </c>
      <c r="C30" s="180" t="s">
        <v>32</v>
      </c>
      <c r="D30" s="180"/>
      <c r="E30" s="89">
        <f>SUM(E6:E7)+SUM(E25:E29)</f>
        <v>292.92142857142852</v>
      </c>
      <c r="F30" s="90">
        <f>SUM(F25:F29)</f>
        <v>1.0000000000000002</v>
      </c>
      <c r="G30" s="89">
        <f>SUM(G6:G7)+SUM(G25:G29)</f>
        <v>256.12142857142857</v>
      </c>
      <c r="H30" s="90">
        <f>SUM(H25:H29)</f>
        <v>1.0000000000000002</v>
      </c>
      <c r="I30" s="172"/>
      <c r="J30" s="172"/>
      <c r="K30" s="173"/>
      <c r="L30" s="79"/>
      <c r="M30" s="79"/>
      <c r="N30" s="79"/>
    </row>
    <row r="31" spans="2:14" ht="30" customHeight="1">
      <c r="B31" s="179" t="s">
        <v>172</v>
      </c>
      <c r="C31" s="180"/>
      <c r="D31" s="180"/>
      <c r="E31" s="89">
        <f>E30/21.75</f>
        <v>13.467651888341541</v>
      </c>
      <c r="F31" s="89"/>
      <c r="G31" s="89">
        <f>G30/21.75</f>
        <v>11.775697865353038</v>
      </c>
      <c r="H31" s="89"/>
      <c r="I31" s="172"/>
      <c r="J31" s="172"/>
      <c r="K31" s="173"/>
      <c r="L31" s="79"/>
      <c r="M31" s="79"/>
      <c r="N31" s="79"/>
    </row>
    <row r="32" spans="2:14" ht="30" customHeight="1">
      <c r="B32" s="162" t="s">
        <v>173</v>
      </c>
      <c r="C32" s="163" t="s">
        <v>32</v>
      </c>
      <c r="D32" s="163"/>
      <c r="E32" s="86">
        <f>SUM($E$12:$E$19)/$F$12</f>
        <v>267.82142857142856</v>
      </c>
      <c r="F32" s="86"/>
      <c r="G32" s="86">
        <f>SUM($G$12:$G$19)/$H$12</f>
        <v>231.82142857142856</v>
      </c>
      <c r="H32" s="86"/>
      <c r="I32" s="164"/>
      <c r="J32" s="164"/>
      <c r="K32" s="165"/>
      <c r="L32" s="79"/>
      <c r="M32" s="79"/>
      <c r="N32" s="79"/>
    </row>
    <row r="33" spans="1:24" ht="30" customHeight="1" thickBot="1">
      <c r="B33" s="166" t="s">
        <v>174</v>
      </c>
      <c r="C33" s="158"/>
      <c r="D33" s="158"/>
      <c r="E33" s="70">
        <f>E32/21.75</f>
        <v>12.313628899835795</v>
      </c>
      <c r="F33" s="70"/>
      <c r="G33" s="94">
        <f>G32/21.75</f>
        <v>10.658456486042692</v>
      </c>
      <c r="H33" s="70"/>
      <c r="I33" s="167" t="s">
        <v>194</v>
      </c>
      <c r="J33" s="167"/>
      <c r="K33" s="168"/>
      <c r="L33" s="79"/>
      <c r="M33" s="79"/>
      <c r="N33" s="79"/>
    </row>
    <row r="34" spans="1:24" ht="18.75">
      <c r="L34" s="64"/>
      <c r="M34" s="64"/>
      <c r="N34" s="64"/>
    </row>
    <row r="35" spans="1:24" ht="39.950000000000003" customHeight="1">
      <c r="A35" s="134" t="s">
        <v>33</v>
      </c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</row>
    <row r="36" spans="1:24" ht="41.25" customHeight="1">
      <c r="B36" s="135" t="s">
        <v>34</v>
      </c>
      <c r="C36" s="136"/>
      <c r="D36" s="136" t="s">
        <v>35</v>
      </c>
      <c r="E36" s="136"/>
      <c r="F36" s="136"/>
      <c r="G36" s="136"/>
      <c r="H36" s="136"/>
      <c r="I36" s="136" t="s">
        <v>36</v>
      </c>
      <c r="J36" s="136"/>
      <c r="K36" s="136"/>
      <c r="L36" s="136"/>
      <c r="M36" s="181"/>
      <c r="O36" s="64"/>
      <c r="P36" s="64"/>
      <c r="Q36" s="64"/>
    </row>
    <row r="37" spans="1:24" ht="27" customHeight="1">
      <c r="B37" s="138"/>
      <c r="C37" s="139"/>
      <c r="D37" s="34" t="s">
        <v>37</v>
      </c>
      <c r="E37" s="34" t="s">
        <v>38</v>
      </c>
      <c r="F37" s="34" t="s">
        <v>39</v>
      </c>
      <c r="G37" s="34" t="s">
        <v>40</v>
      </c>
      <c r="H37" s="34" t="s">
        <v>41</v>
      </c>
      <c r="I37" s="34" t="s">
        <v>37</v>
      </c>
      <c r="J37" s="34" t="s">
        <v>38</v>
      </c>
      <c r="K37" s="34" t="s">
        <v>39</v>
      </c>
      <c r="L37" s="34" t="s">
        <v>40</v>
      </c>
      <c r="M37" s="78" t="s">
        <v>41</v>
      </c>
      <c r="O37" s="64"/>
      <c r="P37" s="64"/>
      <c r="Q37" s="64"/>
    </row>
    <row r="38" spans="1:24" ht="18.75">
      <c r="B38" s="160" t="s">
        <v>14</v>
      </c>
      <c r="C38" s="141"/>
      <c r="D38" s="43">
        <f t="shared" ref="D38:D54" si="2">E8</f>
        <v>13.391071428571429</v>
      </c>
      <c r="E38" s="53">
        <v>8</v>
      </c>
      <c r="F38" s="43">
        <f>D38/E38</f>
        <v>1.6738839285714286</v>
      </c>
      <c r="G38" s="71">
        <v>42607</v>
      </c>
      <c r="H38" s="72">
        <f>IF((F38-1)&lt;1,G38,WORKDAY(G38,(F38-1),'附录-节假日'!$A$2:$A$33))</f>
        <v>42607</v>
      </c>
      <c r="I38" s="103">
        <f t="shared" ref="I38:I54" si="3">G8</f>
        <v>11.591071428571428</v>
      </c>
      <c r="J38" s="82">
        <v>8</v>
      </c>
      <c r="K38" s="43">
        <f>I38/J38</f>
        <v>1.4488839285714286</v>
      </c>
      <c r="L38" s="71">
        <v>42607</v>
      </c>
      <c r="M38" s="72">
        <f>IF((K38-1)&lt;1,L38,WORKDAY(L38,(K38-1),'附录-节假日'!$A$2:$A$33))</f>
        <v>42607</v>
      </c>
      <c r="O38" s="64"/>
      <c r="P38" s="64"/>
      <c r="Q38" s="64"/>
    </row>
    <row r="39" spans="1:24" ht="18.75">
      <c r="B39" s="147" t="s">
        <v>185</v>
      </c>
      <c r="C39" s="100" t="s">
        <v>183</v>
      </c>
      <c r="D39" s="98">
        <f t="shared" si="2"/>
        <v>5</v>
      </c>
      <c r="E39" s="53">
        <v>4</v>
      </c>
      <c r="F39" s="98">
        <f t="shared" ref="F39:F40" si="4">D39/E39</f>
        <v>1.25</v>
      </c>
      <c r="G39" s="154">
        <f t="shared" ref="G39" si="5">H38+1</f>
        <v>42608</v>
      </c>
      <c r="H39" s="154">
        <f>IF((F39-1)&lt;1,G39,WORKDAY(G39,(F39-1),'附录-节假日'!$A$2:$A$33))</f>
        <v>42608</v>
      </c>
      <c r="I39" s="103">
        <f t="shared" si="3"/>
        <v>5</v>
      </c>
      <c r="J39" s="82">
        <v>4</v>
      </c>
      <c r="K39" s="98">
        <f t="shared" ref="K39:K40" si="6">I39/J39</f>
        <v>1.25</v>
      </c>
      <c r="L39" s="154">
        <f t="shared" ref="L39:L42" si="7">M38+1</f>
        <v>42608</v>
      </c>
      <c r="M39" s="154">
        <f>IF((K39-1)&lt;1,L39,WORKDAY(L39,(K39-1),'附录-节假日'!$A$2:$A$33))</f>
        <v>42608</v>
      </c>
      <c r="O39" s="64"/>
      <c r="P39" s="64"/>
      <c r="Q39" s="64"/>
    </row>
    <row r="40" spans="1:24" ht="18.75">
      <c r="B40" s="147"/>
      <c r="C40" s="102" t="s">
        <v>186</v>
      </c>
      <c r="D40" s="98">
        <f t="shared" si="2"/>
        <v>13.747500000000002</v>
      </c>
      <c r="E40" s="97">
        <v>11</v>
      </c>
      <c r="F40" s="98">
        <f t="shared" si="4"/>
        <v>1.2497727272727275</v>
      </c>
      <c r="G40" s="156"/>
      <c r="H40" s="156"/>
      <c r="I40" s="103">
        <f t="shared" si="3"/>
        <v>11.227499999999999</v>
      </c>
      <c r="J40" s="97">
        <v>11</v>
      </c>
      <c r="K40" s="98">
        <f t="shared" si="6"/>
        <v>1.020681818181818</v>
      </c>
      <c r="L40" s="156"/>
      <c r="M40" s="156"/>
      <c r="O40" s="95"/>
      <c r="P40" s="95"/>
      <c r="Q40" s="95"/>
    </row>
    <row r="41" spans="1:24" ht="18.75">
      <c r="B41" s="160" t="s">
        <v>16</v>
      </c>
      <c r="C41" s="141"/>
      <c r="D41" s="43">
        <f t="shared" si="2"/>
        <v>8.0346428571428561</v>
      </c>
      <c r="E41" s="53">
        <v>13</v>
      </c>
      <c r="F41" s="43">
        <f t="shared" ref="F41:F54" si="8">D41/E41</f>
        <v>0.61804945054945049</v>
      </c>
      <c r="G41" s="72">
        <f>H39+1</f>
        <v>42609</v>
      </c>
      <c r="H41" s="72">
        <f>IF((F41-1)&lt;1,G41,WORKDAY(G41,(F41-1),'附录-节假日'!$A$2:$A$33))</f>
        <v>42609</v>
      </c>
      <c r="I41" s="103">
        <f t="shared" si="3"/>
        <v>6.954642857142856</v>
      </c>
      <c r="J41" s="82">
        <v>13</v>
      </c>
      <c r="K41" s="43">
        <f t="shared" ref="K41:K54" si="9">I41/J41</f>
        <v>0.53497252747252744</v>
      </c>
      <c r="L41" s="72">
        <f>M39+1</f>
        <v>42609</v>
      </c>
      <c r="M41" s="72">
        <f>IF((K41-1)&lt;1,L41,WORKDAY(L41,(K41-1),'附录-节假日'!$A$2:$A$33))</f>
        <v>42609</v>
      </c>
      <c r="O41" s="64"/>
      <c r="P41" s="64"/>
      <c r="Q41" s="64"/>
    </row>
    <row r="42" spans="1:24" ht="18.75">
      <c r="B42" s="161" t="s">
        <v>17</v>
      </c>
      <c r="C42" s="66" t="s">
        <v>18</v>
      </c>
      <c r="D42" s="43">
        <f t="shared" si="2"/>
        <v>13</v>
      </c>
      <c r="E42" s="53">
        <v>3</v>
      </c>
      <c r="F42" s="43">
        <f t="shared" si="8"/>
        <v>4.333333333333333</v>
      </c>
      <c r="G42" s="176">
        <f>H41+1</f>
        <v>42610</v>
      </c>
      <c r="H42" s="154">
        <f>IF((MAX(F42:F49)-1)&lt;1,G42,WORKDAY(G42,(MAX(F42:F49)-1),'附录-节假日'!$A$2:$A$33))</f>
        <v>42619</v>
      </c>
      <c r="I42" s="103">
        <f t="shared" si="3"/>
        <v>0.39999999999999991</v>
      </c>
      <c r="J42" s="82">
        <v>3</v>
      </c>
      <c r="K42" s="43">
        <f t="shared" si="9"/>
        <v>0.1333333333333333</v>
      </c>
      <c r="L42" s="176">
        <f t="shared" si="7"/>
        <v>42610</v>
      </c>
      <c r="M42" s="154">
        <f>IF((MAX(K42:K49)-1)&lt;1,L42,WORKDAY(L42,(MAX(K42:K49)-1),'附录-节假日'!$A$2:$A$33))</f>
        <v>42619</v>
      </c>
      <c r="O42" s="64"/>
      <c r="P42" s="64"/>
      <c r="Q42" s="64"/>
    </row>
    <row r="43" spans="1:24" ht="18.75">
      <c r="B43" s="161"/>
      <c r="C43" s="66" t="s">
        <v>189</v>
      </c>
      <c r="D43" s="111">
        <f t="shared" si="2"/>
        <v>10.6875</v>
      </c>
      <c r="E43" s="105">
        <v>2</v>
      </c>
      <c r="F43" s="111">
        <f t="shared" si="8"/>
        <v>5.34375</v>
      </c>
      <c r="G43" s="176"/>
      <c r="H43" s="155"/>
      <c r="I43" s="103">
        <f t="shared" si="3"/>
        <v>10.6875</v>
      </c>
      <c r="J43" s="105">
        <v>2</v>
      </c>
      <c r="K43" s="111">
        <f t="shared" si="9"/>
        <v>5.34375</v>
      </c>
      <c r="L43" s="176"/>
      <c r="M43" s="155"/>
      <c r="O43" s="106"/>
      <c r="P43" s="106"/>
      <c r="Q43" s="106"/>
    </row>
    <row r="44" spans="1:24" ht="18.75">
      <c r="B44" s="161"/>
      <c r="C44" s="66" t="s">
        <v>19</v>
      </c>
      <c r="D44" s="43">
        <f t="shared" si="2"/>
        <v>33.549999999999997</v>
      </c>
      <c r="E44" s="53">
        <v>4</v>
      </c>
      <c r="F44" s="43">
        <f t="shared" si="8"/>
        <v>8.3874999999999993</v>
      </c>
      <c r="G44" s="176"/>
      <c r="H44" s="155"/>
      <c r="I44" s="103">
        <f t="shared" si="3"/>
        <v>33.549999999999997</v>
      </c>
      <c r="J44" s="82">
        <v>4</v>
      </c>
      <c r="K44" s="43">
        <f t="shared" si="9"/>
        <v>8.3874999999999993</v>
      </c>
      <c r="L44" s="176"/>
      <c r="M44" s="155"/>
      <c r="O44" s="64"/>
      <c r="P44" s="64"/>
      <c r="Q44" s="64"/>
    </row>
    <row r="45" spans="1:24" ht="18.75">
      <c r="B45" s="161"/>
      <c r="C45" s="66" t="s">
        <v>20</v>
      </c>
      <c r="D45" s="43">
        <f t="shared" si="2"/>
        <v>10.5</v>
      </c>
      <c r="E45" s="53">
        <v>3</v>
      </c>
      <c r="F45" s="43">
        <f t="shared" si="8"/>
        <v>3.5</v>
      </c>
      <c r="G45" s="176"/>
      <c r="H45" s="155"/>
      <c r="I45" s="103">
        <f t="shared" si="3"/>
        <v>10.5</v>
      </c>
      <c r="J45" s="82">
        <v>3</v>
      </c>
      <c r="K45" s="43">
        <f t="shared" si="9"/>
        <v>3.5</v>
      </c>
      <c r="L45" s="176"/>
      <c r="M45" s="155"/>
      <c r="O45" s="64"/>
      <c r="P45" s="64"/>
      <c r="Q45" s="64"/>
    </row>
    <row r="46" spans="1:24" ht="18.75">
      <c r="B46" s="161"/>
      <c r="C46" s="66" t="s">
        <v>21</v>
      </c>
      <c r="D46" s="43">
        <f t="shared" si="2"/>
        <v>6</v>
      </c>
      <c r="E46" s="53">
        <v>1</v>
      </c>
      <c r="F46" s="43">
        <f t="shared" si="8"/>
        <v>6</v>
      </c>
      <c r="G46" s="176"/>
      <c r="H46" s="155"/>
      <c r="I46" s="103">
        <f t="shared" si="3"/>
        <v>6</v>
      </c>
      <c r="J46" s="82">
        <v>1</v>
      </c>
      <c r="K46" s="43">
        <f t="shared" si="9"/>
        <v>6</v>
      </c>
      <c r="L46" s="176"/>
      <c r="M46" s="155"/>
      <c r="O46" s="64"/>
      <c r="P46" s="64"/>
      <c r="Q46" s="64"/>
    </row>
    <row r="47" spans="1:24" ht="18.75">
      <c r="B47" s="161"/>
      <c r="C47" s="66" t="s">
        <v>22</v>
      </c>
      <c r="D47" s="43">
        <f t="shared" si="2"/>
        <v>6</v>
      </c>
      <c r="E47" s="53">
        <v>1</v>
      </c>
      <c r="F47" s="43">
        <f t="shared" si="8"/>
        <v>6</v>
      </c>
      <c r="G47" s="176"/>
      <c r="H47" s="155"/>
      <c r="I47" s="103">
        <f t="shared" si="3"/>
        <v>6</v>
      </c>
      <c r="J47" s="82">
        <v>1</v>
      </c>
      <c r="K47" s="98">
        <f t="shared" si="9"/>
        <v>6</v>
      </c>
      <c r="L47" s="176"/>
      <c r="M47" s="155"/>
      <c r="O47" s="64"/>
      <c r="P47" s="64"/>
      <c r="Q47" s="64"/>
    </row>
    <row r="48" spans="1:24" ht="18.75">
      <c r="B48" s="161"/>
      <c r="C48" s="66" t="s">
        <v>23</v>
      </c>
      <c r="D48" s="98">
        <f t="shared" si="2"/>
        <v>7</v>
      </c>
      <c r="E48" s="97">
        <v>1</v>
      </c>
      <c r="F48" s="98">
        <f t="shared" si="8"/>
        <v>7</v>
      </c>
      <c r="G48" s="176"/>
      <c r="H48" s="155"/>
      <c r="I48" s="103">
        <f t="shared" si="3"/>
        <v>7</v>
      </c>
      <c r="J48" s="97">
        <v>1</v>
      </c>
      <c r="K48" s="98">
        <f t="shared" si="9"/>
        <v>7</v>
      </c>
      <c r="L48" s="176"/>
      <c r="M48" s="155"/>
      <c r="O48" s="95"/>
      <c r="P48" s="95"/>
      <c r="Q48" s="95"/>
    </row>
    <row r="49" spans="1:17" ht="18.75">
      <c r="B49" s="161"/>
      <c r="C49" s="104" t="s">
        <v>187</v>
      </c>
      <c r="D49" s="43">
        <f t="shared" si="2"/>
        <v>7</v>
      </c>
      <c r="E49" s="53">
        <v>1</v>
      </c>
      <c r="F49" s="43">
        <f t="shared" si="8"/>
        <v>7</v>
      </c>
      <c r="G49" s="176"/>
      <c r="H49" s="156"/>
      <c r="I49" s="103">
        <f t="shared" si="3"/>
        <v>7</v>
      </c>
      <c r="J49" s="82">
        <v>1</v>
      </c>
      <c r="K49" s="43">
        <f t="shared" si="9"/>
        <v>7</v>
      </c>
      <c r="L49" s="176"/>
      <c r="M49" s="156"/>
      <c r="O49" s="64"/>
      <c r="P49" s="64"/>
      <c r="Q49" s="64"/>
    </row>
    <row r="50" spans="1:17" ht="18.75">
      <c r="B50" s="160" t="s">
        <v>24</v>
      </c>
      <c r="C50" s="141"/>
      <c r="D50" s="43">
        <f t="shared" si="2"/>
        <v>34.816785714285714</v>
      </c>
      <c r="E50" s="53">
        <v>9</v>
      </c>
      <c r="F50" s="43">
        <f t="shared" si="8"/>
        <v>3.8685317460317461</v>
      </c>
      <c r="G50" s="72">
        <f>H42+1</f>
        <v>42620</v>
      </c>
      <c r="H50" s="72">
        <f>IF((F50-1)&lt;1,G50,WORKDAY(G50,(F50-1),'附录-节假日'!$A$2:$A$33))</f>
        <v>42622</v>
      </c>
      <c r="I50" s="103">
        <f t="shared" si="3"/>
        <v>30.136785714285715</v>
      </c>
      <c r="J50" s="82">
        <v>9</v>
      </c>
      <c r="K50" s="43">
        <f t="shared" si="9"/>
        <v>3.3485317460317461</v>
      </c>
      <c r="L50" s="72">
        <f>M42+1</f>
        <v>42620</v>
      </c>
      <c r="M50" s="72">
        <f>IF((K50-1)&lt;1,L50,WORKDAY(L50,(K50-1),'附录-节假日'!$A$2:$A$33))</f>
        <v>42622</v>
      </c>
      <c r="O50" s="64"/>
      <c r="P50" s="64"/>
      <c r="Q50" s="64"/>
    </row>
    <row r="51" spans="1:17" ht="18.75">
      <c r="B51" s="160" t="s">
        <v>25</v>
      </c>
      <c r="C51" s="141"/>
      <c r="D51" s="43">
        <f t="shared" si="2"/>
        <v>8.0346428571428561</v>
      </c>
      <c r="E51" s="53">
        <v>13</v>
      </c>
      <c r="F51" s="43">
        <f t="shared" si="8"/>
        <v>0.61804945054945049</v>
      </c>
      <c r="G51" s="72">
        <f t="shared" ref="G51:G55" si="10">H50+1</f>
        <v>42623</v>
      </c>
      <c r="H51" s="72">
        <f>IF((F51-1)&lt;1,G51,WORKDAY(G51,(F51-1),'附录-节假日'!$A$2:$A$33))</f>
        <v>42623</v>
      </c>
      <c r="I51" s="103">
        <f t="shared" si="3"/>
        <v>6.954642857142856</v>
      </c>
      <c r="J51" s="82">
        <v>13</v>
      </c>
      <c r="K51" s="43">
        <f t="shared" si="9"/>
        <v>0.53497252747252744</v>
      </c>
      <c r="L51" s="72">
        <f t="shared" ref="L51:L55" si="11">M50+1</f>
        <v>42623</v>
      </c>
      <c r="M51" s="72">
        <f>IF((K51-1)&lt;1,L51,WORKDAY(L51,(K51-1),'附录-节假日'!$A$2:$A$33))</f>
        <v>42623</v>
      </c>
      <c r="O51" s="64"/>
      <c r="P51" s="64"/>
      <c r="Q51" s="64"/>
    </row>
    <row r="52" spans="1:17" ht="18.75">
      <c r="B52" s="161" t="s">
        <v>26</v>
      </c>
      <c r="C52" s="67" t="s">
        <v>26</v>
      </c>
      <c r="D52" s="43">
        <f t="shared" si="2"/>
        <v>12.85542857142857</v>
      </c>
      <c r="E52" s="53">
        <v>2</v>
      </c>
      <c r="F52" s="43">
        <f t="shared" si="8"/>
        <v>6.427714285714285</v>
      </c>
      <c r="G52" s="72">
        <f t="shared" si="10"/>
        <v>42624</v>
      </c>
      <c r="H52" s="72">
        <f>IF((F52-1)&lt;1,G52,WORKDAY(G52,(F52-1),'附录-节假日'!$A$2:$A$33))</f>
        <v>42629</v>
      </c>
      <c r="I52" s="103">
        <f t="shared" si="3"/>
        <v>11.12742857142857</v>
      </c>
      <c r="J52" s="82">
        <v>2</v>
      </c>
      <c r="K52" s="43">
        <f t="shared" si="9"/>
        <v>5.5637142857142852</v>
      </c>
      <c r="L52" s="72">
        <f t="shared" si="11"/>
        <v>42624</v>
      </c>
      <c r="M52" s="72">
        <f>IF((K52-1)&lt;1,L52,WORKDAY(L52,(K52-1),'附录-节假日'!$A$2:$A$33))</f>
        <v>42628</v>
      </c>
      <c r="O52" s="64"/>
      <c r="P52" s="64"/>
      <c r="Q52" s="64"/>
    </row>
    <row r="53" spans="1:17" ht="18.75">
      <c r="B53" s="161"/>
      <c r="C53" s="67" t="s">
        <v>28</v>
      </c>
      <c r="D53" s="43">
        <f t="shared" si="2"/>
        <v>19.283142857142852</v>
      </c>
      <c r="E53" s="53">
        <v>4</v>
      </c>
      <c r="F53" s="43">
        <f t="shared" si="8"/>
        <v>4.8207857142857131</v>
      </c>
      <c r="G53" s="72">
        <f t="shared" si="10"/>
        <v>42630</v>
      </c>
      <c r="H53" s="72">
        <f>IF((F53-1)&lt;1,G53,WORKDAY(G53,(F53-1),'附录-节假日'!$A$2:$A$33))</f>
        <v>42634</v>
      </c>
      <c r="I53" s="103">
        <f t="shared" si="3"/>
        <v>16.691142857142854</v>
      </c>
      <c r="J53" s="82">
        <v>4</v>
      </c>
      <c r="K53" s="43">
        <f t="shared" si="9"/>
        <v>4.1727857142857134</v>
      </c>
      <c r="L53" s="72">
        <f t="shared" si="11"/>
        <v>42629</v>
      </c>
      <c r="M53" s="72">
        <f>IF((K53-1)&lt;1,L53,WORKDAY(L53,(K53-1),'附录-节假日'!$A$2:$A$33))</f>
        <v>42634</v>
      </c>
      <c r="O53" s="64"/>
      <c r="P53" s="64"/>
      <c r="Q53" s="64"/>
    </row>
    <row r="54" spans="1:17" ht="18.75">
      <c r="B54" s="160" t="s">
        <v>29</v>
      </c>
      <c r="C54" s="141"/>
      <c r="D54" s="43">
        <f t="shared" si="2"/>
        <v>8.0346428571428561</v>
      </c>
      <c r="E54" s="53">
        <v>13</v>
      </c>
      <c r="F54" s="43">
        <f t="shared" si="8"/>
        <v>0.61804945054945049</v>
      </c>
      <c r="G54" s="72">
        <f t="shared" si="10"/>
        <v>42635</v>
      </c>
      <c r="H54" s="72">
        <f>IF((F54-1)&lt;1,G54,WORKDAY(G54,(F54-1),'附录-节假日'!$A$2:$A$33))</f>
        <v>42635</v>
      </c>
      <c r="I54" s="103">
        <f t="shared" si="3"/>
        <v>6.954642857142856</v>
      </c>
      <c r="J54" s="82">
        <v>13</v>
      </c>
      <c r="K54" s="43">
        <f t="shared" si="9"/>
        <v>0.53497252747252744</v>
      </c>
      <c r="L54" s="72">
        <f t="shared" si="11"/>
        <v>42635</v>
      </c>
      <c r="M54" s="72">
        <f>IF((K54-1)&lt;1,L54,WORKDAY(L54,(K54-1),'附录-节假日'!$A$2:$A$33))</f>
        <v>42635</v>
      </c>
      <c r="O54" s="64"/>
      <c r="P54" s="64"/>
      <c r="Q54" s="64"/>
    </row>
    <row r="55" spans="1:17" ht="18.75">
      <c r="B55" s="177" t="s">
        <v>30</v>
      </c>
      <c r="C55" s="178"/>
      <c r="D55" s="66"/>
      <c r="E55" s="53"/>
      <c r="F55" s="43">
        <f>(F38+F39+F41+MAX(F42:F47)+F50+F51+F52+F53+F54)*0.1</f>
        <v>2.8282564026251524</v>
      </c>
      <c r="G55" s="72">
        <f t="shared" si="10"/>
        <v>42636</v>
      </c>
      <c r="H55" s="72">
        <f>IF((F55-1)&lt;1,G55,WORKDAY(G55,(F55-1),'附录-节假日'!$A$2:$A$33))</f>
        <v>42639</v>
      </c>
      <c r="I55" s="66"/>
      <c r="J55" s="53"/>
      <c r="K55" s="43">
        <f>(K38+K39+K41+MAX(K42:K47)+K50+K51+K52+K53+K54)*0.1</f>
        <v>2.5776333257020756</v>
      </c>
      <c r="L55" s="72">
        <f t="shared" si="11"/>
        <v>42636</v>
      </c>
      <c r="M55" s="72">
        <f>IF((K55-1)&lt;1,L55,WORKDAY(L55,(K55-1),'附录-节假日'!$A$2:$A$33))</f>
        <v>42639</v>
      </c>
      <c r="N55" s="64"/>
      <c r="O55" s="64"/>
      <c r="P55" s="64"/>
    </row>
    <row r="56" spans="1:17" ht="40.5" customHeight="1">
      <c r="B56" s="157" t="s">
        <v>42</v>
      </c>
      <c r="C56" s="158"/>
      <c r="D56" s="73"/>
      <c r="E56" s="73"/>
      <c r="F56" s="70">
        <f>(F38+F39+F41+MAX(F42:F47)+F50+F51+F52+F53+F54)*1.1</f>
        <v>31.110820428876675</v>
      </c>
      <c r="G56" s="73"/>
      <c r="H56" s="73"/>
      <c r="I56" s="73"/>
      <c r="J56" s="73"/>
      <c r="K56" s="70">
        <f>(K38+K39+K41+MAX(K42:K47)+K50+K51+K52+K53+K54)*1.1</f>
        <v>28.35396658272283</v>
      </c>
      <c r="L56" s="73"/>
      <c r="M56" s="81"/>
      <c r="N56" s="64"/>
      <c r="O56" s="64"/>
      <c r="P56" s="64"/>
    </row>
    <row r="57" spans="1:17" ht="18.75">
      <c r="L57" s="64"/>
      <c r="M57" s="64"/>
      <c r="N57" s="64"/>
    </row>
    <row r="58" spans="1:17" ht="18.75">
      <c r="A58" s="134" t="s">
        <v>203</v>
      </c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</row>
    <row r="59" spans="1:17" ht="36" customHeight="1">
      <c r="A59" s="192" t="s">
        <v>206</v>
      </c>
      <c r="B59" s="192"/>
      <c r="C59" s="192"/>
      <c r="D59" s="192"/>
      <c r="E59" s="192"/>
      <c r="F59" s="192"/>
      <c r="G59" s="192"/>
      <c r="L59" s="118"/>
      <c r="M59" s="118"/>
      <c r="N59" s="118"/>
    </row>
    <row r="60" spans="1:17" ht="19.5" customHeight="1" thickBot="1">
      <c r="B60" s="191" t="s">
        <v>204</v>
      </c>
      <c r="C60" s="191"/>
      <c r="D60" s="191"/>
      <c r="E60" s="191"/>
      <c r="F60" s="191"/>
      <c r="G60" s="191"/>
      <c r="L60" s="118"/>
      <c r="M60" s="118"/>
      <c r="N60" s="118"/>
    </row>
    <row r="61" spans="1:17" ht="27.75" thickBot="1">
      <c r="B61" s="74" t="s">
        <v>196</v>
      </c>
      <c r="C61" s="120" t="s">
        <v>197</v>
      </c>
      <c r="D61" s="74" t="s">
        <v>198</v>
      </c>
      <c r="E61" s="74" t="s">
        <v>199</v>
      </c>
      <c r="F61" s="74" t="s">
        <v>200</v>
      </c>
      <c r="G61" s="74" t="s">
        <v>201</v>
      </c>
      <c r="L61" s="118"/>
      <c r="M61" s="118"/>
      <c r="N61" s="118"/>
    </row>
    <row r="62" spans="1:17" ht="27">
      <c r="B62" s="120" t="s">
        <v>202</v>
      </c>
      <c r="C62" s="123">
        <f>G8+SUM(G26:G29)*20%</f>
        <v>20.400285714285715</v>
      </c>
      <c r="D62" s="123">
        <f>G9+G10+G11+SUM(G26:G29)*15%</f>
        <v>29.789053571428571</v>
      </c>
      <c r="E62" s="123">
        <f>SUM(G12:G21)+SUM(G26:G29)*35%</f>
        <v>133.64505357142855</v>
      </c>
      <c r="F62" s="123">
        <f>G22+G23+SUM(G26:G29)*20%</f>
        <v>36.627785714285707</v>
      </c>
      <c r="G62" s="123">
        <f>G24+SUM(G26:G29)*10%</f>
        <v>11.359249999999999</v>
      </c>
      <c r="L62" s="118"/>
      <c r="M62" s="118"/>
      <c r="N62" s="118"/>
    </row>
    <row r="63" spans="1:17" ht="27.75" customHeight="1">
      <c r="C63" s="131" t="s">
        <v>205</v>
      </c>
      <c r="D63" s="132"/>
      <c r="E63" s="132"/>
      <c r="F63" s="132"/>
      <c r="G63" s="133"/>
      <c r="L63" s="119"/>
      <c r="M63" s="119"/>
      <c r="N63" s="119"/>
    </row>
    <row r="64" spans="1:17" ht="25.5" customHeight="1">
      <c r="C64" s="122">
        <f>C62/$G32</f>
        <v>8.8000000000000009E-2</v>
      </c>
      <c r="D64" s="122">
        <f t="shared" ref="D64:G64" si="12">D62/$G32</f>
        <v>0.1285</v>
      </c>
      <c r="E64" s="122">
        <f t="shared" si="12"/>
        <v>0.5764999999999999</v>
      </c>
      <c r="F64" s="122">
        <f t="shared" si="12"/>
        <v>0.15799999999999997</v>
      </c>
      <c r="G64" s="122">
        <f t="shared" si="12"/>
        <v>4.9000000000000002E-2</v>
      </c>
      <c r="L64" s="119"/>
      <c r="M64" s="119"/>
      <c r="N64" s="119"/>
    </row>
    <row r="65" spans="1:16" ht="18.75">
      <c r="L65" s="118"/>
      <c r="M65" s="118"/>
      <c r="N65" s="118"/>
    </row>
    <row r="66" spans="1:16" ht="18.75">
      <c r="L66" s="118"/>
      <c r="M66" s="118"/>
      <c r="N66" s="118"/>
    </row>
    <row r="67" spans="1:16" ht="18.75">
      <c r="L67" s="64"/>
      <c r="M67" s="64"/>
      <c r="N67" s="64"/>
    </row>
    <row r="68" spans="1:16" ht="31.5" customHeight="1">
      <c r="A68" s="134" t="s">
        <v>207</v>
      </c>
      <c r="B68" s="134"/>
      <c r="C68" s="134"/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34"/>
      <c r="O68" s="134"/>
      <c r="P68" s="134"/>
    </row>
    <row r="69" spans="1:16" ht="35.1" customHeight="1" thickBot="1">
      <c r="B69" s="159" t="s">
        <v>176</v>
      </c>
      <c r="C69" s="159"/>
      <c r="D69" s="159"/>
      <c r="E69" s="159"/>
      <c r="F69" s="159"/>
    </row>
    <row r="70" spans="1:16" ht="27">
      <c r="B70" s="74" t="s">
        <v>43</v>
      </c>
      <c r="C70" s="65" t="s">
        <v>44</v>
      </c>
      <c r="D70" s="65" t="s">
        <v>45</v>
      </c>
      <c r="E70" s="65" t="s">
        <v>46</v>
      </c>
    </row>
    <row r="71" spans="1:16">
      <c r="B71" s="68" t="s">
        <v>47</v>
      </c>
      <c r="C71" s="75">
        <f>G31</f>
        <v>11.775697865353038</v>
      </c>
      <c r="D71" s="174">
        <v>2</v>
      </c>
      <c r="E71" s="75">
        <f>C71*D71</f>
        <v>23.551395730706076</v>
      </c>
    </row>
    <row r="72" spans="1:16">
      <c r="B72" s="68" t="s">
        <v>48</v>
      </c>
      <c r="C72" s="75">
        <f>C73-C71</f>
        <v>1.6919540229885026</v>
      </c>
      <c r="D72" s="174"/>
      <c r="E72" s="75">
        <f>C72*D71</f>
        <v>3.3839080459770052</v>
      </c>
    </row>
    <row r="73" spans="1:16" ht="14.25" thickBot="1">
      <c r="B73" s="69" t="s">
        <v>49</v>
      </c>
      <c r="C73" s="76">
        <f>E31</f>
        <v>13.467651888341541</v>
      </c>
      <c r="D73" s="175"/>
      <c r="E73" s="76">
        <f>C73*D71</f>
        <v>26.935303776683082</v>
      </c>
    </row>
  </sheetData>
  <mergeCells count="83">
    <mergeCell ref="B60:G60"/>
    <mergeCell ref="A59:G59"/>
    <mergeCell ref="A58:P58"/>
    <mergeCell ref="B28:D28"/>
    <mergeCell ref="I27:K27"/>
    <mergeCell ref="I28:K28"/>
    <mergeCell ref="B29:D29"/>
    <mergeCell ref="I29:K29"/>
    <mergeCell ref="B39:B40"/>
    <mergeCell ref="G39:G40"/>
    <mergeCell ref="H39:H40"/>
    <mergeCell ref="L39:L40"/>
    <mergeCell ref="M39:M40"/>
    <mergeCell ref="L6:L8"/>
    <mergeCell ref="L42:L49"/>
    <mergeCell ref="M42:M49"/>
    <mergeCell ref="B36:C37"/>
    <mergeCell ref="I22:K23"/>
    <mergeCell ref="I12:K19"/>
    <mergeCell ref="B6:B7"/>
    <mergeCell ref="B8:B24"/>
    <mergeCell ref="B42:B49"/>
    <mergeCell ref="I31:K31"/>
    <mergeCell ref="I21:K21"/>
    <mergeCell ref="I24:K24"/>
    <mergeCell ref="I25:K25"/>
    <mergeCell ref="I10:K10"/>
    <mergeCell ref="C11:D11"/>
    <mergeCell ref="B30:D30"/>
    <mergeCell ref="C21:D21"/>
    <mergeCell ref="D71:D73"/>
    <mergeCell ref="F12:F19"/>
    <mergeCell ref="F22:F23"/>
    <mergeCell ref="G42:G49"/>
    <mergeCell ref="C24:D24"/>
    <mergeCell ref="B25:D25"/>
    <mergeCell ref="C22:C23"/>
    <mergeCell ref="B54:C54"/>
    <mergeCell ref="B55:C55"/>
    <mergeCell ref="B31:D31"/>
    <mergeCell ref="A35:P35"/>
    <mergeCell ref="D36:H36"/>
    <mergeCell ref="I36:M36"/>
    <mergeCell ref="B26:D26"/>
    <mergeCell ref="I26:K26"/>
    <mergeCell ref="H22:H23"/>
    <mergeCell ref="H42:H49"/>
    <mergeCell ref="B56:C56"/>
    <mergeCell ref="A68:P68"/>
    <mergeCell ref="B69:F69"/>
    <mergeCell ref="B38:C38"/>
    <mergeCell ref="B41:C41"/>
    <mergeCell ref="B50:C50"/>
    <mergeCell ref="B51:C51"/>
    <mergeCell ref="B52:B53"/>
    <mergeCell ref="B32:D32"/>
    <mergeCell ref="I32:K32"/>
    <mergeCell ref="B33:D33"/>
    <mergeCell ref="I33:K33"/>
    <mergeCell ref="B27:D27"/>
    <mergeCell ref="I30:K30"/>
    <mergeCell ref="C12:C19"/>
    <mergeCell ref="H12:H19"/>
    <mergeCell ref="C9:C10"/>
    <mergeCell ref="I9:K9"/>
    <mergeCell ref="F9:F10"/>
    <mergeCell ref="H9:H10"/>
    <mergeCell ref="C63:G63"/>
    <mergeCell ref="A3:P3"/>
    <mergeCell ref="B4:D4"/>
    <mergeCell ref="F4:G4"/>
    <mergeCell ref="I4:J4"/>
    <mergeCell ref="B5:D5"/>
    <mergeCell ref="I5:K5"/>
    <mergeCell ref="I11:K11"/>
    <mergeCell ref="C20:D20"/>
    <mergeCell ref="I20:K20"/>
    <mergeCell ref="C6:D6"/>
    <mergeCell ref="I6:K6"/>
    <mergeCell ref="C7:D7"/>
    <mergeCell ref="I7:K7"/>
    <mergeCell ref="C8:D8"/>
    <mergeCell ref="I8:K8"/>
  </mergeCells>
  <phoneticPr fontId="20" type="noConversion"/>
  <pageMargins left="0.69930555555555596" right="0.69930555555555596" top="0.75" bottom="0.75" header="0.3" footer="0.3"/>
  <pageSetup paperSize="9" orientation="portrait" r:id="rId1"/>
  <ignoredErrors>
    <ignoredError sqref="F32" formula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"/>
  <sheetViews>
    <sheetView workbookViewId="0">
      <selection activeCell="L19" sqref="L19"/>
    </sheetView>
  </sheetViews>
  <sheetFormatPr defaultRowHeight="13.5"/>
  <cols>
    <col min="1" max="1" width="9" style="128"/>
    <col min="2" max="2" width="9.5" style="128" customWidth="1"/>
    <col min="3" max="3" width="15.75" style="128" customWidth="1"/>
    <col min="4" max="16384" width="9" style="128"/>
  </cols>
  <sheetData>
    <row r="1" spans="2:13" s="124" customFormat="1" ht="12">
      <c r="B1" s="219" t="s">
        <v>213</v>
      </c>
      <c r="C1" s="219"/>
      <c r="H1" s="125"/>
    </row>
    <row r="2" spans="2:13" s="124" customFormat="1" ht="12">
      <c r="B2" s="220" t="s">
        <v>214</v>
      </c>
      <c r="C2" s="220"/>
      <c r="D2" s="220"/>
      <c r="E2" s="220"/>
      <c r="F2" s="220"/>
      <c r="G2" s="220"/>
      <c r="H2" s="126"/>
    </row>
    <row r="3" spans="2:13">
      <c r="B3" s="127" t="s">
        <v>215</v>
      </c>
      <c r="C3" s="127" t="s">
        <v>216</v>
      </c>
      <c r="D3" s="221" t="s">
        <v>217</v>
      </c>
      <c r="E3" s="222"/>
      <c r="F3" s="222"/>
      <c r="G3" s="222"/>
      <c r="H3" s="222"/>
      <c r="I3" s="222"/>
      <c r="J3" s="222"/>
      <c r="K3" s="222"/>
      <c r="L3" s="223"/>
    </row>
    <row r="4" spans="2:13">
      <c r="B4" s="129" t="s">
        <v>218</v>
      </c>
      <c r="C4" s="130">
        <v>1.6</v>
      </c>
      <c r="D4" s="216" t="s">
        <v>219</v>
      </c>
      <c r="E4" s="217"/>
      <c r="F4" s="217"/>
      <c r="G4" s="217"/>
      <c r="H4" s="217"/>
      <c r="I4" s="217"/>
      <c r="J4" s="217"/>
      <c r="K4" s="217"/>
      <c r="L4" s="217"/>
      <c r="M4" s="218"/>
    </row>
    <row r="5" spans="2:13">
      <c r="B5" s="129" t="s">
        <v>220</v>
      </c>
      <c r="C5" s="130">
        <v>1.25</v>
      </c>
      <c r="D5" s="216" t="s">
        <v>221</v>
      </c>
      <c r="E5" s="217"/>
      <c r="F5" s="217"/>
      <c r="G5" s="217"/>
      <c r="H5" s="217"/>
      <c r="I5" s="217"/>
      <c r="J5" s="217"/>
      <c r="K5" s="217"/>
      <c r="L5" s="217"/>
      <c r="M5" s="218"/>
    </row>
    <row r="6" spans="2:13">
      <c r="B6" s="129" t="s">
        <v>222</v>
      </c>
      <c r="C6" s="130">
        <v>1</v>
      </c>
      <c r="D6" s="216" t="s">
        <v>223</v>
      </c>
      <c r="E6" s="217"/>
      <c r="F6" s="217"/>
      <c r="G6" s="217"/>
      <c r="H6" s="217"/>
      <c r="I6" s="217"/>
      <c r="J6" s="217"/>
      <c r="K6" s="217"/>
      <c r="L6" s="217"/>
      <c r="M6" s="218"/>
    </row>
    <row r="7" spans="2:13">
      <c r="B7" s="129" t="s">
        <v>224</v>
      </c>
      <c r="C7" s="130">
        <v>0.8</v>
      </c>
      <c r="D7" s="216" t="s">
        <v>225</v>
      </c>
      <c r="E7" s="217"/>
      <c r="F7" s="217"/>
      <c r="G7" s="217"/>
      <c r="H7" s="217"/>
      <c r="I7" s="217"/>
      <c r="J7" s="217"/>
      <c r="K7" s="217"/>
      <c r="L7" s="217"/>
      <c r="M7" s="218"/>
    </row>
    <row r="8" spans="2:13">
      <c r="B8" s="129" t="s">
        <v>226</v>
      </c>
      <c r="C8" s="130">
        <v>0.7</v>
      </c>
      <c r="D8" s="216" t="s">
        <v>227</v>
      </c>
      <c r="E8" s="217"/>
      <c r="F8" s="217"/>
      <c r="G8" s="217"/>
      <c r="H8" s="217"/>
      <c r="I8" s="217"/>
      <c r="J8" s="217"/>
      <c r="K8" s="217"/>
      <c r="L8" s="217"/>
      <c r="M8" s="218"/>
    </row>
    <row r="9" spans="2:13">
      <c r="B9" s="129" t="s">
        <v>228</v>
      </c>
      <c r="C9" s="130">
        <v>0.5</v>
      </c>
      <c r="D9" s="216" t="s">
        <v>229</v>
      </c>
      <c r="E9" s="217"/>
      <c r="F9" s="217"/>
      <c r="G9" s="217"/>
      <c r="H9" s="217"/>
      <c r="I9" s="217"/>
      <c r="J9" s="217"/>
      <c r="K9" s="217"/>
      <c r="L9" s="217"/>
      <c r="M9" s="218"/>
    </row>
  </sheetData>
  <mergeCells count="9">
    <mergeCell ref="D8:M8"/>
    <mergeCell ref="D9:M9"/>
    <mergeCell ref="B1:C1"/>
    <mergeCell ref="B2:G2"/>
    <mergeCell ref="D3:L3"/>
    <mergeCell ref="D4:M4"/>
    <mergeCell ref="D5:M5"/>
    <mergeCell ref="D6:M6"/>
    <mergeCell ref="D7:M7"/>
  </mergeCells>
  <phoneticPr fontId="2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showGridLines="0" workbookViewId="0">
      <selection activeCell="E25" sqref="E25"/>
    </sheetView>
  </sheetViews>
  <sheetFormatPr defaultColWidth="7.875" defaultRowHeight="12"/>
  <cols>
    <col min="1" max="1" width="7.875" style="9"/>
    <col min="2" max="2" width="14.25" style="9" customWidth="1"/>
    <col min="3" max="3" width="16.5" style="9" customWidth="1"/>
    <col min="4" max="4" width="26" style="9" customWidth="1"/>
    <col min="5" max="5" width="30.375" style="9" customWidth="1"/>
    <col min="6" max="16384" width="7.875" style="9"/>
  </cols>
  <sheetData>
    <row r="1" spans="1:9" ht="32.25" customHeight="1">
      <c r="A1" s="224" t="s">
        <v>132</v>
      </c>
      <c r="B1" s="224"/>
      <c r="C1" s="225"/>
      <c r="D1" s="10" t="s">
        <v>133</v>
      </c>
      <c r="E1" s="11">
        <f>0.6+0.01*SUM(E3:E15)</f>
        <v>0.65999999999999992</v>
      </c>
    </row>
    <row r="2" spans="1:9" ht="27" customHeight="1">
      <c r="A2" s="10" t="s">
        <v>134</v>
      </c>
      <c r="B2" s="10" t="s">
        <v>135</v>
      </c>
      <c r="C2" s="10" t="s">
        <v>136</v>
      </c>
      <c r="D2" s="10" t="s">
        <v>137</v>
      </c>
      <c r="E2" s="10" t="s">
        <v>138</v>
      </c>
    </row>
    <row r="3" spans="1:9" ht="18" customHeight="1">
      <c r="A3" s="12">
        <v>1</v>
      </c>
      <c r="B3" s="12" t="s">
        <v>139</v>
      </c>
      <c r="C3" s="12" t="s">
        <v>140</v>
      </c>
      <c r="D3" s="13" t="s">
        <v>141</v>
      </c>
      <c r="E3" s="14"/>
    </row>
    <row r="4" spans="1:9" ht="18" customHeight="1">
      <c r="A4" s="12">
        <v>2</v>
      </c>
      <c r="B4" s="12" t="s">
        <v>142</v>
      </c>
      <c r="C4" s="12" t="s">
        <v>140</v>
      </c>
      <c r="D4" s="13" t="s">
        <v>143</v>
      </c>
      <c r="E4" s="14">
        <v>3</v>
      </c>
    </row>
    <row r="5" spans="1:9" ht="18" customHeight="1">
      <c r="A5" s="12">
        <v>3</v>
      </c>
      <c r="B5" s="12" t="s">
        <v>144</v>
      </c>
      <c r="C5" s="12" t="s">
        <v>140</v>
      </c>
      <c r="D5" s="13" t="s">
        <v>145</v>
      </c>
      <c r="E5" s="14"/>
    </row>
    <row r="6" spans="1:9" ht="18" customHeight="1">
      <c r="A6" s="12">
        <v>4</v>
      </c>
      <c r="B6" s="12" t="s">
        <v>146</v>
      </c>
      <c r="C6" s="12" t="s">
        <v>140</v>
      </c>
      <c r="D6" s="13" t="s">
        <v>147</v>
      </c>
      <c r="E6" s="14"/>
    </row>
    <row r="7" spans="1:9" ht="18" customHeight="1">
      <c r="A7" s="12">
        <v>5</v>
      </c>
      <c r="B7" s="12" t="s">
        <v>148</v>
      </c>
      <c r="C7" s="12" t="s">
        <v>140</v>
      </c>
      <c r="D7" s="13" t="s">
        <v>149</v>
      </c>
      <c r="E7" s="14"/>
    </row>
    <row r="8" spans="1:9" ht="18" customHeight="1">
      <c r="A8" s="12">
        <v>6</v>
      </c>
      <c r="B8" s="12" t="s">
        <v>150</v>
      </c>
      <c r="C8" s="12" t="s">
        <v>140</v>
      </c>
      <c r="D8" s="13" t="s">
        <v>151</v>
      </c>
      <c r="E8" s="14">
        <v>3</v>
      </c>
      <c r="H8" s="15"/>
      <c r="I8" s="15"/>
    </row>
    <row r="9" spans="1:9" ht="18" customHeight="1">
      <c r="A9" s="12">
        <v>7</v>
      </c>
      <c r="B9" s="12" t="s">
        <v>152</v>
      </c>
      <c r="C9" s="12" t="s">
        <v>140</v>
      </c>
      <c r="D9" s="13" t="s">
        <v>153</v>
      </c>
      <c r="E9" s="14"/>
      <c r="H9" s="15"/>
      <c r="I9" s="15"/>
    </row>
    <row r="10" spans="1:9" ht="18" customHeight="1">
      <c r="A10" s="12">
        <v>8</v>
      </c>
      <c r="B10" s="12" t="s">
        <v>154</v>
      </c>
      <c r="C10" s="12" t="s">
        <v>140</v>
      </c>
      <c r="D10" s="13" t="s">
        <v>155</v>
      </c>
      <c r="E10" s="14"/>
      <c r="H10" s="15"/>
      <c r="I10" s="15"/>
    </row>
    <row r="11" spans="1:9" ht="18" customHeight="1">
      <c r="A11" s="12">
        <v>9</v>
      </c>
      <c r="B11" s="12" t="s">
        <v>156</v>
      </c>
      <c r="C11" s="12" t="s">
        <v>140</v>
      </c>
      <c r="D11" s="13" t="s">
        <v>157</v>
      </c>
      <c r="E11" s="14"/>
      <c r="H11" s="16"/>
      <c r="I11" s="15"/>
    </row>
    <row r="12" spans="1:9" ht="18" customHeight="1">
      <c r="A12" s="12">
        <v>10</v>
      </c>
      <c r="B12" s="12" t="s">
        <v>158</v>
      </c>
      <c r="C12" s="12" t="s">
        <v>140</v>
      </c>
      <c r="D12" s="13" t="s">
        <v>159</v>
      </c>
      <c r="E12" s="14"/>
      <c r="H12" s="15"/>
      <c r="I12" s="15"/>
    </row>
    <row r="13" spans="1:9" ht="18" customHeight="1">
      <c r="A13" s="12">
        <v>11</v>
      </c>
      <c r="B13" s="12" t="s">
        <v>160</v>
      </c>
      <c r="C13" s="12" t="s">
        <v>140</v>
      </c>
      <c r="D13" s="13" t="s">
        <v>161</v>
      </c>
      <c r="E13" s="14"/>
      <c r="H13" s="15"/>
      <c r="I13" s="15"/>
    </row>
    <row r="14" spans="1:9" ht="18" customHeight="1">
      <c r="A14" s="12">
        <v>12</v>
      </c>
      <c r="B14" s="12" t="s">
        <v>162</v>
      </c>
      <c r="C14" s="12" t="s">
        <v>140</v>
      </c>
      <c r="D14" s="13" t="s">
        <v>163</v>
      </c>
      <c r="E14" s="14"/>
      <c r="H14" s="15"/>
      <c r="I14" s="15"/>
    </row>
    <row r="15" spans="1:9" ht="18" customHeight="1">
      <c r="A15" s="12">
        <v>13</v>
      </c>
      <c r="B15" s="12" t="s">
        <v>164</v>
      </c>
      <c r="C15" s="12" t="s">
        <v>140</v>
      </c>
      <c r="D15" s="13" t="s">
        <v>165</v>
      </c>
      <c r="E15" s="14"/>
    </row>
    <row r="18" spans="1:5">
      <c r="A18" s="226" t="s">
        <v>166</v>
      </c>
      <c r="B18" s="227"/>
      <c r="C18" s="227"/>
      <c r="D18" s="227"/>
      <c r="E18" s="228"/>
    </row>
    <row r="19" spans="1:5">
      <c r="A19" s="229"/>
      <c r="B19" s="230"/>
      <c r="C19" s="230"/>
      <c r="D19" s="230"/>
      <c r="E19" s="231"/>
    </row>
    <row r="20" spans="1:5">
      <c r="A20" s="229"/>
      <c r="B20" s="230"/>
      <c r="C20" s="230"/>
      <c r="D20" s="230"/>
      <c r="E20" s="231"/>
    </row>
    <row r="21" spans="1:5" ht="35.25" customHeight="1">
      <c r="A21" s="232"/>
      <c r="B21" s="233"/>
      <c r="C21" s="233"/>
      <c r="D21" s="233"/>
      <c r="E21" s="234"/>
    </row>
  </sheetData>
  <mergeCells count="2">
    <mergeCell ref="A1:C1"/>
    <mergeCell ref="A18:E21"/>
  </mergeCells>
  <phoneticPr fontId="21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topLeftCell="A10" workbookViewId="0">
      <selection activeCell="C22" sqref="C22"/>
    </sheetView>
  </sheetViews>
  <sheetFormatPr defaultColWidth="8" defaultRowHeight="12"/>
  <cols>
    <col min="1" max="1" width="14.625" style="1" customWidth="1"/>
    <col min="2" max="2" width="9.75" style="1" customWidth="1"/>
    <col min="3" max="3" width="42.625" style="1" customWidth="1"/>
    <col min="4" max="4" width="9.375" style="1" customWidth="1"/>
    <col min="5" max="16384" width="8" style="1"/>
  </cols>
  <sheetData>
    <row r="1" spans="1:4" ht="21" customHeight="1">
      <c r="A1" s="2" t="s">
        <v>167</v>
      </c>
      <c r="B1" s="2" t="s">
        <v>168</v>
      </c>
      <c r="C1" s="2" t="s">
        <v>8</v>
      </c>
    </row>
    <row r="2" spans="1:4" ht="15.95" customHeight="1">
      <c r="A2" s="235">
        <v>43099</v>
      </c>
      <c r="B2" s="236" t="s">
        <v>208</v>
      </c>
      <c r="C2" s="4"/>
      <c r="D2" s="5"/>
    </row>
    <row r="3" spans="1:4" ht="15.95" customHeight="1">
      <c r="A3" s="235">
        <v>43100</v>
      </c>
      <c r="B3" s="236" t="s">
        <v>208</v>
      </c>
      <c r="C3" s="4"/>
      <c r="D3" s="5"/>
    </row>
    <row r="4" spans="1:4" ht="15.95" customHeight="1">
      <c r="A4" s="235">
        <v>43101</v>
      </c>
      <c r="B4" s="236" t="s">
        <v>208</v>
      </c>
      <c r="C4" s="4"/>
      <c r="D4" s="5"/>
    </row>
    <row r="5" spans="1:4" ht="15.95" customHeight="1">
      <c r="A5" s="235">
        <v>43144</v>
      </c>
      <c r="B5" s="236" t="s">
        <v>209</v>
      </c>
      <c r="C5" s="6"/>
      <c r="D5" s="5"/>
    </row>
    <row r="6" spans="1:4" ht="15.95" customHeight="1">
      <c r="A6" s="235">
        <v>43145</v>
      </c>
      <c r="B6" s="236" t="s">
        <v>209</v>
      </c>
      <c r="C6" s="7"/>
      <c r="D6" s="5"/>
    </row>
    <row r="7" spans="1:4" ht="15.95" customHeight="1">
      <c r="A7" s="235">
        <v>43146</v>
      </c>
      <c r="B7" s="236" t="s">
        <v>209</v>
      </c>
      <c r="C7" s="7"/>
      <c r="D7" s="5"/>
    </row>
    <row r="8" spans="1:4" ht="15.95" customHeight="1">
      <c r="A8" s="235">
        <v>43147</v>
      </c>
      <c r="B8" s="236" t="s">
        <v>209</v>
      </c>
      <c r="C8" s="7"/>
      <c r="D8" s="5"/>
    </row>
    <row r="9" spans="1:4" ht="15.95" customHeight="1">
      <c r="A9" s="235">
        <v>43148</v>
      </c>
      <c r="B9" s="236" t="s">
        <v>209</v>
      </c>
      <c r="C9" s="7"/>
      <c r="D9" s="5"/>
    </row>
    <row r="10" spans="1:4" ht="15.95" customHeight="1">
      <c r="A10" s="235">
        <v>43149</v>
      </c>
      <c r="B10" s="236" t="s">
        <v>209</v>
      </c>
      <c r="C10" s="7"/>
      <c r="D10" s="5"/>
    </row>
    <row r="11" spans="1:4" ht="15.95" customHeight="1">
      <c r="A11" s="235">
        <v>43150</v>
      </c>
      <c r="B11" s="236" t="s">
        <v>209</v>
      </c>
      <c r="C11" s="7"/>
      <c r="D11" s="5"/>
    </row>
    <row r="12" spans="1:4" ht="15.95" customHeight="1">
      <c r="A12" s="235">
        <v>43151</v>
      </c>
      <c r="B12" s="236" t="s">
        <v>209</v>
      </c>
      <c r="C12" s="7"/>
      <c r="D12" s="5"/>
    </row>
    <row r="13" spans="1:4" ht="15.95" customHeight="1">
      <c r="A13" s="235">
        <v>43152</v>
      </c>
      <c r="B13" s="236" t="s">
        <v>209</v>
      </c>
      <c r="C13" s="7"/>
      <c r="D13" s="5"/>
    </row>
    <row r="14" spans="1:4" ht="15.95" customHeight="1">
      <c r="A14" s="235">
        <v>43195</v>
      </c>
      <c r="B14" s="236" t="s">
        <v>210</v>
      </c>
      <c r="C14" s="4"/>
      <c r="D14" s="5"/>
    </row>
    <row r="15" spans="1:4" ht="15.95" customHeight="1">
      <c r="A15" s="235">
        <v>43196</v>
      </c>
      <c r="B15" s="236" t="s">
        <v>210</v>
      </c>
      <c r="C15" s="4"/>
      <c r="D15" s="5"/>
    </row>
    <row r="16" spans="1:4" ht="15.95" customHeight="1">
      <c r="A16" s="235">
        <v>43197</v>
      </c>
      <c r="B16" s="236" t="s">
        <v>210</v>
      </c>
      <c r="C16" s="4"/>
      <c r="D16" s="5"/>
    </row>
    <row r="17" spans="1:4" ht="15.95" customHeight="1">
      <c r="A17" s="235">
        <v>43219</v>
      </c>
      <c r="B17" s="236" t="s">
        <v>230</v>
      </c>
      <c r="C17" s="4"/>
      <c r="D17" s="5"/>
    </row>
    <row r="18" spans="1:4" ht="15.95" customHeight="1">
      <c r="A18" s="235">
        <v>43220</v>
      </c>
      <c r="B18" s="236" t="s">
        <v>230</v>
      </c>
      <c r="C18" s="4"/>
      <c r="D18" s="5"/>
    </row>
    <row r="19" spans="1:4" ht="15.95" customHeight="1">
      <c r="A19" s="235">
        <v>43221</v>
      </c>
      <c r="B19" s="236" t="s">
        <v>230</v>
      </c>
      <c r="C19" s="4"/>
      <c r="D19" s="5"/>
    </row>
    <row r="20" spans="1:4" ht="15.95" customHeight="1">
      <c r="A20" s="235">
        <v>43267</v>
      </c>
      <c r="B20" s="236" t="s">
        <v>211</v>
      </c>
      <c r="C20" s="4"/>
      <c r="D20" s="5"/>
    </row>
    <row r="21" spans="1:4" ht="15.95" customHeight="1">
      <c r="A21" s="235">
        <v>43268</v>
      </c>
      <c r="B21" s="236" t="s">
        <v>211</v>
      </c>
      <c r="C21" s="4"/>
      <c r="D21" s="5"/>
    </row>
    <row r="22" spans="1:4" ht="15.95" customHeight="1">
      <c r="A22" s="235">
        <v>43269</v>
      </c>
      <c r="B22" s="236" t="s">
        <v>211</v>
      </c>
      <c r="C22" s="4"/>
      <c r="D22" s="5"/>
    </row>
    <row r="23" spans="1:4" ht="15.95" customHeight="1">
      <c r="A23" s="235">
        <v>43365</v>
      </c>
      <c r="B23" s="236" t="s">
        <v>231</v>
      </c>
      <c r="C23" s="4"/>
      <c r="D23" s="5"/>
    </row>
    <row r="24" spans="1:4" ht="15.95" customHeight="1">
      <c r="A24" s="235">
        <v>43366</v>
      </c>
      <c r="B24" s="236" t="s">
        <v>231</v>
      </c>
      <c r="C24" s="4"/>
      <c r="D24" s="5"/>
    </row>
    <row r="25" spans="1:4" ht="15.95" customHeight="1">
      <c r="A25" s="235">
        <v>43367</v>
      </c>
      <c r="B25" s="236" t="s">
        <v>231</v>
      </c>
      <c r="C25" s="4"/>
      <c r="D25" s="5"/>
    </row>
    <row r="26" spans="1:4" ht="15.95" customHeight="1">
      <c r="A26" s="235">
        <v>43374</v>
      </c>
      <c r="B26" s="236" t="s">
        <v>212</v>
      </c>
      <c r="C26" s="4"/>
      <c r="D26" s="5"/>
    </row>
    <row r="27" spans="1:4" ht="15.95" customHeight="1">
      <c r="A27" s="235">
        <v>43375</v>
      </c>
      <c r="B27" s="236" t="s">
        <v>212</v>
      </c>
      <c r="C27" s="4"/>
      <c r="D27" s="5"/>
    </row>
    <row r="28" spans="1:4" ht="15.95" customHeight="1">
      <c r="A28" s="235">
        <v>43376</v>
      </c>
      <c r="B28" s="236" t="s">
        <v>212</v>
      </c>
      <c r="C28" s="4"/>
      <c r="D28" s="5"/>
    </row>
    <row r="29" spans="1:4" ht="15.95" customHeight="1">
      <c r="A29" s="235">
        <v>43377</v>
      </c>
      <c r="B29" s="236" t="s">
        <v>212</v>
      </c>
      <c r="C29" s="4"/>
      <c r="D29" s="5"/>
    </row>
    <row r="30" spans="1:4" ht="15.95" customHeight="1">
      <c r="A30" s="235">
        <v>43378</v>
      </c>
      <c r="B30" s="236" t="s">
        <v>212</v>
      </c>
      <c r="C30" s="4"/>
      <c r="D30" s="5"/>
    </row>
    <row r="31" spans="1:4" ht="15.95" customHeight="1">
      <c r="A31" s="235">
        <v>43379</v>
      </c>
      <c r="B31" s="236" t="s">
        <v>212</v>
      </c>
      <c r="C31" s="4"/>
      <c r="D31" s="5"/>
    </row>
    <row r="32" spans="1:4">
      <c r="A32" s="235">
        <v>43380</v>
      </c>
      <c r="B32" s="236" t="s">
        <v>212</v>
      </c>
      <c r="C32" s="8"/>
      <c r="D32" s="5"/>
    </row>
    <row r="33" spans="1:4">
      <c r="A33" s="3"/>
      <c r="B33" s="4"/>
      <c r="C33" s="8"/>
      <c r="D33" s="5"/>
    </row>
  </sheetData>
  <phoneticPr fontId="2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0"/>
  <sheetViews>
    <sheetView workbookViewId="0">
      <pane xSplit="10" ySplit="4" topLeftCell="S5" activePane="bottomRight" state="frozen"/>
      <selection pane="topRight"/>
      <selection pane="bottomLeft"/>
      <selection pane="bottomRight" activeCell="E21" sqref="E21"/>
    </sheetView>
  </sheetViews>
  <sheetFormatPr defaultColWidth="9" defaultRowHeight="13.5"/>
  <cols>
    <col min="1" max="1" width="1.875" style="33" customWidth="1"/>
    <col min="2" max="2" width="5.125" style="33" customWidth="1"/>
    <col min="3" max="3" width="20.5" style="33" customWidth="1"/>
    <col min="4" max="7" width="9.75" style="33" customWidth="1"/>
    <col min="8" max="8" width="11.25" style="33" customWidth="1"/>
    <col min="9" max="9" width="11.875" style="33" customWidth="1"/>
    <col min="10" max="13" width="11.25" style="33" customWidth="1"/>
    <col min="14" max="14" width="9.75" style="33" customWidth="1"/>
    <col min="15" max="20" width="12.75" style="33" customWidth="1"/>
    <col min="21" max="22" width="9.75" style="33" customWidth="1"/>
    <col min="23" max="23" width="11.875" style="33" customWidth="1"/>
    <col min="24" max="24" width="30.375" style="33" customWidth="1"/>
    <col min="25" max="16384" width="9" style="33"/>
  </cols>
  <sheetData>
    <row r="1" spans="2:24" ht="34.5" customHeight="1"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</row>
    <row r="2" spans="2:24" ht="21" customHeight="1"/>
    <row r="3" spans="2:24" s="32" customFormat="1" ht="20.25">
      <c r="B3" s="195" t="s">
        <v>50</v>
      </c>
      <c r="C3" s="195" t="s">
        <v>51</v>
      </c>
      <c r="D3" s="195" t="s">
        <v>52</v>
      </c>
      <c r="E3" s="195" t="s">
        <v>53</v>
      </c>
      <c r="F3" s="195" t="s">
        <v>54</v>
      </c>
      <c r="G3" s="195" t="s">
        <v>55</v>
      </c>
      <c r="H3" s="198" t="s">
        <v>56</v>
      </c>
      <c r="I3" s="199"/>
      <c r="J3" s="200"/>
      <c r="K3" s="198" t="s">
        <v>57</v>
      </c>
      <c r="L3" s="199"/>
      <c r="M3" s="200"/>
      <c r="N3" s="195" t="s">
        <v>58</v>
      </c>
      <c r="O3" s="195" t="s">
        <v>59</v>
      </c>
      <c r="P3" s="195" t="s">
        <v>60</v>
      </c>
      <c r="Q3" s="195" t="s">
        <v>61</v>
      </c>
      <c r="R3" s="195" t="s">
        <v>62</v>
      </c>
      <c r="S3" s="195" t="s">
        <v>63</v>
      </c>
      <c r="T3" s="195" t="s">
        <v>64</v>
      </c>
      <c r="U3" s="195" t="s">
        <v>65</v>
      </c>
      <c r="V3" s="195" t="s">
        <v>66</v>
      </c>
      <c r="W3" s="195" t="s">
        <v>67</v>
      </c>
      <c r="X3" s="195" t="s">
        <v>8</v>
      </c>
    </row>
    <row r="4" spans="2:24" s="32" customFormat="1" ht="20.25" customHeight="1">
      <c r="B4" s="196"/>
      <c r="C4" s="196"/>
      <c r="D4" s="196"/>
      <c r="E4" s="196"/>
      <c r="F4" s="196"/>
      <c r="G4" s="196"/>
      <c r="H4" s="34" t="s">
        <v>68</v>
      </c>
      <c r="I4" s="34" t="s">
        <v>69</v>
      </c>
      <c r="J4" s="34" t="s">
        <v>70</v>
      </c>
      <c r="K4" s="61" t="s">
        <v>68</v>
      </c>
      <c r="L4" s="61" t="s">
        <v>69</v>
      </c>
      <c r="M4" s="61" t="s">
        <v>70</v>
      </c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</row>
    <row r="5" spans="2:24" ht="27" customHeight="1">
      <c r="B5" s="35">
        <v>1</v>
      </c>
      <c r="C5" s="62" t="s">
        <v>175</v>
      </c>
      <c r="D5" s="40"/>
      <c r="E5" s="40" t="s">
        <v>71</v>
      </c>
      <c r="F5" s="40" t="s">
        <v>71</v>
      </c>
      <c r="G5" s="40" t="s">
        <v>104</v>
      </c>
      <c r="H5" s="63">
        <v>4.5</v>
      </c>
      <c r="I5" s="63">
        <v>4</v>
      </c>
      <c r="J5" s="44">
        <v>3.5</v>
      </c>
      <c r="K5" s="44"/>
      <c r="L5" s="44"/>
      <c r="M5" s="44"/>
      <c r="N5" s="45">
        <f t="shared" ref="N5:N7" si="0">MIN(H5:J5)</f>
        <v>3.5</v>
      </c>
      <c r="O5" s="45">
        <f t="shared" ref="O5:O7" si="1">IF(AND(ISBLANK(H5),ISBLANK(I5)*ISBLANK(J5)),,AVERAGE(H5:J5))</f>
        <v>4</v>
      </c>
      <c r="P5" s="45">
        <f t="shared" ref="P5:P7" si="2">MAX(H5:J5)</f>
        <v>4.5</v>
      </c>
      <c r="Q5" s="46">
        <f t="shared" ref="Q5:Q7" si="3">IF(AND(ISNUMBER(O5),O5&lt;&gt;0),MAX(O5-N5,P5-O5)/O5,"")</f>
        <v>0.125</v>
      </c>
      <c r="R5" s="47" t="str">
        <f>IF(Q5&gt;基础信息!$F$3,"N","Y")</f>
        <v>Y</v>
      </c>
      <c r="S5" s="47">
        <f>VLOOKUP(E5&amp;F5,基础信息!$D$11:$E$20,2,0)</f>
        <v>1</v>
      </c>
      <c r="T5" s="45">
        <f t="shared" ref="T5:T7" si="4">O5*S5</f>
        <v>4</v>
      </c>
      <c r="U5" s="51">
        <v>0.9</v>
      </c>
      <c r="V5" s="45">
        <f>IF(G5="是",T5*U5,0)</f>
        <v>3.6</v>
      </c>
      <c r="W5" s="45">
        <f t="shared" ref="W5:W7" si="5">T5-V5</f>
        <v>0.39999999999999991</v>
      </c>
      <c r="X5" s="49"/>
    </row>
    <row r="6" spans="2:24" ht="27" customHeight="1">
      <c r="B6" s="35">
        <v>2</v>
      </c>
      <c r="C6" s="62" t="s">
        <v>73</v>
      </c>
      <c r="D6" s="40"/>
      <c r="E6" s="40" t="s">
        <v>71</v>
      </c>
      <c r="F6" s="40" t="s">
        <v>71</v>
      </c>
      <c r="G6" s="40" t="s">
        <v>104</v>
      </c>
      <c r="H6" s="63">
        <v>5.5</v>
      </c>
      <c r="I6" s="63">
        <v>5</v>
      </c>
      <c r="J6" s="44">
        <v>4.5</v>
      </c>
      <c r="K6" s="44"/>
      <c r="L6" s="44"/>
      <c r="M6" s="44"/>
      <c r="N6" s="45">
        <f t="shared" si="0"/>
        <v>4.5</v>
      </c>
      <c r="O6" s="45">
        <f t="shared" si="1"/>
        <v>5</v>
      </c>
      <c r="P6" s="45">
        <f t="shared" si="2"/>
        <v>5.5</v>
      </c>
      <c r="Q6" s="46">
        <f t="shared" si="3"/>
        <v>0.1</v>
      </c>
      <c r="R6" s="47" t="str">
        <f>IF(Q6&gt;基础信息!$F$3,"N","Y")</f>
        <v>Y</v>
      </c>
      <c r="S6" s="47">
        <f>VLOOKUP(E6&amp;F6,基础信息!$D$11:$E$20,2,0)</f>
        <v>1</v>
      </c>
      <c r="T6" s="45">
        <f t="shared" si="4"/>
        <v>5</v>
      </c>
      <c r="U6" s="51">
        <v>1</v>
      </c>
      <c r="V6" s="45">
        <f t="shared" ref="V6:V7" si="6">IF(G6="是",T6*U6,0)</f>
        <v>5</v>
      </c>
      <c r="W6" s="45">
        <f t="shared" si="5"/>
        <v>0</v>
      </c>
      <c r="X6" s="49"/>
    </row>
    <row r="7" spans="2:24" ht="27" customHeight="1">
      <c r="B7" s="35">
        <v>3</v>
      </c>
      <c r="C7" s="62" t="s">
        <v>74</v>
      </c>
      <c r="D7" s="40"/>
      <c r="E7" s="40" t="s">
        <v>71</v>
      </c>
      <c r="F7" s="40" t="s">
        <v>71</v>
      </c>
      <c r="G7" s="40" t="s">
        <v>104</v>
      </c>
      <c r="H7" s="63">
        <v>4.5</v>
      </c>
      <c r="I7" s="63">
        <v>4</v>
      </c>
      <c r="J7" s="44">
        <v>3.5</v>
      </c>
      <c r="K7" s="44"/>
      <c r="L7" s="44"/>
      <c r="M7" s="44"/>
      <c r="N7" s="45">
        <f t="shared" si="0"/>
        <v>3.5</v>
      </c>
      <c r="O7" s="45">
        <f t="shared" si="1"/>
        <v>4</v>
      </c>
      <c r="P7" s="45">
        <f t="shared" si="2"/>
        <v>4.5</v>
      </c>
      <c r="Q7" s="46">
        <f t="shared" si="3"/>
        <v>0.125</v>
      </c>
      <c r="R7" s="47" t="str">
        <f>IF(Q7&gt;基础信息!$F$3,"N","Y")</f>
        <v>Y</v>
      </c>
      <c r="S7" s="47">
        <f>VLOOKUP(E7&amp;F7,基础信息!$D$11:$E$20,2,0)</f>
        <v>1</v>
      </c>
      <c r="T7" s="45">
        <f t="shared" si="4"/>
        <v>4</v>
      </c>
      <c r="U7" s="51">
        <v>1</v>
      </c>
      <c r="V7" s="45">
        <f t="shared" si="6"/>
        <v>4</v>
      </c>
      <c r="W7" s="45">
        <f t="shared" si="5"/>
        <v>0</v>
      </c>
      <c r="X7" s="49"/>
    </row>
    <row r="8" spans="2:24" ht="27" customHeight="1">
      <c r="B8" s="163" t="s">
        <v>75</v>
      </c>
      <c r="C8" s="163"/>
      <c r="D8" s="117" t="s">
        <v>191</v>
      </c>
      <c r="E8" s="113">
        <f>COUNTIF(E5:E7,"高")</f>
        <v>0</v>
      </c>
      <c r="F8" s="113">
        <f t="shared" ref="F8" si="7">COUNTIF(F5:F7,"高")</f>
        <v>0</v>
      </c>
      <c r="G8" s="113">
        <f>COUNTIF(G5:G7,"是")</f>
        <v>3</v>
      </c>
      <c r="H8" s="201">
        <f t="shared" ref="H8:P8" si="8">SUM(H5:H7)</f>
        <v>14.5</v>
      </c>
      <c r="I8" s="201">
        <f t="shared" si="8"/>
        <v>13</v>
      </c>
      <c r="J8" s="201">
        <f t="shared" si="8"/>
        <v>11.5</v>
      </c>
      <c r="K8" s="201">
        <f t="shared" si="8"/>
        <v>0</v>
      </c>
      <c r="L8" s="201">
        <f t="shared" si="8"/>
        <v>0</v>
      </c>
      <c r="M8" s="201">
        <f t="shared" si="8"/>
        <v>0</v>
      </c>
      <c r="N8" s="201">
        <f t="shared" si="8"/>
        <v>11.5</v>
      </c>
      <c r="O8" s="201">
        <f t="shared" si="8"/>
        <v>13</v>
      </c>
      <c r="P8" s="201">
        <f t="shared" si="8"/>
        <v>14.5</v>
      </c>
      <c r="Q8" s="204"/>
      <c r="R8" s="113">
        <f>COUNTIF(R5:R7,"Y")</f>
        <v>3</v>
      </c>
      <c r="S8" s="47"/>
      <c r="T8" s="201">
        <f>SUM(T5:T7)</f>
        <v>13</v>
      </c>
      <c r="U8" s="204"/>
      <c r="V8" s="201">
        <f>SUM(V5:V7)</f>
        <v>12.6</v>
      </c>
      <c r="W8" s="201">
        <f>SUM(W5:W7)</f>
        <v>0.39999999999999991</v>
      </c>
      <c r="X8" s="112"/>
    </row>
    <row r="9" spans="2:24" ht="27" customHeight="1">
      <c r="B9" s="163"/>
      <c r="C9" s="163"/>
      <c r="D9" s="117" t="s">
        <v>192</v>
      </c>
      <c r="E9" s="113">
        <f>COUNTIF(E5:E7,"中")</f>
        <v>3</v>
      </c>
      <c r="F9" s="113">
        <f t="shared" ref="F9" si="9">COUNTIF(F5:F7,"中")</f>
        <v>3</v>
      </c>
      <c r="G9" s="113">
        <f>COUNTIF(G5:G7,"否")</f>
        <v>0</v>
      </c>
      <c r="H9" s="202"/>
      <c r="I9" s="202"/>
      <c r="J9" s="202"/>
      <c r="K9" s="202"/>
      <c r="L9" s="202"/>
      <c r="M9" s="202"/>
      <c r="N9" s="202"/>
      <c r="O9" s="202"/>
      <c r="P9" s="202"/>
      <c r="Q9" s="205"/>
      <c r="R9" s="113">
        <f>COUNTIF(R5:R7,"N")</f>
        <v>0</v>
      </c>
      <c r="S9" s="47"/>
      <c r="T9" s="202"/>
      <c r="U9" s="205"/>
      <c r="V9" s="202"/>
      <c r="W9" s="202"/>
      <c r="X9" s="112"/>
    </row>
    <row r="10" spans="2:24" ht="27" customHeight="1">
      <c r="B10" s="163"/>
      <c r="C10" s="163"/>
      <c r="D10" s="117" t="s">
        <v>193</v>
      </c>
      <c r="E10" s="113">
        <f>COUNTIF(E5:E7,"低")</f>
        <v>0</v>
      </c>
      <c r="F10" s="113">
        <f t="shared" ref="F10" si="10">COUNTIF(F5:F7,"低")</f>
        <v>0</v>
      </c>
      <c r="G10" s="113"/>
      <c r="H10" s="203"/>
      <c r="I10" s="203"/>
      <c r="J10" s="203"/>
      <c r="K10" s="203"/>
      <c r="L10" s="203"/>
      <c r="M10" s="203"/>
      <c r="N10" s="203"/>
      <c r="O10" s="203"/>
      <c r="P10" s="203"/>
      <c r="Q10" s="206"/>
      <c r="R10" s="42"/>
      <c r="S10" s="42"/>
      <c r="T10" s="203"/>
      <c r="U10" s="206"/>
      <c r="V10" s="203"/>
      <c r="W10" s="203"/>
      <c r="X10" s="35"/>
    </row>
  </sheetData>
  <autoFilter ref="B3:X10"/>
  <mergeCells count="35">
    <mergeCell ref="V8:V10"/>
    <mergeCell ref="W8:W10"/>
    <mergeCell ref="O8:O10"/>
    <mergeCell ref="P8:P10"/>
    <mergeCell ref="Q8:Q10"/>
    <mergeCell ref="T8:T10"/>
    <mergeCell ref="U8:U10"/>
    <mergeCell ref="B8:C10"/>
    <mergeCell ref="H8:H10"/>
    <mergeCell ref="I8:I10"/>
    <mergeCell ref="T3:T4"/>
    <mergeCell ref="U3:U4"/>
    <mergeCell ref="R3:R4"/>
    <mergeCell ref="S3:S4"/>
    <mergeCell ref="J8:J10"/>
    <mergeCell ref="K8:K10"/>
    <mergeCell ref="L8:L10"/>
    <mergeCell ref="M8:M10"/>
    <mergeCell ref="N8:N10"/>
    <mergeCell ref="V3:V4"/>
    <mergeCell ref="W3:W4"/>
    <mergeCell ref="X3:X4"/>
    <mergeCell ref="B1:X1"/>
    <mergeCell ref="H3:J3"/>
    <mergeCell ref="K3:M3"/>
    <mergeCell ref="B3:B4"/>
    <mergeCell ref="C3:C4"/>
    <mergeCell ref="D3:D4"/>
    <mergeCell ref="E3:E4"/>
    <mergeCell ref="F3:F4"/>
    <mergeCell ref="G3:G4"/>
    <mergeCell ref="N3:N4"/>
    <mergeCell ref="O3:O4"/>
    <mergeCell ref="P3:P4"/>
    <mergeCell ref="Q3:Q4"/>
  </mergeCells>
  <phoneticPr fontId="21" type="noConversion"/>
  <dataValidations count="3">
    <dataValidation type="list" allowBlank="1" showInputMessage="1" showErrorMessage="1" sqref="E5:E7">
      <formula1>难易程度</formula1>
    </dataValidation>
    <dataValidation type="list" allowBlank="1" showInputMessage="1" showErrorMessage="1" sqref="F5:F7">
      <formula1>优先级</formula1>
    </dataValidation>
    <dataValidation type="list" allowBlank="1" showInputMessage="1" showErrorMessage="1" sqref="G5:G7">
      <formula1>是否复用</formula1>
    </dataValidation>
  </dataValidations>
  <pageMargins left="0.69930555555555596" right="0.69930555555555596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1"/>
  <sheetViews>
    <sheetView workbookViewId="0">
      <selection activeCell="G10" sqref="G10"/>
    </sheetView>
  </sheetViews>
  <sheetFormatPr defaultColWidth="9" defaultRowHeight="13.5"/>
  <cols>
    <col min="1" max="1" width="1.875" style="33" customWidth="1"/>
    <col min="2" max="2" width="5.125" style="33" customWidth="1"/>
    <col min="3" max="3" width="16.375" style="33" customWidth="1"/>
    <col min="4" max="4" width="19.875" style="33" customWidth="1"/>
    <col min="5" max="7" width="9.75" style="33" customWidth="1"/>
    <col min="8" max="8" width="11.25" style="33" customWidth="1"/>
    <col min="9" max="11" width="11.875" style="33" customWidth="1"/>
    <col min="12" max="12" width="9.75" style="33" customWidth="1"/>
    <col min="13" max="18" width="12.75" style="33" customWidth="1"/>
    <col min="19" max="20" width="9.75" style="33" customWidth="1"/>
    <col min="21" max="21" width="11.875" style="33" customWidth="1"/>
    <col min="22" max="22" width="30.375" style="33" customWidth="1"/>
    <col min="23" max="16384" width="9" style="33"/>
  </cols>
  <sheetData>
    <row r="1" spans="2:23" ht="34.5" customHeight="1">
      <c r="B1" s="197" t="s">
        <v>76</v>
      </c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</row>
    <row r="2" spans="2:23" ht="6" customHeight="1"/>
    <row r="3" spans="2:23" s="32" customFormat="1" ht="20.25" customHeight="1">
      <c r="B3" s="195" t="s">
        <v>50</v>
      </c>
      <c r="C3" s="195" t="s">
        <v>51</v>
      </c>
      <c r="D3" s="195" t="s">
        <v>52</v>
      </c>
      <c r="E3" s="195" t="s">
        <v>53</v>
      </c>
      <c r="F3" s="195" t="s">
        <v>54</v>
      </c>
      <c r="G3" s="195" t="s">
        <v>55</v>
      </c>
      <c r="H3" s="139" t="s">
        <v>77</v>
      </c>
      <c r="I3" s="139"/>
      <c r="J3" s="139"/>
      <c r="K3" s="139"/>
      <c r="L3" s="195" t="s">
        <v>58</v>
      </c>
      <c r="M3" s="195" t="s">
        <v>59</v>
      </c>
      <c r="N3" s="195" t="s">
        <v>60</v>
      </c>
      <c r="O3" s="195" t="s">
        <v>61</v>
      </c>
      <c r="P3" s="195" t="s">
        <v>62</v>
      </c>
      <c r="Q3" s="195" t="s">
        <v>63</v>
      </c>
      <c r="R3" s="195" t="s">
        <v>64</v>
      </c>
      <c r="S3" s="195" t="s">
        <v>65</v>
      </c>
      <c r="T3" s="195" t="s">
        <v>66</v>
      </c>
      <c r="U3" s="195" t="s">
        <v>67</v>
      </c>
      <c r="V3" s="195" t="s">
        <v>8</v>
      </c>
    </row>
    <row r="4" spans="2:23" s="32" customFormat="1" ht="30.75" customHeight="1">
      <c r="B4" s="196"/>
      <c r="C4" s="196"/>
      <c r="D4" s="196"/>
      <c r="E4" s="196"/>
      <c r="F4" s="196"/>
      <c r="G4" s="196"/>
      <c r="H4" s="107" t="s">
        <v>78</v>
      </c>
      <c r="I4" s="107" t="s">
        <v>79</v>
      </c>
      <c r="J4" s="107" t="s">
        <v>80</v>
      </c>
      <c r="K4" s="107" t="s">
        <v>81</v>
      </c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</row>
    <row r="5" spans="2:23" ht="27" customHeight="1">
      <c r="B5" s="109">
        <v>1</v>
      </c>
      <c r="C5" s="56" t="s">
        <v>82</v>
      </c>
      <c r="D5" s="57"/>
      <c r="E5" s="109" t="s">
        <v>97</v>
      </c>
      <c r="F5" s="109" t="s">
        <v>71</v>
      </c>
      <c r="G5" s="109" t="s">
        <v>72</v>
      </c>
      <c r="H5" s="58">
        <v>2.2000000000000002</v>
      </c>
      <c r="I5" s="44">
        <v>2.5</v>
      </c>
      <c r="J5" s="44">
        <v>2</v>
      </c>
      <c r="K5" s="44">
        <v>2</v>
      </c>
      <c r="L5" s="45">
        <f t="shared" ref="L5:L8" si="0">MIN(H5:K5)</f>
        <v>2</v>
      </c>
      <c r="M5" s="45">
        <f>IF(AND(ISBLANK(H5),ISBLANK(I5),ISBLANK(K5),ISBLANK(#REF!)),,AVERAGE(H5:K5))</f>
        <v>2.1749999999999998</v>
      </c>
      <c r="N5" s="45">
        <f t="shared" ref="N5:N8" si="1">MAX(H5:K5)</f>
        <v>2.5</v>
      </c>
      <c r="O5" s="46">
        <f t="shared" ref="O5:O8" si="2">IF(AND(ISNUMBER(M5),M5&lt;&gt;0),MAX(M5-L5,N5-M5)/M5,"")</f>
        <v>0.14942528735632193</v>
      </c>
      <c r="P5" s="47" t="str">
        <f>IF(O5&gt;基础信息!$F$3,"N","Y")</f>
        <v>Y</v>
      </c>
      <c r="Q5" s="111">
        <f>VLOOKUP(E5&amp;F5,基础信息!$D$11:$E$20,2,0)</f>
        <v>1.5</v>
      </c>
      <c r="R5" s="111">
        <f t="shared" ref="R5:R8" si="3">M5*Q5</f>
        <v>3.2624999999999997</v>
      </c>
      <c r="S5" s="51">
        <v>0</v>
      </c>
      <c r="T5" s="111">
        <f t="shared" ref="T5:T8" si="4">IF(G5="是",R5*S5,0)</f>
        <v>0</v>
      </c>
      <c r="U5" s="111">
        <f t="shared" ref="U5:U8" si="5">R5-T5</f>
        <v>3.2624999999999997</v>
      </c>
      <c r="V5" s="110"/>
      <c r="W5" s="52"/>
    </row>
    <row r="6" spans="2:23" ht="26.25" customHeight="1">
      <c r="B6" s="109">
        <v>2</v>
      </c>
      <c r="C6" s="56" t="s">
        <v>83</v>
      </c>
      <c r="D6" s="57"/>
      <c r="E6" s="109" t="s">
        <v>71</v>
      </c>
      <c r="F6" s="109" t="s">
        <v>71</v>
      </c>
      <c r="G6" s="109" t="s">
        <v>72</v>
      </c>
      <c r="H6" s="58">
        <v>2.2000000000000002</v>
      </c>
      <c r="I6" s="44">
        <v>2.5</v>
      </c>
      <c r="J6" s="44">
        <v>2</v>
      </c>
      <c r="K6" s="44">
        <v>2</v>
      </c>
      <c r="L6" s="45">
        <f t="shared" si="0"/>
        <v>2</v>
      </c>
      <c r="M6" s="45">
        <f>IF(AND(ISBLANK(H6),ISBLANK(I6),ISBLANK(K6),ISBLANK(#REF!)),,AVERAGE(H6:K6))</f>
        <v>2.1749999999999998</v>
      </c>
      <c r="N6" s="45">
        <f t="shared" si="1"/>
        <v>2.5</v>
      </c>
      <c r="O6" s="46">
        <f t="shared" si="2"/>
        <v>0.14942528735632193</v>
      </c>
      <c r="P6" s="47" t="str">
        <f>IF(O6&gt;基础信息!$F$3,"N","Y")</f>
        <v>Y</v>
      </c>
      <c r="Q6" s="111">
        <f>VLOOKUP(E6&amp;F6,基础信息!$D$11:$E$20,2,0)</f>
        <v>1</v>
      </c>
      <c r="R6" s="111">
        <f t="shared" si="3"/>
        <v>2.1749999999999998</v>
      </c>
      <c r="S6" s="51">
        <v>0</v>
      </c>
      <c r="T6" s="111">
        <f t="shared" si="4"/>
        <v>0</v>
      </c>
      <c r="U6" s="111">
        <f t="shared" si="5"/>
        <v>2.1749999999999998</v>
      </c>
      <c r="V6" s="110"/>
      <c r="W6" s="52"/>
    </row>
    <row r="7" spans="2:23" ht="26.25" customHeight="1">
      <c r="B7" s="114">
        <v>3</v>
      </c>
      <c r="C7" s="56" t="s">
        <v>83</v>
      </c>
      <c r="D7" s="57"/>
      <c r="E7" s="114" t="s">
        <v>71</v>
      </c>
      <c r="F7" s="114" t="s">
        <v>71</v>
      </c>
      <c r="G7" s="114" t="s">
        <v>72</v>
      </c>
      <c r="H7" s="58">
        <v>2.2000000000000002</v>
      </c>
      <c r="I7" s="44">
        <v>2.5</v>
      </c>
      <c r="J7" s="44">
        <v>2</v>
      </c>
      <c r="K7" s="44">
        <v>2</v>
      </c>
      <c r="L7" s="45">
        <f t="shared" ref="L7" si="6">MIN(H7:K7)</f>
        <v>2</v>
      </c>
      <c r="M7" s="45">
        <f>IF(AND(ISBLANK(H7),ISBLANK(I7),ISBLANK(K7),ISBLANK(#REF!)),,AVERAGE(H7:K7))</f>
        <v>2.1749999999999998</v>
      </c>
      <c r="N7" s="45">
        <f t="shared" ref="N7" si="7">MAX(H7:K7)</f>
        <v>2.5</v>
      </c>
      <c r="O7" s="46">
        <f t="shared" ref="O7" si="8">IF(AND(ISNUMBER(M7),M7&lt;&gt;0),MAX(M7-L7,N7-M7)/M7,"")</f>
        <v>0.14942528735632193</v>
      </c>
      <c r="P7" s="47" t="str">
        <f>IF(O7&gt;基础信息!$F$3,"N","Y")</f>
        <v>Y</v>
      </c>
      <c r="Q7" s="115">
        <f>VLOOKUP(E7&amp;F7,基础信息!$D$11:$E$20,2,0)</f>
        <v>1</v>
      </c>
      <c r="R7" s="115">
        <f t="shared" ref="R7" si="9">M7*Q7</f>
        <v>2.1749999999999998</v>
      </c>
      <c r="S7" s="51">
        <v>0</v>
      </c>
      <c r="T7" s="115">
        <f t="shared" ref="T7" si="10">IF(G7="是",R7*S7,0)</f>
        <v>0</v>
      </c>
      <c r="U7" s="115">
        <f t="shared" ref="U7" si="11">R7-T7</f>
        <v>2.1749999999999998</v>
      </c>
      <c r="V7" s="112"/>
      <c r="W7" s="52"/>
    </row>
    <row r="8" spans="2:23" ht="27" customHeight="1">
      <c r="B8" s="109">
        <v>3</v>
      </c>
      <c r="C8" s="56" t="s">
        <v>84</v>
      </c>
      <c r="D8" s="57"/>
      <c r="E8" s="109" t="s">
        <v>71</v>
      </c>
      <c r="F8" s="109" t="s">
        <v>71</v>
      </c>
      <c r="G8" s="109" t="s">
        <v>72</v>
      </c>
      <c r="H8" s="58">
        <v>3</v>
      </c>
      <c r="I8" s="44">
        <v>3.1</v>
      </c>
      <c r="J8" s="44">
        <v>3</v>
      </c>
      <c r="K8" s="44">
        <v>3.2</v>
      </c>
      <c r="L8" s="45">
        <f t="shared" si="0"/>
        <v>3</v>
      </c>
      <c r="M8" s="45">
        <f>IF(AND(ISBLANK(H8),ISBLANK(I8),ISBLANK(K8),ISBLANK(#REF!)),,AVERAGE(H8:K8))</f>
        <v>3.0750000000000002</v>
      </c>
      <c r="N8" s="45">
        <f t="shared" si="1"/>
        <v>3.2</v>
      </c>
      <c r="O8" s="46">
        <f t="shared" si="2"/>
        <v>4.065040650406504E-2</v>
      </c>
      <c r="P8" s="47" t="str">
        <f>IF(O8&gt;基础信息!$F$3,"N","Y")</f>
        <v>Y</v>
      </c>
      <c r="Q8" s="111">
        <f>VLOOKUP(E8&amp;F8,基础信息!$D$11:$E$20,2,0)</f>
        <v>1</v>
      </c>
      <c r="R8" s="111">
        <f t="shared" si="3"/>
        <v>3.0750000000000002</v>
      </c>
      <c r="S8" s="51">
        <v>0</v>
      </c>
      <c r="T8" s="111">
        <f t="shared" si="4"/>
        <v>0</v>
      </c>
      <c r="U8" s="111">
        <f t="shared" si="5"/>
        <v>3.0750000000000002</v>
      </c>
      <c r="V8" s="110"/>
      <c r="W8" s="52"/>
    </row>
    <row r="9" spans="2:23" ht="24.75" customHeight="1">
      <c r="B9" s="163" t="s">
        <v>75</v>
      </c>
      <c r="C9" s="163"/>
      <c r="D9" s="108" t="s">
        <v>97</v>
      </c>
      <c r="E9" s="108">
        <f>COUNTIF(E5:E8,"高")</f>
        <v>1</v>
      </c>
      <c r="F9" s="108">
        <f>COUNTIF(F5:F8,"高")</f>
        <v>0</v>
      </c>
      <c r="G9" s="113">
        <f>COUNTIF(G5:G8,"是")</f>
        <v>0</v>
      </c>
      <c r="H9" s="207">
        <f t="shared" ref="H9:N9" si="12">SUM(H5:H8)</f>
        <v>9.6000000000000014</v>
      </c>
      <c r="I9" s="207">
        <f t="shared" si="12"/>
        <v>10.6</v>
      </c>
      <c r="J9" s="207">
        <f t="shared" si="12"/>
        <v>9</v>
      </c>
      <c r="K9" s="207">
        <f t="shared" si="12"/>
        <v>9.1999999999999993</v>
      </c>
      <c r="L9" s="207">
        <f t="shared" si="12"/>
        <v>9</v>
      </c>
      <c r="M9" s="207">
        <f t="shared" si="12"/>
        <v>9.6</v>
      </c>
      <c r="N9" s="207">
        <f t="shared" si="12"/>
        <v>10.7</v>
      </c>
      <c r="O9" s="207"/>
      <c r="P9" s="108">
        <f>COUNTIF(P5:P8,"Y")</f>
        <v>4</v>
      </c>
      <c r="Q9" s="108"/>
      <c r="R9" s="207">
        <f>SUM(R5:R8)</f>
        <v>10.6875</v>
      </c>
      <c r="S9" s="208"/>
      <c r="T9" s="207">
        <f>SUM(T5:T8)</f>
        <v>0</v>
      </c>
      <c r="U9" s="207">
        <f>SUM(U5:U8)</f>
        <v>10.6875</v>
      </c>
      <c r="V9" s="147"/>
    </row>
    <row r="10" spans="2:23" ht="18.75" customHeight="1">
      <c r="B10" s="163"/>
      <c r="C10" s="163"/>
      <c r="D10" s="108" t="s">
        <v>71</v>
      </c>
      <c r="E10" s="108">
        <f>COUNTIF(E5:E8,"中")</f>
        <v>3</v>
      </c>
      <c r="F10" s="108">
        <f>COUNTIF(F5:F8,"中")</f>
        <v>4</v>
      </c>
      <c r="G10" s="113">
        <f>COUNTIF(G5:G8,"否")</f>
        <v>4</v>
      </c>
      <c r="H10" s="207"/>
      <c r="I10" s="207"/>
      <c r="J10" s="207"/>
      <c r="K10" s="207"/>
      <c r="L10" s="207"/>
      <c r="M10" s="207"/>
      <c r="N10" s="207"/>
      <c r="O10" s="207"/>
      <c r="P10" s="108">
        <f>COUNTIF(P5:P8,"N")</f>
        <v>0</v>
      </c>
      <c r="Q10" s="108"/>
      <c r="R10" s="207"/>
      <c r="S10" s="209"/>
      <c r="T10" s="207"/>
      <c r="U10" s="207"/>
      <c r="V10" s="147"/>
    </row>
    <row r="11" spans="2:23" ht="19.5" customHeight="1">
      <c r="B11" s="163"/>
      <c r="C11" s="163"/>
      <c r="D11" s="108" t="s">
        <v>98</v>
      </c>
      <c r="E11" s="108">
        <f>COUNTIF(E5:E8,"低")</f>
        <v>0</v>
      </c>
      <c r="F11" s="108">
        <f>COUNTIF(F5:F8,"低")</f>
        <v>0</v>
      </c>
      <c r="G11" s="108"/>
      <c r="H11" s="207"/>
      <c r="I11" s="207"/>
      <c r="J11" s="207"/>
      <c r="K11" s="207"/>
      <c r="L11" s="207"/>
      <c r="M11" s="207"/>
      <c r="N11" s="207"/>
      <c r="O11" s="207"/>
      <c r="P11" s="108"/>
      <c r="Q11" s="108"/>
      <c r="R11" s="207"/>
      <c r="S11" s="210"/>
      <c r="T11" s="207"/>
      <c r="U11" s="207"/>
      <c r="V11" s="147"/>
    </row>
  </sheetData>
  <mergeCells count="33">
    <mergeCell ref="B1:V1"/>
    <mergeCell ref="B3:B4"/>
    <mergeCell ref="C3:C4"/>
    <mergeCell ref="D3:D4"/>
    <mergeCell ref="E3:E4"/>
    <mergeCell ref="F3:F4"/>
    <mergeCell ref="G3:G4"/>
    <mergeCell ref="H3:K3"/>
    <mergeCell ref="L3:L4"/>
    <mergeCell ref="M3:M4"/>
    <mergeCell ref="T3:T4"/>
    <mergeCell ref="U3:U4"/>
    <mergeCell ref="V3:V4"/>
    <mergeCell ref="Q3:Q4"/>
    <mergeCell ref="R3:R4"/>
    <mergeCell ref="S3:S4"/>
    <mergeCell ref="B9:C11"/>
    <mergeCell ref="H9:H11"/>
    <mergeCell ref="I9:I11"/>
    <mergeCell ref="J9:J11"/>
    <mergeCell ref="K9:K11"/>
    <mergeCell ref="L9:L11"/>
    <mergeCell ref="M9:M11"/>
    <mergeCell ref="N3:N4"/>
    <mergeCell ref="O3:O4"/>
    <mergeCell ref="P3:P4"/>
    <mergeCell ref="V9:V11"/>
    <mergeCell ref="N9:N11"/>
    <mergeCell ref="O9:O11"/>
    <mergeCell ref="R9:R11"/>
    <mergeCell ref="S9:S11"/>
    <mergeCell ref="T9:T11"/>
    <mergeCell ref="U9:U11"/>
  </mergeCells>
  <phoneticPr fontId="21" type="noConversion"/>
  <dataValidations count="4">
    <dataValidation allowBlank="1" showInputMessage="1" showErrorMessage="1" prompt="功能需求项内容=功能需求编号+功能需求内容描述_x000a__x000a_非功能需求项=非功能需求属性+内容描述" sqref="C5:D8"/>
    <dataValidation type="list" allowBlank="1" showInputMessage="1" showErrorMessage="1" sqref="F5:F8">
      <formula1>优先级</formula1>
    </dataValidation>
    <dataValidation type="list" allowBlank="1" showInputMessage="1" showErrorMessage="1" sqref="E5:E8">
      <formula1>难易程度</formula1>
    </dataValidation>
    <dataValidation type="list" allowBlank="1" showInputMessage="1" showErrorMessage="1" sqref="G5:G8">
      <formula1>是否复用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3"/>
  <sheetViews>
    <sheetView workbookViewId="0">
      <pane xSplit="11" ySplit="4" topLeftCell="R13" activePane="bottomRight" state="frozen"/>
      <selection pane="topRight"/>
      <selection pane="bottomLeft"/>
      <selection pane="bottomRight" activeCell="G29" sqref="G29"/>
    </sheetView>
  </sheetViews>
  <sheetFormatPr defaultColWidth="9" defaultRowHeight="13.5"/>
  <cols>
    <col min="1" max="1" width="1.875" style="33" customWidth="1"/>
    <col min="2" max="2" width="5.125" style="33" customWidth="1"/>
    <col min="3" max="3" width="16.375" style="33" customWidth="1"/>
    <col min="4" max="4" width="19.875" style="33" customWidth="1"/>
    <col min="5" max="7" width="9.75" style="33" customWidth="1"/>
    <col min="8" max="8" width="11.25" style="33" customWidth="1"/>
    <col min="9" max="11" width="11.875" style="33" customWidth="1"/>
    <col min="12" max="12" width="9.75" style="33" customWidth="1"/>
    <col min="13" max="18" width="12.75" style="33" customWidth="1"/>
    <col min="19" max="20" width="9.75" style="33" customWidth="1"/>
    <col min="21" max="21" width="11.875" style="33" customWidth="1"/>
    <col min="22" max="22" width="30.375" style="33" customWidth="1"/>
    <col min="23" max="16384" width="9" style="33"/>
  </cols>
  <sheetData>
    <row r="1" spans="2:23" ht="34.5" customHeight="1">
      <c r="B1" s="197" t="s">
        <v>76</v>
      </c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</row>
    <row r="2" spans="2:23" ht="6" customHeight="1"/>
    <row r="3" spans="2:23" s="32" customFormat="1" ht="20.25" customHeight="1">
      <c r="B3" s="195" t="s">
        <v>50</v>
      </c>
      <c r="C3" s="195" t="s">
        <v>51</v>
      </c>
      <c r="D3" s="195" t="s">
        <v>52</v>
      </c>
      <c r="E3" s="195" t="s">
        <v>53</v>
      </c>
      <c r="F3" s="195" t="s">
        <v>54</v>
      </c>
      <c r="G3" s="195" t="s">
        <v>55</v>
      </c>
      <c r="H3" s="139" t="s">
        <v>77</v>
      </c>
      <c r="I3" s="139"/>
      <c r="J3" s="139"/>
      <c r="K3" s="139"/>
      <c r="L3" s="195" t="s">
        <v>58</v>
      </c>
      <c r="M3" s="195" t="s">
        <v>59</v>
      </c>
      <c r="N3" s="195" t="s">
        <v>60</v>
      </c>
      <c r="O3" s="195" t="s">
        <v>61</v>
      </c>
      <c r="P3" s="195" t="s">
        <v>62</v>
      </c>
      <c r="Q3" s="195" t="s">
        <v>63</v>
      </c>
      <c r="R3" s="195" t="s">
        <v>64</v>
      </c>
      <c r="S3" s="195" t="s">
        <v>65</v>
      </c>
      <c r="T3" s="195" t="s">
        <v>66</v>
      </c>
      <c r="U3" s="195" t="s">
        <v>67</v>
      </c>
      <c r="V3" s="195" t="s">
        <v>8</v>
      </c>
    </row>
    <row r="4" spans="2:23" s="32" customFormat="1" ht="30.75" customHeight="1">
      <c r="B4" s="196"/>
      <c r="C4" s="196"/>
      <c r="D4" s="196"/>
      <c r="E4" s="196"/>
      <c r="F4" s="196"/>
      <c r="G4" s="196"/>
      <c r="H4" s="34" t="s">
        <v>78</v>
      </c>
      <c r="I4" s="34" t="s">
        <v>79</v>
      </c>
      <c r="J4" s="34" t="s">
        <v>80</v>
      </c>
      <c r="K4" s="34" t="s">
        <v>81</v>
      </c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</row>
    <row r="5" spans="2:23" ht="27" customHeight="1">
      <c r="B5" s="35">
        <v>1</v>
      </c>
      <c r="C5" s="56" t="s">
        <v>82</v>
      </c>
      <c r="D5" s="57"/>
      <c r="E5" s="35" t="s">
        <v>71</v>
      </c>
      <c r="F5" s="35" t="s">
        <v>71</v>
      </c>
      <c r="G5" s="35" t="s">
        <v>72</v>
      </c>
      <c r="H5" s="58">
        <v>2.2000000000000002</v>
      </c>
      <c r="I5" s="44">
        <v>2.5</v>
      </c>
      <c r="J5" s="44">
        <v>2</v>
      </c>
      <c r="K5" s="44">
        <v>2</v>
      </c>
      <c r="L5" s="45">
        <f t="shared" ref="L5:L20" si="0">MIN(H5:K5)</f>
        <v>2</v>
      </c>
      <c r="M5" s="45">
        <f>IF(AND(ISBLANK(H5),ISBLANK(I5),ISBLANK(K5),ISBLANK(#REF!)),,AVERAGE(H5:K5))</f>
        <v>2.1749999999999998</v>
      </c>
      <c r="N5" s="45">
        <f t="shared" ref="N5:N20" si="1">MAX(H5:K5)</f>
        <v>2.5</v>
      </c>
      <c r="O5" s="46">
        <f t="shared" ref="O5:O12" si="2">IF(AND(ISNUMBER(M5),M5&lt;&gt;0),MAX(M5-L5,N5-M5)/M5,"")</f>
        <v>0.14942528735632193</v>
      </c>
      <c r="P5" s="47" t="str">
        <f>IF(O5&gt;基础信息!$F$3,"N","Y")</f>
        <v>Y</v>
      </c>
      <c r="Q5" s="43">
        <f>VLOOKUP(E5&amp;F5,基础信息!$D$11:$E$20,2,0)</f>
        <v>1</v>
      </c>
      <c r="R5" s="43">
        <f t="shared" ref="R5:R12" si="3">M5*Q5</f>
        <v>2.1749999999999998</v>
      </c>
      <c r="S5" s="51">
        <v>0</v>
      </c>
      <c r="T5" s="43">
        <f t="shared" ref="T5:T20" si="4">IF(G5="是",R5*S5,0)</f>
        <v>0</v>
      </c>
      <c r="U5" s="43">
        <f t="shared" ref="U5:U12" si="5">R5-T5</f>
        <v>2.1749999999999998</v>
      </c>
      <c r="V5" s="49"/>
      <c r="W5" s="52"/>
    </row>
    <row r="6" spans="2:23" ht="27" customHeight="1">
      <c r="B6" s="35">
        <v>2</v>
      </c>
      <c r="C6" s="56" t="s">
        <v>83</v>
      </c>
      <c r="D6" s="57"/>
      <c r="E6" s="35" t="s">
        <v>71</v>
      </c>
      <c r="F6" s="35" t="s">
        <v>71</v>
      </c>
      <c r="G6" s="35" t="s">
        <v>72</v>
      </c>
      <c r="H6" s="58">
        <v>2.2000000000000002</v>
      </c>
      <c r="I6" s="44">
        <v>2.5</v>
      </c>
      <c r="J6" s="44">
        <v>2</v>
      </c>
      <c r="K6" s="44">
        <v>2</v>
      </c>
      <c r="L6" s="45">
        <f t="shared" si="0"/>
        <v>2</v>
      </c>
      <c r="M6" s="45">
        <f>IF(AND(ISBLANK(H6),ISBLANK(I6),ISBLANK(K6),ISBLANK(#REF!)),,AVERAGE(H6:K6))</f>
        <v>2.1749999999999998</v>
      </c>
      <c r="N6" s="45">
        <f t="shared" si="1"/>
        <v>2.5</v>
      </c>
      <c r="O6" s="46">
        <f t="shared" si="2"/>
        <v>0.14942528735632193</v>
      </c>
      <c r="P6" s="47" t="str">
        <f>IF(O6&gt;基础信息!$F$3,"N","Y")</f>
        <v>Y</v>
      </c>
      <c r="Q6" s="43">
        <f>VLOOKUP(E6&amp;F6,基础信息!$D$11:$E$20,2,0)</f>
        <v>1</v>
      </c>
      <c r="R6" s="43">
        <f t="shared" si="3"/>
        <v>2.1749999999999998</v>
      </c>
      <c r="S6" s="51">
        <v>0</v>
      </c>
      <c r="T6" s="43">
        <f t="shared" si="4"/>
        <v>0</v>
      </c>
      <c r="U6" s="43">
        <f t="shared" si="5"/>
        <v>2.1749999999999998</v>
      </c>
      <c r="V6" s="49"/>
      <c r="W6" s="52"/>
    </row>
    <row r="7" spans="2:23" ht="27" customHeight="1">
      <c r="B7" s="35">
        <v>3</v>
      </c>
      <c r="C7" s="56" t="s">
        <v>84</v>
      </c>
      <c r="D7" s="57"/>
      <c r="E7" s="35" t="s">
        <v>71</v>
      </c>
      <c r="F7" s="35" t="s">
        <v>71</v>
      </c>
      <c r="G7" s="35" t="s">
        <v>72</v>
      </c>
      <c r="H7" s="58">
        <v>3</v>
      </c>
      <c r="I7" s="44">
        <v>3.1</v>
      </c>
      <c r="J7" s="44">
        <v>3</v>
      </c>
      <c r="K7" s="44">
        <v>3.2</v>
      </c>
      <c r="L7" s="45">
        <f t="shared" si="0"/>
        <v>3</v>
      </c>
      <c r="M7" s="45">
        <f>IF(AND(ISBLANK(H7),ISBLANK(I7),ISBLANK(K7),ISBLANK(#REF!)),,AVERAGE(H7:K7))</f>
        <v>3.0750000000000002</v>
      </c>
      <c r="N7" s="45">
        <f t="shared" si="1"/>
        <v>3.2</v>
      </c>
      <c r="O7" s="46">
        <f t="shared" si="2"/>
        <v>4.065040650406504E-2</v>
      </c>
      <c r="P7" s="47" t="str">
        <f>IF(O7&gt;基础信息!$F$3,"N","Y")</f>
        <v>Y</v>
      </c>
      <c r="Q7" s="43">
        <f>VLOOKUP(E7&amp;F7,基础信息!$D$11:$E$20,2,0)</f>
        <v>1</v>
      </c>
      <c r="R7" s="43">
        <f t="shared" si="3"/>
        <v>3.0750000000000002</v>
      </c>
      <c r="S7" s="51">
        <v>0</v>
      </c>
      <c r="T7" s="43">
        <f t="shared" si="4"/>
        <v>0</v>
      </c>
      <c r="U7" s="43">
        <f t="shared" si="5"/>
        <v>3.0750000000000002</v>
      </c>
      <c r="V7" s="49"/>
      <c r="W7" s="52"/>
    </row>
    <row r="8" spans="2:23" ht="27" customHeight="1">
      <c r="B8" s="35">
        <v>4</v>
      </c>
      <c r="C8" s="56" t="s">
        <v>85</v>
      </c>
      <c r="D8" s="57"/>
      <c r="E8" s="35" t="s">
        <v>71</v>
      </c>
      <c r="F8" s="35" t="s">
        <v>71</v>
      </c>
      <c r="G8" s="35" t="s">
        <v>72</v>
      </c>
      <c r="H8" s="58">
        <v>2.2000000000000002</v>
      </c>
      <c r="I8" s="44">
        <v>2.5</v>
      </c>
      <c r="J8" s="44">
        <v>2</v>
      </c>
      <c r="K8" s="44">
        <v>2</v>
      </c>
      <c r="L8" s="45">
        <f t="shared" si="0"/>
        <v>2</v>
      </c>
      <c r="M8" s="45">
        <f>IF(AND(ISBLANK(H8),ISBLANK(I8),ISBLANK(K8),ISBLANK(#REF!)),,AVERAGE(H8:K8))</f>
        <v>2.1749999999999998</v>
      </c>
      <c r="N8" s="45">
        <f t="shared" si="1"/>
        <v>2.5</v>
      </c>
      <c r="O8" s="46">
        <f t="shared" si="2"/>
        <v>0.14942528735632193</v>
      </c>
      <c r="P8" s="47" t="str">
        <f>IF(O8&gt;基础信息!$F$3,"N","Y")</f>
        <v>Y</v>
      </c>
      <c r="Q8" s="43">
        <f>VLOOKUP(E8&amp;F8,基础信息!$D$11:$E$20,2,0)</f>
        <v>1</v>
      </c>
      <c r="R8" s="43">
        <f t="shared" si="3"/>
        <v>2.1749999999999998</v>
      </c>
      <c r="S8" s="51">
        <v>0</v>
      </c>
      <c r="T8" s="43">
        <f t="shared" si="4"/>
        <v>0</v>
      </c>
      <c r="U8" s="43">
        <f t="shared" si="5"/>
        <v>2.1749999999999998</v>
      </c>
      <c r="V8" s="49"/>
      <c r="W8" s="52"/>
    </row>
    <row r="9" spans="2:23" ht="27" customHeight="1">
      <c r="B9" s="35">
        <v>5</v>
      </c>
      <c r="C9" s="56" t="s">
        <v>86</v>
      </c>
      <c r="D9" s="57"/>
      <c r="E9" s="35" t="s">
        <v>71</v>
      </c>
      <c r="F9" s="35" t="s">
        <v>71</v>
      </c>
      <c r="G9" s="35" t="s">
        <v>72</v>
      </c>
      <c r="H9" s="58">
        <v>2.2000000000000002</v>
      </c>
      <c r="I9" s="44">
        <v>2.2000000000000002</v>
      </c>
      <c r="J9" s="44">
        <v>2</v>
      </c>
      <c r="K9" s="44">
        <v>2.5</v>
      </c>
      <c r="L9" s="45">
        <f t="shared" si="0"/>
        <v>2</v>
      </c>
      <c r="M9" s="45">
        <f>IF(AND(ISBLANK(H9),ISBLANK(I9),ISBLANK(K9),ISBLANK(#REF!)),,AVERAGE(H9:K9))</f>
        <v>2.2250000000000001</v>
      </c>
      <c r="N9" s="45">
        <f t="shared" si="1"/>
        <v>2.5</v>
      </c>
      <c r="O9" s="46">
        <f t="shared" si="2"/>
        <v>0.12359550561797748</v>
      </c>
      <c r="P9" s="47" t="str">
        <f>IF(O9&gt;基础信息!$F$3,"N","Y")</f>
        <v>Y</v>
      </c>
      <c r="Q9" s="43">
        <f>VLOOKUP(E9&amp;F9,基础信息!$D$11:$E$20,2,0)</f>
        <v>1</v>
      </c>
      <c r="R9" s="43">
        <f t="shared" si="3"/>
        <v>2.2250000000000001</v>
      </c>
      <c r="S9" s="51">
        <v>0</v>
      </c>
      <c r="T9" s="43">
        <f t="shared" si="4"/>
        <v>0</v>
      </c>
      <c r="U9" s="43">
        <f t="shared" si="5"/>
        <v>2.2250000000000001</v>
      </c>
      <c r="V9" s="49"/>
      <c r="W9" s="52"/>
    </row>
    <row r="10" spans="2:23" ht="27" customHeight="1">
      <c r="B10" s="35">
        <v>6</v>
      </c>
      <c r="C10" s="56" t="s">
        <v>87</v>
      </c>
      <c r="D10" s="57"/>
      <c r="E10" s="35" t="s">
        <v>71</v>
      </c>
      <c r="F10" s="35" t="s">
        <v>71</v>
      </c>
      <c r="G10" s="35" t="s">
        <v>72</v>
      </c>
      <c r="H10" s="58">
        <v>1.1000000000000001</v>
      </c>
      <c r="I10" s="44">
        <v>1.3</v>
      </c>
      <c r="J10" s="44">
        <v>1</v>
      </c>
      <c r="K10" s="44">
        <v>1.3</v>
      </c>
      <c r="L10" s="45">
        <f t="shared" si="0"/>
        <v>1</v>
      </c>
      <c r="M10" s="45">
        <f>IF(AND(ISBLANK(H10),ISBLANK(I10),ISBLANK(K10),ISBLANK(#REF!)),,AVERAGE(H10:K10))</f>
        <v>1.175</v>
      </c>
      <c r="N10" s="45">
        <f t="shared" si="1"/>
        <v>1.3</v>
      </c>
      <c r="O10" s="46">
        <f t="shared" si="2"/>
        <v>0.14893617021276598</v>
      </c>
      <c r="P10" s="47" t="str">
        <f>IF(O10&gt;基础信息!$F$3,"N","Y")</f>
        <v>Y</v>
      </c>
      <c r="Q10" s="43">
        <f>VLOOKUP(E10&amp;F10,基础信息!$D$11:$E$20,2,0)</f>
        <v>1</v>
      </c>
      <c r="R10" s="43">
        <f t="shared" si="3"/>
        <v>1.175</v>
      </c>
      <c r="S10" s="51">
        <v>0</v>
      </c>
      <c r="T10" s="43">
        <f t="shared" si="4"/>
        <v>0</v>
      </c>
      <c r="U10" s="43">
        <f t="shared" si="5"/>
        <v>1.175</v>
      </c>
      <c r="V10" s="49"/>
      <c r="W10" s="52"/>
    </row>
    <row r="11" spans="2:23" ht="27" customHeight="1">
      <c r="B11" s="35">
        <v>7</v>
      </c>
      <c r="C11" s="56" t="s">
        <v>88</v>
      </c>
      <c r="D11" s="57"/>
      <c r="E11" s="35" t="s">
        <v>71</v>
      </c>
      <c r="F11" s="35" t="s">
        <v>71</v>
      </c>
      <c r="G11" s="35" t="s">
        <v>72</v>
      </c>
      <c r="H11" s="58">
        <v>1.5</v>
      </c>
      <c r="I11" s="44">
        <v>1.5</v>
      </c>
      <c r="J11" s="44">
        <v>1</v>
      </c>
      <c r="K11" s="44">
        <v>1</v>
      </c>
      <c r="L11" s="45">
        <f t="shared" si="0"/>
        <v>1</v>
      </c>
      <c r="M11" s="45">
        <f>IF(AND(ISBLANK(H11),ISBLANK(I11),ISBLANK(K11),ISBLANK(#REF!)),,AVERAGE(H11:K11))</f>
        <v>1.25</v>
      </c>
      <c r="N11" s="45">
        <f t="shared" si="1"/>
        <v>1.5</v>
      </c>
      <c r="O11" s="46">
        <f t="shared" si="2"/>
        <v>0.2</v>
      </c>
      <c r="P11" s="47" t="str">
        <f>IF(O11&gt;基础信息!$F$3,"N","Y")</f>
        <v>Y</v>
      </c>
      <c r="Q11" s="43">
        <f>VLOOKUP(E11&amp;F11,基础信息!$D$11:$E$20,2,0)</f>
        <v>1</v>
      </c>
      <c r="R11" s="43">
        <f t="shared" si="3"/>
        <v>1.25</v>
      </c>
      <c r="S11" s="51">
        <v>0</v>
      </c>
      <c r="T11" s="43">
        <f t="shared" si="4"/>
        <v>0</v>
      </c>
      <c r="U11" s="43">
        <f t="shared" si="5"/>
        <v>1.25</v>
      </c>
      <c r="V11" s="49"/>
      <c r="W11" s="52"/>
    </row>
    <row r="12" spans="2:23" ht="27" customHeight="1">
      <c r="B12" s="35">
        <v>8</v>
      </c>
      <c r="C12" s="56" t="s">
        <v>89</v>
      </c>
      <c r="D12" s="57"/>
      <c r="E12" s="35" t="s">
        <v>71</v>
      </c>
      <c r="F12" s="35" t="s">
        <v>71</v>
      </c>
      <c r="G12" s="35" t="s">
        <v>72</v>
      </c>
      <c r="H12" s="58">
        <v>1.5</v>
      </c>
      <c r="I12" s="44">
        <v>1.3</v>
      </c>
      <c r="J12" s="44">
        <v>1.5</v>
      </c>
      <c r="K12" s="44">
        <v>1.3</v>
      </c>
      <c r="L12" s="45">
        <f t="shared" si="0"/>
        <v>1.3</v>
      </c>
      <c r="M12" s="45">
        <f>IF(AND(ISBLANK(H12),ISBLANK(I12),ISBLANK(K12),ISBLANK(#REF!)),,AVERAGE(H12:K12))</f>
        <v>1.4</v>
      </c>
      <c r="N12" s="45">
        <f t="shared" si="1"/>
        <v>1.5</v>
      </c>
      <c r="O12" s="46">
        <f t="shared" si="2"/>
        <v>7.1428571428571494E-2</v>
      </c>
      <c r="P12" s="47" t="str">
        <f>IF(O12&gt;基础信息!$F$3,"N","Y")</f>
        <v>Y</v>
      </c>
      <c r="Q12" s="43">
        <f>VLOOKUP(E12&amp;F12,基础信息!$D$11:$E$20,2,0)</f>
        <v>1</v>
      </c>
      <c r="R12" s="43">
        <f t="shared" si="3"/>
        <v>1.4</v>
      </c>
      <c r="S12" s="51">
        <v>0</v>
      </c>
      <c r="T12" s="43">
        <f t="shared" si="4"/>
        <v>0</v>
      </c>
      <c r="U12" s="43">
        <f t="shared" si="5"/>
        <v>1.4</v>
      </c>
      <c r="V12" s="49"/>
      <c r="W12" s="52"/>
    </row>
    <row r="13" spans="2:23" ht="39.950000000000003" customHeight="1">
      <c r="B13" s="35">
        <v>9</v>
      </c>
      <c r="C13" s="56" t="s">
        <v>90</v>
      </c>
      <c r="D13" s="57"/>
      <c r="E13" s="35" t="s">
        <v>71</v>
      </c>
      <c r="F13" s="35" t="s">
        <v>71</v>
      </c>
      <c r="G13" s="35" t="s">
        <v>72</v>
      </c>
      <c r="H13" s="58">
        <v>2</v>
      </c>
      <c r="I13" s="44">
        <v>2</v>
      </c>
      <c r="J13" s="44">
        <v>2</v>
      </c>
      <c r="K13" s="44">
        <v>2</v>
      </c>
      <c r="L13" s="45">
        <f t="shared" si="0"/>
        <v>2</v>
      </c>
      <c r="M13" s="45">
        <f>IF(AND(ISBLANK(H13),ISBLANK(I13),ISBLANK(K13),ISBLANK(#REF!)),,AVERAGE(H13:K13))</f>
        <v>2</v>
      </c>
      <c r="N13" s="45">
        <f t="shared" si="1"/>
        <v>2</v>
      </c>
      <c r="O13" s="46">
        <f t="shared" ref="O13:O16" si="6">IF(AND(ISNUMBER(M13),M13&lt;&gt;0),MAX(M13-L13,N13-M13)/M13,"")</f>
        <v>0</v>
      </c>
      <c r="P13" s="47" t="str">
        <f>IF(O13&gt;基础信息!$F$3,"N","Y")</f>
        <v>Y</v>
      </c>
      <c r="Q13" s="43">
        <f>VLOOKUP(E13&amp;F13,基础信息!$D$11:$E$20,2,0)</f>
        <v>1</v>
      </c>
      <c r="R13" s="43">
        <f t="shared" ref="R13:R16" si="7">M13*Q13</f>
        <v>2</v>
      </c>
      <c r="S13" s="51">
        <v>0</v>
      </c>
      <c r="T13" s="43">
        <f t="shared" si="4"/>
        <v>0</v>
      </c>
      <c r="U13" s="43">
        <f t="shared" ref="U13:U16" si="8">R13-T13</f>
        <v>2</v>
      </c>
      <c r="V13" s="49"/>
      <c r="W13" s="52"/>
    </row>
    <row r="14" spans="2:23" ht="27" customHeight="1">
      <c r="B14" s="35">
        <v>10</v>
      </c>
      <c r="C14" s="56" t="s">
        <v>91</v>
      </c>
      <c r="D14" s="57"/>
      <c r="E14" s="35" t="s">
        <v>71</v>
      </c>
      <c r="F14" s="35" t="s">
        <v>71</v>
      </c>
      <c r="G14" s="35" t="s">
        <v>72</v>
      </c>
      <c r="H14" s="58">
        <v>1.5</v>
      </c>
      <c r="I14" s="44">
        <v>1.7</v>
      </c>
      <c r="J14" s="44">
        <v>2</v>
      </c>
      <c r="K14" s="44">
        <v>1.7</v>
      </c>
      <c r="L14" s="45">
        <f t="shared" si="0"/>
        <v>1.5</v>
      </c>
      <c r="M14" s="45">
        <f>IF(AND(ISBLANK(H14),ISBLANK(I14),ISBLANK(K14),ISBLANK(#REF!)),,AVERAGE(H14:K14))</f>
        <v>1.7250000000000001</v>
      </c>
      <c r="N14" s="45">
        <f t="shared" si="1"/>
        <v>2</v>
      </c>
      <c r="O14" s="46">
        <f t="shared" si="6"/>
        <v>0.15942028985507239</v>
      </c>
      <c r="P14" s="47" t="str">
        <f>IF(O14&gt;基础信息!$F$3,"N","Y")</f>
        <v>Y</v>
      </c>
      <c r="Q14" s="43">
        <f>VLOOKUP(E14&amp;F14,基础信息!$D$11:$E$20,2,0)</f>
        <v>1</v>
      </c>
      <c r="R14" s="43">
        <f t="shared" si="7"/>
        <v>1.7250000000000001</v>
      </c>
      <c r="S14" s="51">
        <v>0</v>
      </c>
      <c r="T14" s="43">
        <f t="shared" si="4"/>
        <v>0</v>
      </c>
      <c r="U14" s="43">
        <f t="shared" si="8"/>
        <v>1.7250000000000001</v>
      </c>
      <c r="V14" s="49"/>
      <c r="W14" s="52"/>
    </row>
    <row r="15" spans="2:23" ht="27" customHeight="1">
      <c r="B15" s="35">
        <v>20</v>
      </c>
      <c r="C15" s="56" t="s">
        <v>91</v>
      </c>
      <c r="D15" s="57"/>
      <c r="E15" s="35" t="s">
        <v>71</v>
      </c>
      <c r="F15" s="35" t="s">
        <v>71</v>
      </c>
      <c r="G15" s="35" t="s">
        <v>72</v>
      </c>
      <c r="H15" s="58">
        <v>2.2000000000000002</v>
      </c>
      <c r="I15" s="44">
        <v>2</v>
      </c>
      <c r="J15" s="44">
        <v>2</v>
      </c>
      <c r="K15" s="44">
        <v>1.7</v>
      </c>
      <c r="L15" s="45">
        <f t="shared" si="0"/>
        <v>1.7</v>
      </c>
      <c r="M15" s="45">
        <f>IF(AND(ISBLANK(H15),ISBLANK(I15),ISBLANK(K15),ISBLANK(#REF!)),,AVERAGE(H15:K15))</f>
        <v>1.9750000000000001</v>
      </c>
      <c r="N15" s="45">
        <f t="shared" si="1"/>
        <v>2.2000000000000002</v>
      </c>
      <c r="O15" s="46">
        <f t="shared" si="6"/>
        <v>0.13924050632911397</v>
      </c>
      <c r="P15" s="47" t="str">
        <f>IF(O15&gt;基础信息!$F$3,"N","Y")</f>
        <v>Y</v>
      </c>
      <c r="Q15" s="43">
        <f>VLOOKUP(E15&amp;F15,基础信息!$D$11:$E$20,2,0)</f>
        <v>1</v>
      </c>
      <c r="R15" s="43">
        <f t="shared" si="7"/>
        <v>1.9750000000000001</v>
      </c>
      <c r="S15" s="51">
        <v>0</v>
      </c>
      <c r="T15" s="43">
        <f t="shared" si="4"/>
        <v>0</v>
      </c>
      <c r="U15" s="43">
        <f t="shared" si="8"/>
        <v>1.9750000000000001</v>
      </c>
      <c r="V15" s="49"/>
      <c r="W15" s="52"/>
    </row>
    <row r="16" spans="2:23" ht="27" customHeight="1">
      <c r="B16" s="35">
        <v>21</v>
      </c>
      <c r="C16" s="56" t="s">
        <v>92</v>
      </c>
      <c r="D16" s="57"/>
      <c r="E16" s="35" t="s">
        <v>71</v>
      </c>
      <c r="F16" s="35" t="s">
        <v>71</v>
      </c>
      <c r="G16" s="35" t="s">
        <v>72</v>
      </c>
      <c r="H16" s="58">
        <v>1.5</v>
      </c>
      <c r="I16" s="44">
        <v>1.3</v>
      </c>
      <c r="J16" s="44">
        <v>1.3</v>
      </c>
      <c r="K16" s="44">
        <v>1.3</v>
      </c>
      <c r="L16" s="45">
        <f t="shared" si="0"/>
        <v>1.3</v>
      </c>
      <c r="M16" s="45">
        <f>IF(AND(ISBLANK(H16),ISBLANK(I16),ISBLANK(K16),ISBLANK(#REF!)),,AVERAGE(H16:K16))</f>
        <v>1.3499999999999999</v>
      </c>
      <c r="N16" s="45">
        <f t="shared" si="1"/>
        <v>1.5</v>
      </c>
      <c r="O16" s="46">
        <f t="shared" si="6"/>
        <v>0.11111111111111122</v>
      </c>
      <c r="P16" s="47" t="str">
        <f>IF(O16&gt;基础信息!$F$3,"N","Y")</f>
        <v>Y</v>
      </c>
      <c r="Q16" s="43">
        <f>VLOOKUP(E16&amp;F16,基础信息!$D$11:$E$20,2,0)</f>
        <v>1</v>
      </c>
      <c r="R16" s="43">
        <f t="shared" si="7"/>
        <v>1.3499999999999999</v>
      </c>
      <c r="S16" s="51">
        <v>0</v>
      </c>
      <c r="T16" s="43">
        <f t="shared" si="4"/>
        <v>0</v>
      </c>
      <c r="U16" s="43">
        <f t="shared" si="8"/>
        <v>1.3499999999999999</v>
      </c>
      <c r="V16" s="49"/>
      <c r="W16" s="52"/>
    </row>
    <row r="17" spans="2:23" ht="27" customHeight="1">
      <c r="B17" s="35">
        <v>22</v>
      </c>
      <c r="C17" s="59" t="s">
        <v>93</v>
      </c>
      <c r="D17" s="60"/>
      <c r="E17" s="35" t="s">
        <v>71</v>
      </c>
      <c r="F17" s="35" t="s">
        <v>71</v>
      </c>
      <c r="G17" s="35" t="s">
        <v>72</v>
      </c>
      <c r="H17" s="58">
        <v>3</v>
      </c>
      <c r="I17" s="44">
        <v>2.8</v>
      </c>
      <c r="J17" s="44">
        <v>2.8</v>
      </c>
      <c r="K17" s="44">
        <v>3.2</v>
      </c>
      <c r="L17" s="45">
        <f t="shared" si="0"/>
        <v>2.8</v>
      </c>
      <c r="M17" s="45">
        <f>IF(AND(ISBLANK(H17),ISBLANK(I17),ISBLANK(K17),ISBLANK(#REF!)),,AVERAGE(H17:K17))</f>
        <v>2.95</v>
      </c>
      <c r="N17" s="45">
        <f t="shared" si="1"/>
        <v>3.2</v>
      </c>
      <c r="O17" s="46">
        <f t="shared" ref="O17:O20" si="9">IF(AND(ISNUMBER(M17),M17&lt;&gt;0),MAX(M17-L17,N17-M17)/M17,"")</f>
        <v>8.4745762711864403E-2</v>
      </c>
      <c r="P17" s="47" t="str">
        <f>IF(O17&gt;基础信息!$F$3,"N","Y")</f>
        <v>Y</v>
      </c>
      <c r="Q17" s="43">
        <f>VLOOKUP(E17&amp;F17,基础信息!$D$11:$E$20,2,0)</f>
        <v>1</v>
      </c>
      <c r="R17" s="43">
        <f t="shared" ref="R17:R20" si="10">M17*Q17</f>
        <v>2.95</v>
      </c>
      <c r="S17" s="51">
        <v>0</v>
      </c>
      <c r="T17" s="43">
        <f t="shared" si="4"/>
        <v>0</v>
      </c>
      <c r="U17" s="43">
        <f t="shared" ref="U17:U20" si="11">R17-T17</f>
        <v>2.95</v>
      </c>
      <c r="V17" s="49"/>
      <c r="W17" s="52"/>
    </row>
    <row r="18" spans="2:23" ht="27" customHeight="1">
      <c r="B18" s="35">
        <v>23</v>
      </c>
      <c r="C18" s="59" t="s">
        <v>94</v>
      </c>
      <c r="D18" s="60"/>
      <c r="E18" s="35" t="s">
        <v>71</v>
      </c>
      <c r="F18" s="35" t="s">
        <v>71</v>
      </c>
      <c r="G18" s="35" t="s">
        <v>72</v>
      </c>
      <c r="H18" s="58">
        <v>3</v>
      </c>
      <c r="I18" s="44">
        <v>2.8</v>
      </c>
      <c r="J18" s="44">
        <v>2.8</v>
      </c>
      <c r="K18" s="44">
        <v>3.2</v>
      </c>
      <c r="L18" s="45">
        <f t="shared" si="0"/>
        <v>2.8</v>
      </c>
      <c r="M18" s="45">
        <f>IF(AND(ISBLANK(H18),ISBLANK(I18),ISBLANK(K18),ISBLANK(#REF!)),,AVERAGE(H18:K18))</f>
        <v>2.95</v>
      </c>
      <c r="N18" s="45">
        <f t="shared" si="1"/>
        <v>3.2</v>
      </c>
      <c r="O18" s="46">
        <f t="shared" si="9"/>
        <v>8.4745762711864403E-2</v>
      </c>
      <c r="P18" s="47" t="str">
        <f>IF(O18&gt;基础信息!$F$3,"N","Y")</f>
        <v>Y</v>
      </c>
      <c r="Q18" s="43">
        <f>VLOOKUP(E18&amp;F18,基础信息!$D$11:$E$20,2,0)</f>
        <v>1</v>
      </c>
      <c r="R18" s="43">
        <f t="shared" si="10"/>
        <v>2.95</v>
      </c>
      <c r="S18" s="51">
        <v>0</v>
      </c>
      <c r="T18" s="43">
        <f t="shared" si="4"/>
        <v>0</v>
      </c>
      <c r="U18" s="43">
        <f t="shared" si="11"/>
        <v>2.95</v>
      </c>
      <c r="V18" s="49"/>
      <c r="W18" s="52"/>
    </row>
    <row r="19" spans="2:23" ht="27" customHeight="1">
      <c r="B19" s="35">
        <v>24</v>
      </c>
      <c r="C19" s="59" t="s">
        <v>95</v>
      </c>
      <c r="D19" s="60"/>
      <c r="E19" s="35" t="s">
        <v>71</v>
      </c>
      <c r="F19" s="35" t="s">
        <v>71</v>
      </c>
      <c r="G19" s="35" t="s">
        <v>72</v>
      </c>
      <c r="H19" s="58">
        <v>3</v>
      </c>
      <c r="I19" s="44">
        <v>2.8</v>
      </c>
      <c r="J19" s="44">
        <v>2.8</v>
      </c>
      <c r="K19" s="44">
        <v>3.2</v>
      </c>
      <c r="L19" s="45">
        <f t="shared" si="0"/>
        <v>2.8</v>
      </c>
      <c r="M19" s="45">
        <f>IF(AND(ISBLANK(H19),ISBLANK(I19),ISBLANK(K19),ISBLANK(#REF!)),,AVERAGE(H19:K19))</f>
        <v>2.95</v>
      </c>
      <c r="N19" s="45">
        <f t="shared" si="1"/>
        <v>3.2</v>
      </c>
      <c r="O19" s="46">
        <f t="shared" si="9"/>
        <v>8.4745762711864403E-2</v>
      </c>
      <c r="P19" s="47" t="str">
        <f>IF(O19&gt;基础信息!$F$3,"N","Y")</f>
        <v>Y</v>
      </c>
      <c r="Q19" s="43">
        <f>VLOOKUP(E19&amp;F19,基础信息!$D$11:$E$20,2,0)</f>
        <v>1</v>
      </c>
      <c r="R19" s="43">
        <f t="shared" si="10"/>
        <v>2.95</v>
      </c>
      <c r="S19" s="51">
        <v>0</v>
      </c>
      <c r="T19" s="43">
        <f t="shared" si="4"/>
        <v>0</v>
      </c>
      <c r="U19" s="43">
        <f t="shared" si="11"/>
        <v>2.95</v>
      </c>
      <c r="V19" s="49"/>
      <c r="W19" s="52"/>
    </row>
    <row r="20" spans="2:23" ht="27" customHeight="1">
      <c r="B20" s="35">
        <v>25</v>
      </c>
      <c r="C20" s="59" t="s">
        <v>96</v>
      </c>
      <c r="D20" s="60"/>
      <c r="E20" s="35" t="s">
        <v>71</v>
      </c>
      <c r="F20" s="35" t="s">
        <v>71</v>
      </c>
      <c r="G20" s="35" t="s">
        <v>72</v>
      </c>
      <c r="H20" s="44">
        <v>1.8</v>
      </c>
      <c r="I20" s="58">
        <v>2</v>
      </c>
      <c r="J20" s="58">
        <v>2</v>
      </c>
      <c r="K20" s="44">
        <v>2.2000000000000002</v>
      </c>
      <c r="L20" s="45">
        <f t="shared" si="0"/>
        <v>1.8</v>
      </c>
      <c r="M20" s="45">
        <f>IF(AND(ISBLANK(H20),ISBLANK(I20),ISBLANK(K20),ISBLANK(#REF!)),,AVERAGE(H20:K20))</f>
        <v>2</v>
      </c>
      <c r="N20" s="45">
        <f t="shared" si="1"/>
        <v>2.2000000000000002</v>
      </c>
      <c r="O20" s="46">
        <f t="shared" si="9"/>
        <v>0.10000000000000009</v>
      </c>
      <c r="P20" s="47" t="str">
        <f>IF(O20&gt;基础信息!$F$3,"N","Y")</f>
        <v>Y</v>
      </c>
      <c r="Q20" s="43">
        <f>VLOOKUP(E20&amp;F20,基础信息!$D$11:$E$20,2,0)</f>
        <v>1</v>
      </c>
      <c r="R20" s="43">
        <f t="shared" si="10"/>
        <v>2</v>
      </c>
      <c r="S20" s="51">
        <v>0</v>
      </c>
      <c r="T20" s="43">
        <f t="shared" si="4"/>
        <v>0</v>
      </c>
      <c r="U20" s="43">
        <f t="shared" si="11"/>
        <v>2</v>
      </c>
      <c r="V20" s="49"/>
      <c r="W20" s="52"/>
    </row>
    <row r="21" spans="2:23" ht="24.75" customHeight="1">
      <c r="B21" s="163" t="s">
        <v>75</v>
      </c>
      <c r="C21" s="163"/>
      <c r="D21" s="42" t="s">
        <v>97</v>
      </c>
      <c r="E21" s="42">
        <f>COUNTIF(E5:E20,"高")</f>
        <v>0</v>
      </c>
      <c r="F21" s="113">
        <f t="shared" ref="F21" si="12">COUNTIF(F5:F20,"高")</f>
        <v>0</v>
      </c>
      <c r="G21" s="113">
        <f>COUNTIF(G5:G20,"是")</f>
        <v>0</v>
      </c>
      <c r="H21" s="207">
        <f>SUM(H5:H20)</f>
        <v>33.899999999999991</v>
      </c>
      <c r="I21" s="207">
        <f>SUM(I5:I20)</f>
        <v>34.300000000000004</v>
      </c>
      <c r="J21" s="207">
        <f>SUM(J5:J20)</f>
        <v>32.200000000000003</v>
      </c>
      <c r="K21" s="207">
        <f>SUM(K5:K20)</f>
        <v>33.799999999999997</v>
      </c>
      <c r="L21" s="207">
        <f t="shared" ref="L21:N21" si="13">SUM(L5:L20)</f>
        <v>31.000000000000004</v>
      </c>
      <c r="M21" s="207">
        <f t="shared" si="13"/>
        <v>33.549999999999997</v>
      </c>
      <c r="N21" s="207">
        <f t="shared" si="13"/>
        <v>37</v>
      </c>
      <c r="O21" s="207"/>
      <c r="P21" s="42">
        <f>COUNTIF(P5:P20,"Y")</f>
        <v>16</v>
      </c>
      <c r="Q21" s="42"/>
      <c r="R21" s="207">
        <f>SUM(R5:R20)</f>
        <v>33.549999999999997</v>
      </c>
      <c r="S21" s="208"/>
      <c r="T21" s="207">
        <f>SUM(T5:T20)</f>
        <v>0</v>
      </c>
      <c r="U21" s="207">
        <f>SUM(U5:U20)</f>
        <v>33.549999999999997</v>
      </c>
      <c r="V21" s="147"/>
    </row>
    <row r="22" spans="2:23" ht="18.75" customHeight="1">
      <c r="B22" s="163"/>
      <c r="C22" s="163"/>
      <c r="D22" s="42" t="s">
        <v>71</v>
      </c>
      <c r="E22" s="42">
        <f>COUNTIF(E5:E20,"中")</f>
        <v>16</v>
      </c>
      <c r="F22" s="113">
        <f t="shared" ref="F22" si="14">COUNTIF(F5:F20,"中")</f>
        <v>16</v>
      </c>
      <c r="G22" s="113">
        <f>COUNTIF(G5:G20,"否")</f>
        <v>16</v>
      </c>
      <c r="H22" s="207"/>
      <c r="I22" s="207"/>
      <c r="J22" s="207"/>
      <c r="K22" s="207"/>
      <c r="L22" s="207"/>
      <c r="M22" s="207"/>
      <c r="N22" s="207"/>
      <c r="O22" s="207"/>
      <c r="P22" s="42">
        <f>COUNTIF(P5:P20,"N")</f>
        <v>0</v>
      </c>
      <c r="Q22" s="42"/>
      <c r="R22" s="207"/>
      <c r="S22" s="209"/>
      <c r="T22" s="207"/>
      <c r="U22" s="207"/>
      <c r="V22" s="147"/>
    </row>
    <row r="23" spans="2:23" ht="19.5" customHeight="1">
      <c r="B23" s="163"/>
      <c r="C23" s="163"/>
      <c r="D23" s="42" t="s">
        <v>98</v>
      </c>
      <c r="E23" s="42">
        <f>COUNTIF(E5:E20,"低")</f>
        <v>0</v>
      </c>
      <c r="F23" s="113">
        <f>COUNTIF(F5:F20,"低")</f>
        <v>0</v>
      </c>
      <c r="G23" s="113"/>
      <c r="H23" s="207"/>
      <c r="I23" s="207"/>
      <c r="J23" s="207"/>
      <c r="K23" s="207"/>
      <c r="L23" s="207"/>
      <c r="M23" s="207"/>
      <c r="N23" s="207"/>
      <c r="O23" s="207"/>
      <c r="P23" s="42"/>
      <c r="Q23" s="42"/>
      <c r="R23" s="207"/>
      <c r="S23" s="210"/>
      <c r="T23" s="207"/>
      <c r="U23" s="207"/>
      <c r="V23" s="147"/>
    </row>
  </sheetData>
  <mergeCells count="33">
    <mergeCell ref="B21:C23"/>
    <mergeCell ref="T3:T4"/>
    <mergeCell ref="S3:S4"/>
    <mergeCell ref="O3:O4"/>
    <mergeCell ref="N3:N4"/>
    <mergeCell ref="L3:L4"/>
    <mergeCell ref="J21:J23"/>
    <mergeCell ref="R21:R23"/>
    <mergeCell ref="S21:S23"/>
    <mergeCell ref="T21:T23"/>
    <mergeCell ref="M21:M23"/>
    <mergeCell ref="N21:N23"/>
    <mergeCell ref="O21:O23"/>
    <mergeCell ref="H21:H23"/>
    <mergeCell ref="U21:U23"/>
    <mergeCell ref="I21:I23"/>
    <mergeCell ref="V21:V23"/>
    <mergeCell ref="L21:L23"/>
    <mergeCell ref="K21:K23"/>
    <mergeCell ref="B1:V1"/>
    <mergeCell ref="H3:K3"/>
    <mergeCell ref="B3:B4"/>
    <mergeCell ref="C3:C4"/>
    <mergeCell ref="D3:D4"/>
    <mergeCell ref="E3:E4"/>
    <mergeCell ref="F3:F4"/>
    <mergeCell ref="G3:G4"/>
    <mergeCell ref="M3:M4"/>
    <mergeCell ref="P3:P4"/>
    <mergeCell ref="Q3:Q4"/>
    <mergeCell ref="R3:R4"/>
    <mergeCell ref="V3:V4"/>
    <mergeCell ref="U3:U4"/>
  </mergeCells>
  <phoneticPr fontId="21" type="noConversion"/>
  <dataValidations count="4">
    <dataValidation type="list" allowBlank="1" showInputMessage="1" showErrorMessage="1" sqref="G5:G20">
      <formula1>是否复用</formula1>
    </dataValidation>
    <dataValidation allowBlank="1" showInputMessage="1" showErrorMessage="1" prompt="功能需求项内容=功能需求编号+功能需求内容描述_x000a__x000a_非功能需求项=非功能需求属性+内容描述" sqref="C5:D17"/>
    <dataValidation type="list" allowBlank="1" showInputMessage="1" showErrorMessage="1" sqref="E5:E20">
      <formula1>难易程度</formula1>
    </dataValidation>
    <dataValidation type="list" allowBlank="1" showInputMessage="1" showErrorMessage="1" sqref="F5:F20">
      <formula1>优先级</formula1>
    </dataValidation>
  </dataValidations>
  <pageMargins left="0.69930555555555596" right="0.69930555555555596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4"/>
  <sheetViews>
    <sheetView workbookViewId="0">
      <pane xSplit="11" ySplit="4" topLeftCell="L5" activePane="bottomRight" state="frozen"/>
      <selection pane="topRight"/>
      <selection pane="bottomLeft"/>
      <selection pane="bottomRight" activeCell="G13" sqref="G13"/>
    </sheetView>
  </sheetViews>
  <sheetFormatPr defaultColWidth="9" defaultRowHeight="13.5"/>
  <cols>
    <col min="1" max="1" width="1.875" style="33" customWidth="1"/>
    <col min="2" max="2" width="5.125" style="33" customWidth="1"/>
    <col min="3" max="3" width="16.375" style="33" customWidth="1"/>
    <col min="4" max="4" width="19.875" style="33" customWidth="1"/>
    <col min="5" max="7" width="9.75" style="33" customWidth="1"/>
    <col min="8" max="8" width="11.25" style="33" customWidth="1"/>
    <col min="9" max="10" width="11.875" style="33" customWidth="1"/>
    <col min="11" max="11" width="11.25" style="33" customWidth="1"/>
    <col min="12" max="12" width="9.75" style="33" customWidth="1"/>
    <col min="13" max="18" width="12.75" style="33" customWidth="1"/>
    <col min="19" max="20" width="9.75" style="33" customWidth="1"/>
    <col min="21" max="21" width="11.875" style="33" customWidth="1"/>
    <col min="22" max="22" width="30.375" style="33" customWidth="1"/>
    <col min="23" max="16384" width="9" style="33"/>
  </cols>
  <sheetData>
    <row r="1" spans="2:22" ht="34.5" customHeight="1">
      <c r="B1" s="197" t="s">
        <v>76</v>
      </c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</row>
    <row r="2" spans="2:22" ht="6" customHeight="1"/>
    <row r="3" spans="2:22" s="32" customFormat="1" ht="20.25">
      <c r="B3" s="139" t="s">
        <v>50</v>
      </c>
      <c r="C3" s="139" t="s">
        <v>51</v>
      </c>
      <c r="D3" s="139" t="s">
        <v>52</v>
      </c>
      <c r="E3" s="139" t="s">
        <v>53</v>
      </c>
      <c r="F3" s="139" t="s">
        <v>54</v>
      </c>
      <c r="G3" s="139" t="s">
        <v>55</v>
      </c>
      <c r="H3" s="139" t="s">
        <v>99</v>
      </c>
      <c r="I3" s="139"/>
      <c r="J3" s="139"/>
      <c r="K3" s="139"/>
      <c r="L3" s="139" t="s">
        <v>58</v>
      </c>
      <c r="M3" s="139" t="s">
        <v>59</v>
      </c>
      <c r="N3" s="139" t="s">
        <v>60</v>
      </c>
      <c r="O3" s="139" t="s">
        <v>61</v>
      </c>
      <c r="P3" s="139" t="s">
        <v>62</v>
      </c>
      <c r="Q3" s="139" t="s">
        <v>63</v>
      </c>
      <c r="R3" s="139" t="s">
        <v>64</v>
      </c>
      <c r="S3" s="139" t="s">
        <v>65</v>
      </c>
      <c r="T3" s="139" t="s">
        <v>66</v>
      </c>
      <c r="U3" s="139" t="s">
        <v>67</v>
      </c>
      <c r="V3" s="139" t="s">
        <v>8</v>
      </c>
    </row>
    <row r="4" spans="2:22" s="32" customFormat="1" ht="20.25" customHeight="1">
      <c r="B4" s="139"/>
      <c r="C4" s="139"/>
      <c r="D4" s="139"/>
      <c r="E4" s="139"/>
      <c r="F4" s="139"/>
      <c r="G4" s="139"/>
      <c r="H4" s="34" t="s">
        <v>68</v>
      </c>
      <c r="I4" s="34" t="s">
        <v>69</v>
      </c>
      <c r="J4" s="34" t="s">
        <v>70</v>
      </c>
      <c r="K4" s="34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</row>
    <row r="5" spans="2:22" ht="27" customHeight="1">
      <c r="B5" s="35">
        <v>1</v>
      </c>
      <c r="C5" s="211" t="s">
        <v>100</v>
      </c>
      <c r="D5" s="54" t="s">
        <v>101</v>
      </c>
      <c r="E5" s="38" t="s">
        <v>71</v>
      </c>
      <c r="F5" s="39" t="s">
        <v>71</v>
      </c>
      <c r="G5" s="40" t="s">
        <v>72</v>
      </c>
      <c r="H5" s="41">
        <v>2.2000000000000002</v>
      </c>
      <c r="I5" s="41">
        <v>2</v>
      </c>
      <c r="J5" s="41">
        <v>1.8</v>
      </c>
      <c r="K5" s="44"/>
      <c r="L5" s="45">
        <f>MIN(H5:K5)</f>
        <v>1.8</v>
      </c>
      <c r="M5" s="45">
        <f>IF(AND(ISBLANK(H5),ISBLANK(I5),ISBLANK(J5),ISBLANK(K5)),,AVERAGE(H5:K5))</f>
        <v>2</v>
      </c>
      <c r="N5" s="45">
        <f>MAX(H5:K5)</f>
        <v>2.2000000000000002</v>
      </c>
      <c r="O5" s="46">
        <f>IF(AND(ISNUMBER(M5),M5&lt;&gt;0),MAX(M5-L5,N5-M5)/M5,"")</f>
        <v>0.10000000000000009</v>
      </c>
      <c r="P5" s="47" t="str">
        <f>IF(O5&gt;基础信息!$F$3,"N","Y")</f>
        <v>Y</v>
      </c>
      <c r="Q5" s="47">
        <f>VLOOKUP(E5&amp;F5,基础信息!$D$11:$E$20,2,0)</f>
        <v>1</v>
      </c>
      <c r="R5" s="45">
        <f>M5*Q5</f>
        <v>2</v>
      </c>
      <c r="S5" s="48">
        <v>0</v>
      </c>
      <c r="T5" s="45">
        <f>IF(G5="是",R5*S5,0)</f>
        <v>0</v>
      </c>
      <c r="U5" s="45">
        <f>R5-T5</f>
        <v>2</v>
      </c>
      <c r="V5" s="49"/>
    </row>
    <row r="6" spans="2:22" ht="32.25" customHeight="1">
      <c r="B6" s="35">
        <v>2</v>
      </c>
      <c r="C6" s="212"/>
      <c r="D6" s="54" t="s">
        <v>102</v>
      </c>
      <c r="E6" s="38" t="s">
        <v>71</v>
      </c>
      <c r="F6" s="39" t="s">
        <v>71</v>
      </c>
      <c r="G6" s="40" t="s">
        <v>72</v>
      </c>
      <c r="H6" s="41">
        <v>1.2</v>
      </c>
      <c r="I6" s="41">
        <v>1</v>
      </c>
      <c r="J6" s="41">
        <v>0.8</v>
      </c>
      <c r="K6" s="44"/>
      <c r="L6" s="45">
        <f t="shared" ref="L6:L11" si="0">MIN(H6:K6)</f>
        <v>0.8</v>
      </c>
      <c r="M6" s="45">
        <f t="shared" ref="M6:M11" si="1">IF(AND(ISBLANK(H6),ISBLANK(I6),ISBLANK(J6),ISBLANK(K6)),,AVERAGE(H6:K6))</f>
        <v>1</v>
      </c>
      <c r="N6" s="45">
        <f t="shared" ref="N6:N11" si="2">MAX(H6:K6)</f>
        <v>1.2</v>
      </c>
      <c r="O6" s="46">
        <f t="shared" ref="O6:O11" si="3">IF(AND(ISNUMBER(M6),M6&lt;&gt;0),MAX(M6-L6,N6-M6)/M6,"")</f>
        <v>0.19999999999999996</v>
      </c>
      <c r="P6" s="47" t="str">
        <f>IF(O6&gt;基础信息!$F$3,"N","Y")</f>
        <v>Y</v>
      </c>
      <c r="Q6" s="47">
        <f>VLOOKUP(E6&amp;F6,基础信息!$D$11:$E$20,2,0)</f>
        <v>1</v>
      </c>
      <c r="R6" s="45">
        <f t="shared" ref="R6:R11" si="4">M6*Q6</f>
        <v>1</v>
      </c>
      <c r="S6" s="48">
        <v>0</v>
      </c>
      <c r="T6" s="45">
        <f t="shared" ref="T6:T11" si="5">IF(G6="是",R6*S6,0)</f>
        <v>0</v>
      </c>
      <c r="U6" s="45">
        <f t="shared" ref="U6:U11" si="6">R6-T6</f>
        <v>1</v>
      </c>
      <c r="V6" s="49"/>
    </row>
    <row r="7" spans="2:22" ht="27" customHeight="1">
      <c r="B7" s="35">
        <v>3</v>
      </c>
      <c r="C7" s="212"/>
      <c r="D7" s="54" t="s">
        <v>103</v>
      </c>
      <c r="E7" s="38" t="s">
        <v>71</v>
      </c>
      <c r="F7" s="39" t="s">
        <v>71</v>
      </c>
      <c r="G7" s="40" t="s">
        <v>104</v>
      </c>
      <c r="H7" s="41">
        <v>1.2</v>
      </c>
      <c r="I7" s="41">
        <v>1</v>
      </c>
      <c r="J7" s="41">
        <v>0.8</v>
      </c>
      <c r="K7" s="44"/>
      <c r="L7" s="45">
        <f t="shared" si="0"/>
        <v>0.8</v>
      </c>
      <c r="M7" s="45">
        <f t="shared" si="1"/>
        <v>1</v>
      </c>
      <c r="N7" s="45">
        <f t="shared" si="2"/>
        <v>1.2</v>
      </c>
      <c r="O7" s="46">
        <f t="shared" si="3"/>
        <v>0.19999999999999996</v>
      </c>
      <c r="P7" s="47" t="str">
        <f>IF(O7&gt;基础信息!$F$3,"N","Y")</f>
        <v>Y</v>
      </c>
      <c r="Q7" s="47">
        <f>VLOOKUP(E7&amp;F7,基础信息!$D$11:$E$20,2,0)</f>
        <v>1</v>
      </c>
      <c r="R7" s="45">
        <f t="shared" si="4"/>
        <v>1</v>
      </c>
      <c r="S7" s="48">
        <v>0</v>
      </c>
      <c r="T7" s="45">
        <f t="shared" si="5"/>
        <v>0</v>
      </c>
      <c r="U7" s="45">
        <f t="shared" si="6"/>
        <v>1</v>
      </c>
      <c r="V7" s="49"/>
    </row>
    <row r="8" spans="2:22" ht="27" customHeight="1">
      <c r="B8" s="35">
        <v>4</v>
      </c>
      <c r="C8" s="213"/>
      <c r="D8" s="55" t="s">
        <v>105</v>
      </c>
      <c r="E8" s="38" t="s">
        <v>71</v>
      </c>
      <c r="F8" s="39" t="s">
        <v>71</v>
      </c>
      <c r="G8" s="40" t="s">
        <v>72</v>
      </c>
      <c r="H8" s="41">
        <v>1.7</v>
      </c>
      <c r="I8" s="41">
        <v>1.5</v>
      </c>
      <c r="J8" s="41">
        <v>1.3</v>
      </c>
      <c r="K8" s="44"/>
      <c r="L8" s="45">
        <f t="shared" si="0"/>
        <v>1.3</v>
      </c>
      <c r="M8" s="45">
        <f t="shared" si="1"/>
        <v>1.5</v>
      </c>
      <c r="N8" s="45">
        <f t="shared" si="2"/>
        <v>1.7</v>
      </c>
      <c r="O8" s="46">
        <f t="shared" si="3"/>
        <v>0.1333333333333333</v>
      </c>
      <c r="P8" s="47" t="str">
        <f>IF(O8&gt;基础信息!$F$3,"N","Y")</f>
        <v>Y</v>
      </c>
      <c r="Q8" s="47">
        <f>VLOOKUP(E8&amp;F8,基础信息!$D$11:$E$20,2,0)</f>
        <v>1</v>
      </c>
      <c r="R8" s="45">
        <f t="shared" si="4"/>
        <v>1.5</v>
      </c>
      <c r="S8" s="48">
        <v>0</v>
      </c>
      <c r="T8" s="45">
        <f t="shared" si="5"/>
        <v>0</v>
      </c>
      <c r="U8" s="45">
        <f t="shared" si="6"/>
        <v>1.5</v>
      </c>
      <c r="V8" s="49"/>
    </row>
    <row r="9" spans="2:22" ht="43.5" customHeight="1">
      <c r="B9" s="35">
        <v>5</v>
      </c>
      <c r="C9" s="213"/>
      <c r="D9" s="55" t="s">
        <v>106</v>
      </c>
      <c r="E9" s="38" t="s">
        <v>71</v>
      </c>
      <c r="F9" s="39" t="s">
        <v>71</v>
      </c>
      <c r="G9" s="40" t="s">
        <v>72</v>
      </c>
      <c r="H9" s="41">
        <v>1.2</v>
      </c>
      <c r="I9" s="41">
        <v>1</v>
      </c>
      <c r="J9" s="41">
        <v>0.8</v>
      </c>
      <c r="K9" s="44"/>
      <c r="L9" s="45">
        <f t="shared" si="0"/>
        <v>0.8</v>
      </c>
      <c r="M9" s="45">
        <f t="shared" si="1"/>
        <v>1</v>
      </c>
      <c r="N9" s="45">
        <f t="shared" si="2"/>
        <v>1.2</v>
      </c>
      <c r="O9" s="46">
        <f t="shared" si="3"/>
        <v>0.19999999999999996</v>
      </c>
      <c r="P9" s="47" t="str">
        <f>IF(O9&gt;基础信息!$F$3,"N","Y")</f>
        <v>Y</v>
      </c>
      <c r="Q9" s="47">
        <f>VLOOKUP(E9&amp;F9,基础信息!$D$11:$E$20,2,0)</f>
        <v>1</v>
      </c>
      <c r="R9" s="45">
        <f t="shared" si="4"/>
        <v>1</v>
      </c>
      <c r="S9" s="48">
        <v>1</v>
      </c>
      <c r="T9" s="45">
        <f t="shared" si="5"/>
        <v>0</v>
      </c>
      <c r="U9" s="45">
        <f t="shared" si="6"/>
        <v>1</v>
      </c>
      <c r="V9" s="49"/>
    </row>
    <row r="10" spans="2:22" ht="32.25" customHeight="1">
      <c r="B10" s="35">
        <v>6</v>
      </c>
      <c r="C10" s="214"/>
      <c r="D10" s="55" t="s">
        <v>107</v>
      </c>
      <c r="E10" s="38" t="s">
        <v>71</v>
      </c>
      <c r="F10" s="39" t="s">
        <v>71</v>
      </c>
      <c r="G10" s="40" t="s">
        <v>72</v>
      </c>
      <c r="H10" s="41">
        <v>1.2</v>
      </c>
      <c r="I10" s="41">
        <v>1</v>
      </c>
      <c r="J10" s="41">
        <v>0.8</v>
      </c>
      <c r="K10" s="44"/>
      <c r="L10" s="45">
        <f t="shared" si="0"/>
        <v>0.8</v>
      </c>
      <c r="M10" s="45">
        <f t="shared" si="1"/>
        <v>1</v>
      </c>
      <c r="N10" s="45">
        <f t="shared" si="2"/>
        <v>1.2</v>
      </c>
      <c r="O10" s="46">
        <f t="shared" si="3"/>
        <v>0.19999999999999996</v>
      </c>
      <c r="P10" s="47" t="str">
        <f>IF(O10&gt;基础信息!$F$3,"N","Y")</f>
        <v>Y</v>
      </c>
      <c r="Q10" s="47">
        <f>VLOOKUP(E10&amp;F10,基础信息!$D$11:$E$20,2,0)</f>
        <v>1</v>
      </c>
      <c r="R10" s="45">
        <f t="shared" si="4"/>
        <v>1</v>
      </c>
      <c r="S10" s="48">
        <v>0</v>
      </c>
      <c r="T10" s="45">
        <f t="shared" si="5"/>
        <v>0</v>
      </c>
      <c r="U10" s="45">
        <f t="shared" si="6"/>
        <v>1</v>
      </c>
      <c r="V10" s="49"/>
    </row>
    <row r="11" spans="2:22" ht="33" customHeight="1">
      <c r="B11" s="35">
        <v>7</v>
      </c>
      <c r="C11" s="116" t="s">
        <v>108</v>
      </c>
      <c r="D11" s="55" t="s">
        <v>109</v>
      </c>
      <c r="E11" s="38" t="s">
        <v>71</v>
      </c>
      <c r="F11" s="39" t="s">
        <v>71</v>
      </c>
      <c r="G11" s="40" t="s">
        <v>72</v>
      </c>
      <c r="H11" s="41">
        <v>3.3</v>
      </c>
      <c r="I11" s="41">
        <v>3</v>
      </c>
      <c r="J11" s="41">
        <v>2.7</v>
      </c>
      <c r="K11" s="44"/>
      <c r="L11" s="45">
        <f t="shared" si="0"/>
        <v>2.7</v>
      </c>
      <c r="M11" s="45">
        <f t="shared" si="1"/>
        <v>3</v>
      </c>
      <c r="N11" s="45">
        <f t="shared" si="2"/>
        <v>3.3</v>
      </c>
      <c r="O11" s="46">
        <f t="shared" si="3"/>
        <v>9.9999999999999936E-2</v>
      </c>
      <c r="P11" s="47" t="str">
        <f>IF(O11&gt;基础信息!$F$3,"N","Y")</f>
        <v>Y</v>
      </c>
      <c r="Q11" s="47">
        <f>VLOOKUP(E11&amp;F11,基础信息!$D$11:$E$20,2,0)</f>
        <v>1</v>
      </c>
      <c r="R11" s="45">
        <f t="shared" si="4"/>
        <v>3</v>
      </c>
      <c r="S11" s="48">
        <v>0</v>
      </c>
      <c r="T11" s="45">
        <f t="shared" si="5"/>
        <v>0</v>
      </c>
      <c r="U11" s="45">
        <f t="shared" si="6"/>
        <v>3</v>
      </c>
      <c r="V11" s="49"/>
    </row>
    <row r="12" spans="2:22" ht="27" customHeight="1">
      <c r="B12" s="163" t="s">
        <v>75</v>
      </c>
      <c r="C12" s="163"/>
      <c r="D12" s="42" t="s">
        <v>97</v>
      </c>
      <c r="E12" s="42">
        <f>COUNTIF(E5:E11,"高")</f>
        <v>0</v>
      </c>
      <c r="F12" s="42">
        <f>COUNTIF(F5:F11,"高")</f>
        <v>0</v>
      </c>
      <c r="G12" s="42">
        <f>COUNTIF(G5:G11,"是")</f>
        <v>1</v>
      </c>
      <c r="H12" s="207">
        <f t="shared" ref="H12:N12" si="7">SUM(H5:H11)</f>
        <v>12</v>
      </c>
      <c r="I12" s="207">
        <f t="shared" si="7"/>
        <v>10.5</v>
      </c>
      <c r="J12" s="207">
        <f t="shared" si="7"/>
        <v>9</v>
      </c>
      <c r="K12" s="207">
        <f t="shared" si="7"/>
        <v>0</v>
      </c>
      <c r="L12" s="207">
        <f t="shared" si="7"/>
        <v>9</v>
      </c>
      <c r="M12" s="207">
        <f t="shared" si="7"/>
        <v>10.5</v>
      </c>
      <c r="N12" s="207">
        <f t="shared" si="7"/>
        <v>12</v>
      </c>
      <c r="O12" s="207"/>
      <c r="P12" s="42">
        <f>COUNTIF(P5:P11,"Y")</f>
        <v>7</v>
      </c>
      <c r="Q12" s="207"/>
      <c r="R12" s="207">
        <f>SUM(R5:R11)</f>
        <v>10.5</v>
      </c>
      <c r="S12" s="201"/>
      <c r="T12" s="207">
        <f>SUM(T5:T11)</f>
        <v>0</v>
      </c>
      <c r="U12" s="207">
        <f>SUM(U5:U11)</f>
        <v>10.5</v>
      </c>
      <c r="V12" s="178"/>
    </row>
    <row r="13" spans="2:22" ht="27" customHeight="1">
      <c r="B13" s="163"/>
      <c r="C13" s="163"/>
      <c r="D13" s="42" t="s">
        <v>71</v>
      </c>
      <c r="E13" s="42">
        <f>COUNTIF(E5:E11,"中")</f>
        <v>7</v>
      </c>
      <c r="F13" s="42">
        <f>COUNTIF(F5:F11,"中")</f>
        <v>7</v>
      </c>
      <c r="G13" s="42">
        <f>COUNTIF(G5:G11,"否")</f>
        <v>6</v>
      </c>
      <c r="H13" s="207"/>
      <c r="I13" s="207"/>
      <c r="J13" s="207"/>
      <c r="K13" s="207"/>
      <c r="L13" s="207"/>
      <c r="M13" s="207"/>
      <c r="N13" s="207"/>
      <c r="O13" s="207"/>
      <c r="P13" s="42">
        <f>COUNTIF(P5:P11,"N")</f>
        <v>0</v>
      </c>
      <c r="Q13" s="207"/>
      <c r="R13" s="207"/>
      <c r="S13" s="202"/>
      <c r="T13" s="207"/>
      <c r="U13" s="207"/>
      <c r="V13" s="178"/>
    </row>
    <row r="14" spans="2:22" ht="27" customHeight="1">
      <c r="B14" s="163"/>
      <c r="C14" s="163"/>
      <c r="D14" s="42" t="s">
        <v>98</v>
      </c>
      <c r="E14" s="42">
        <f>COUNTIF(E5:E11,"低")</f>
        <v>0</v>
      </c>
      <c r="F14" s="42">
        <f>COUNTIF(F5:F11,"低")</f>
        <v>0</v>
      </c>
      <c r="G14" s="42"/>
      <c r="H14" s="207"/>
      <c r="I14" s="207"/>
      <c r="J14" s="207"/>
      <c r="K14" s="207"/>
      <c r="L14" s="207"/>
      <c r="M14" s="207"/>
      <c r="N14" s="207"/>
      <c r="O14" s="207"/>
      <c r="P14" s="42"/>
      <c r="Q14" s="207"/>
      <c r="R14" s="207"/>
      <c r="S14" s="203"/>
      <c r="T14" s="207"/>
      <c r="U14" s="207"/>
      <c r="V14" s="178"/>
    </row>
  </sheetData>
  <mergeCells count="35">
    <mergeCell ref="M12:M14"/>
    <mergeCell ref="N3:N4"/>
    <mergeCell ref="N12:N14"/>
    <mergeCell ref="O3:O4"/>
    <mergeCell ref="O12:O14"/>
    <mergeCell ref="Q12:Q14"/>
    <mergeCell ref="R3:R4"/>
    <mergeCell ref="R12:R14"/>
    <mergeCell ref="S3:S4"/>
    <mergeCell ref="S12:S14"/>
    <mergeCell ref="B1:V1"/>
    <mergeCell ref="H3:K3"/>
    <mergeCell ref="B3:B4"/>
    <mergeCell ref="C3:C4"/>
    <mergeCell ref="H12:H14"/>
    <mergeCell ref="I12:I14"/>
    <mergeCell ref="J12:J14"/>
    <mergeCell ref="K12:K14"/>
    <mergeCell ref="L3:L4"/>
    <mergeCell ref="L12:L14"/>
    <mergeCell ref="B12:C14"/>
    <mergeCell ref="T12:T14"/>
    <mergeCell ref="U3:U4"/>
    <mergeCell ref="U12:U14"/>
    <mergeCell ref="V3:V4"/>
    <mergeCell ref="V12:V14"/>
    <mergeCell ref="C5:C10"/>
    <mergeCell ref="M3:M4"/>
    <mergeCell ref="P3:P4"/>
    <mergeCell ref="Q3:Q4"/>
    <mergeCell ref="T3:T4"/>
    <mergeCell ref="D3:D4"/>
    <mergeCell ref="E3:E4"/>
    <mergeCell ref="F3:F4"/>
    <mergeCell ref="G3:G4"/>
  </mergeCells>
  <phoneticPr fontId="21" type="noConversion"/>
  <dataValidations count="4">
    <dataValidation type="list" allowBlank="1" showInputMessage="1" showErrorMessage="1" sqref="G5:G11">
      <formula1>是否复用</formula1>
    </dataValidation>
    <dataValidation allowBlank="1" showInputMessage="1" showErrorMessage="1" prompt="功能需求项内容=功能需求编号+功能需求内容描述_x000a__x000a_非功能需求项=非功能需求属性+内容描述" sqref="C5"/>
    <dataValidation type="list" allowBlank="1" showInputMessage="1" showErrorMessage="1" sqref="E5:E11">
      <formula1>难易程度</formula1>
    </dataValidation>
    <dataValidation type="list" allowBlank="1" showInputMessage="1" showErrorMessage="1" sqref="F5:F11">
      <formula1>优先级</formula1>
    </dataValidation>
  </dataValidations>
  <pageMargins left="0.69930555555555596" right="0.69930555555555596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3"/>
  <sheetViews>
    <sheetView workbookViewId="0">
      <pane xSplit="11" ySplit="4" topLeftCell="R5" activePane="bottomRight" state="frozen"/>
      <selection pane="topRight"/>
      <selection pane="bottomLeft"/>
      <selection pane="bottomRight" activeCell="F23" sqref="F23"/>
    </sheetView>
  </sheetViews>
  <sheetFormatPr defaultColWidth="9" defaultRowHeight="13.5"/>
  <cols>
    <col min="1" max="1" width="1.875" style="33" customWidth="1"/>
    <col min="2" max="2" width="5.125" style="33" customWidth="1"/>
    <col min="3" max="3" width="16.375" style="33" customWidth="1"/>
    <col min="4" max="4" width="19.875" style="33" customWidth="1"/>
    <col min="5" max="7" width="9.75" style="33" customWidth="1"/>
    <col min="8" max="8" width="11.25" style="33" customWidth="1"/>
    <col min="9" max="10" width="11.875" style="33" customWidth="1"/>
    <col min="11" max="11" width="12.375" style="33" customWidth="1"/>
    <col min="12" max="12" width="9.75" style="33" customWidth="1"/>
    <col min="13" max="18" width="12.75" style="33" customWidth="1"/>
    <col min="19" max="20" width="9.75" style="33" customWidth="1"/>
    <col min="21" max="21" width="11.875" style="33" customWidth="1"/>
    <col min="22" max="22" width="30.375" style="33" customWidth="1"/>
    <col min="23" max="16384" width="9" style="33"/>
  </cols>
  <sheetData>
    <row r="1" spans="2:23" ht="34.5" customHeight="1">
      <c r="B1" s="197" t="s">
        <v>76</v>
      </c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</row>
    <row r="2" spans="2:23" ht="6" customHeight="1"/>
    <row r="3" spans="2:23" s="32" customFormat="1" ht="20.25">
      <c r="B3" s="139" t="s">
        <v>50</v>
      </c>
      <c r="C3" s="139" t="s">
        <v>51</v>
      </c>
      <c r="D3" s="139" t="s">
        <v>52</v>
      </c>
      <c r="E3" s="139" t="s">
        <v>53</v>
      </c>
      <c r="F3" s="139" t="s">
        <v>54</v>
      </c>
      <c r="G3" s="139" t="s">
        <v>55</v>
      </c>
      <c r="H3" s="139" t="s">
        <v>110</v>
      </c>
      <c r="I3" s="139"/>
      <c r="J3" s="139"/>
      <c r="K3" s="139"/>
      <c r="L3" s="139" t="s">
        <v>58</v>
      </c>
      <c r="M3" s="139" t="s">
        <v>59</v>
      </c>
      <c r="N3" s="139" t="s">
        <v>60</v>
      </c>
      <c r="O3" s="139" t="s">
        <v>61</v>
      </c>
      <c r="P3" s="139" t="s">
        <v>62</v>
      </c>
      <c r="Q3" s="139" t="s">
        <v>63</v>
      </c>
      <c r="R3" s="139" t="s">
        <v>64</v>
      </c>
      <c r="S3" s="139" t="s">
        <v>65</v>
      </c>
      <c r="T3" s="139" t="s">
        <v>66</v>
      </c>
      <c r="U3" s="139" t="s">
        <v>67</v>
      </c>
      <c r="V3" s="139" t="s">
        <v>8</v>
      </c>
    </row>
    <row r="4" spans="2:23" s="32" customFormat="1" ht="20.25" customHeight="1">
      <c r="B4" s="139"/>
      <c r="C4" s="139"/>
      <c r="D4" s="139"/>
      <c r="E4" s="139"/>
      <c r="F4" s="139"/>
      <c r="G4" s="139"/>
      <c r="H4" s="34" t="s">
        <v>70</v>
      </c>
      <c r="I4" s="34" t="s">
        <v>69</v>
      </c>
      <c r="J4" s="34" t="s">
        <v>68</v>
      </c>
      <c r="K4" s="34" t="s">
        <v>111</v>
      </c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</row>
    <row r="5" spans="2:23" ht="27" customHeight="1">
      <c r="B5" s="35">
        <v>1</v>
      </c>
      <c r="C5" s="211" t="s">
        <v>112</v>
      </c>
      <c r="D5" s="37" t="s">
        <v>113</v>
      </c>
      <c r="E5" s="38" t="s">
        <v>71</v>
      </c>
      <c r="F5" s="39" t="s">
        <v>71</v>
      </c>
      <c r="G5" s="40" t="s">
        <v>72</v>
      </c>
      <c r="H5" s="41">
        <v>1.2</v>
      </c>
      <c r="I5" s="41">
        <v>1</v>
      </c>
      <c r="J5" s="41">
        <v>0.8</v>
      </c>
      <c r="K5" s="44"/>
      <c r="L5" s="45">
        <f>MIN(H5:K5)</f>
        <v>0.8</v>
      </c>
      <c r="M5" s="45">
        <f>IF(AND(ISBLANK(H5),ISBLANK(I5),ISBLANK(J5),ISBLANK(K5)),,AVERAGE(H5:K5))</f>
        <v>1</v>
      </c>
      <c r="N5" s="45">
        <f>MAX(H5:K5)</f>
        <v>1.2</v>
      </c>
      <c r="O5" s="46">
        <f>IF(AND(ISNUMBER(M5),M5&lt;&gt;0),MAX(M5-L5,N5-M5)/M5,"")</f>
        <v>0.19999999999999996</v>
      </c>
      <c r="P5" s="47" t="str">
        <f>IF(O5&gt;基础信息!$F$3,"N","Y")</f>
        <v>Y</v>
      </c>
      <c r="Q5" s="43">
        <f>VLOOKUP(E5&amp;F5,基础信息!$D$11:$E$20,2,0)</f>
        <v>1</v>
      </c>
      <c r="R5" s="43">
        <f>M5*Q5</f>
        <v>1</v>
      </c>
      <c r="S5" s="51">
        <v>0.6</v>
      </c>
      <c r="T5" s="43">
        <f>IF(G5="是",R5*S5,0)</f>
        <v>0</v>
      </c>
      <c r="U5" s="43">
        <f>R5-T5</f>
        <v>1</v>
      </c>
      <c r="V5" s="49"/>
      <c r="W5" s="52"/>
    </row>
    <row r="6" spans="2:23" ht="27" customHeight="1">
      <c r="B6" s="35">
        <v>2</v>
      </c>
      <c r="C6" s="212"/>
      <c r="D6" s="37" t="s">
        <v>114</v>
      </c>
      <c r="E6" s="38" t="s">
        <v>71</v>
      </c>
      <c r="F6" s="39" t="s">
        <v>71</v>
      </c>
      <c r="G6" s="40" t="s">
        <v>72</v>
      </c>
      <c r="H6" s="41">
        <v>1.2</v>
      </c>
      <c r="I6" s="41">
        <v>1</v>
      </c>
      <c r="J6" s="41">
        <v>0.8</v>
      </c>
      <c r="K6" s="44"/>
      <c r="L6" s="45">
        <f t="shared" ref="L6:L10" si="0">MIN(H6:K6)</f>
        <v>0.8</v>
      </c>
      <c r="M6" s="45">
        <f t="shared" ref="M6:M10" si="1">IF(AND(ISBLANK(H6),ISBLANK(I6),ISBLANK(J6),ISBLANK(K6)),,AVERAGE(H6:K6))</f>
        <v>1</v>
      </c>
      <c r="N6" s="45">
        <f t="shared" ref="N6:N10" si="2">MAX(H6:K6)</f>
        <v>1.2</v>
      </c>
      <c r="O6" s="46">
        <f t="shared" ref="O6:O10" si="3">IF(AND(ISNUMBER(M6),M6&lt;&gt;0),MAX(M6-L6,N6-M6)/M6,"")</f>
        <v>0.19999999999999996</v>
      </c>
      <c r="P6" s="47" t="str">
        <f>IF(O6&gt;基础信息!$F$3,"N","Y")</f>
        <v>Y</v>
      </c>
      <c r="Q6" s="43">
        <f>VLOOKUP(E6&amp;F6,基础信息!$D$11:$E$20,2,0)</f>
        <v>1</v>
      </c>
      <c r="R6" s="43">
        <f t="shared" ref="R6:R10" si="4">M6*Q6</f>
        <v>1</v>
      </c>
      <c r="S6" s="51">
        <v>0.6</v>
      </c>
      <c r="T6" s="43">
        <f t="shared" ref="T6:T10" si="5">IF(G6="是",R6*S6,0)</f>
        <v>0</v>
      </c>
      <c r="U6" s="43">
        <f t="shared" ref="U6:U10" si="6">R6-T6</f>
        <v>1</v>
      </c>
      <c r="V6" s="49"/>
      <c r="W6" s="52"/>
    </row>
    <row r="7" spans="2:23" ht="27" customHeight="1">
      <c r="B7" s="35">
        <v>3</v>
      </c>
      <c r="C7" s="212"/>
      <c r="D7" s="37" t="s">
        <v>105</v>
      </c>
      <c r="E7" s="38" t="s">
        <v>71</v>
      </c>
      <c r="F7" s="39" t="s">
        <v>71</v>
      </c>
      <c r="G7" s="40" t="s">
        <v>72</v>
      </c>
      <c r="H7" s="41">
        <v>1.2</v>
      </c>
      <c r="I7" s="41">
        <v>1</v>
      </c>
      <c r="J7" s="41">
        <v>0.8</v>
      </c>
      <c r="K7" s="44"/>
      <c r="L7" s="45">
        <f t="shared" si="0"/>
        <v>0.8</v>
      </c>
      <c r="M7" s="45">
        <f t="shared" si="1"/>
        <v>1</v>
      </c>
      <c r="N7" s="45">
        <f t="shared" si="2"/>
        <v>1.2</v>
      </c>
      <c r="O7" s="46">
        <f t="shared" si="3"/>
        <v>0.19999999999999996</v>
      </c>
      <c r="P7" s="47" t="str">
        <f>IF(O7&gt;基础信息!$F$3,"N","Y")</f>
        <v>Y</v>
      </c>
      <c r="Q7" s="43">
        <f>VLOOKUP(E7&amp;F7,基础信息!$D$11:$E$20,2,0)</f>
        <v>1</v>
      </c>
      <c r="R7" s="43">
        <f t="shared" si="4"/>
        <v>1</v>
      </c>
      <c r="S7" s="51">
        <v>0.6</v>
      </c>
      <c r="T7" s="43">
        <f t="shared" si="5"/>
        <v>0</v>
      </c>
      <c r="U7" s="43">
        <f t="shared" si="6"/>
        <v>1</v>
      </c>
      <c r="V7" s="49"/>
      <c r="W7" s="52"/>
    </row>
    <row r="8" spans="2:23" ht="27" customHeight="1">
      <c r="B8" s="35">
        <v>4</v>
      </c>
      <c r="C8" s="212"/>
      <c r="D8" s="37" t="s">
        <v>106</v>
      </c>
      <c r="E8" s="38" t="s">
        <v>71</v>
      </c>
      <c r="F8" s="39" t="s">
        <v>71</v>
      </c>
      <c r="G8" s="40" t="s">
        <v>72</v>
      </c>
      <c r="H8" s="41">
        <v>1.2</v>
      </c>
      <c r="I8" s="41">
        <v>1</v>
      </c>
      <c r="J8" s="41">
        <v>0.8</v>
      </c>
      <c r="K8" s="44"/>
      <c r="L8" s="45">
        <f t="shared" si="0"/>
        <v>0.8</v>
      </c>
      <c r="M8" s="45">
        <f t="shared" si="1"/>
        <v>1</v>
      </c>
      <c r="N8" s="45">
        <f t="shared" si="2"/>
        <v>1.2</v>
      </c>
      <c r="O8" s="46">
        <f t="shared" si="3"/>
        <v>0.19999999999999996</v>
      </c>
      <c r="P8" s="47" t="str">
        <f>IF(O8&gt;基础信息!$F$3,"N","Y")</f>
        <v>Y</v>
      </c>
      <c r="Q8" s="43">
        <f>VLOOKUP(E8&amp;F8,基础信息!$D$11:$E$20,2,0)</f>
        <v>1</v>
      </c>
      <c r="R8" s="43">
        <f t="shared" si="4"/>
        <v>1</v>
      </c>
      <c r="S8" s="51">
        <v>0.6</v>
      </c>
      <c r="T8" s="43">
        <f t="shared" si="5"/>
        <v>0</v>
      </c>
      <c r="U8" s="43">
        <f t="shared" si="6"/>
        <v>1</v>
      </c>
      <c r="V8" s="49"/>
      <c r="W8" s="52"/>
    </row>
    <row r="9" spans="2:23" ht="27" customHeight="1">
      <c r="B9" s="35">
        <v>5</v>
      </c>
      <c r="C9" s="212"/>
      <c r="D9" s="50" t="s">
        <v>107</v>
      </c>
      <c r="E9" s="38" t="s">
        <v>71</v>
      </c>
      <c r="F9" s="39" t="s">
        <v>71</v>
      </c>
      <c r="G9" s="40" t="s">
        <v>72</v>
      </c>
      <c r="H9" s="41">
        <v>1.2</v>
      </c>
      <c r="I9" s="41">
        <v>1</v>
      </c>
      <c r="J9" s="41">
        <v>0.8</v>
      </c>
      <c r="K9" s="44"/>
      <c r="L9" s="45">
        <f t="shared" si="0"/>
        <v>0.8</v>
      </c>
      <c r="M9" s="45">
        <f t="shared" si="1"/>
        <v>1</v>
      </c>
      <c r="N9" s="45">
        <f t="shared" si="2"/>
        <v>1.2</v>
      </c>
      <c r="O9" s="46">
        <f t="shared" si="3"/>
        <v>0.19999999999999996</v>
      </c>
      <c r="P9" s="47" t="str">
        <f>IF(O9&gt;基础信息!$F$3,"N","Y")</f>
        <v>Y</v>
      </c>
      <c r="Q9" s="43">
        <f>VLOOKUP(E9&amp;F9,基础信息!$D$11:$E$20,2,0)</f>
        <v>1</v>
      </c>
      <c r="R9" s="43">
        <f t="shared" si="4"/>
        <v>1</v>
      </c>
      <c r="S9" s="51">
        <v>0.6</v>
      </c>
      <c r="T9" s="43">
        <f t="shared" si="5"/>
        <v>0</v>
      </c>
      <c r="U9" s="43">
        <f t="shared" si="6"/>
        <v>1</v>
      </c>
      <c r="V9" s="49"/>
      <c r="W9" s="52"/>
    </row>
    <row r="10" spans="2:23" ht="27" customHeight="1">
      <c r="B10" s="35">
        <v>8</v>
      </c>
      <c r="C10" s="215"/>
      <c r="D10" s="37" t="s">
        <v>102</v>
      </c>
      <c r="E10" s="38" t="s">
        <v>71</v>
      </c>
      <c r="F10" s="39" t="s">
        <v>71</v>
      </c>
      <c r="G10" s="40" t="s">
        <v>72</v>
      </c>
      <c r="H10" s="41">
        <v>1.2</v>
      </c>
      <c r="I10" s="41">
        <v>1</v>
      </c>
      <c r="J10" s="41">
        <v>0.8</v>
      </c>
      <c r="K10" s="44"/>
      <c r="L10" s="45">
        <f t="shared" si="0"/>
        <v>0.8</v>
      </c>
      <c r="M10" s="45">
        <f t="shared" si="1"/>
        <v>1</v>
      </c>
      <c r="N10" s="45">
        <f t="shared" si="2"/>
        <v>1.2</v>
      </c>
      <c r="O10" s="46">
        <f t="shared" si="3"/>
        <v>0.19999999999999996</v>
      </c>
      <c r="P10" s="47" t="str">
        <f>IF(O10&gt;基础信息!$F$3,"N","Y")</f>
        <v>Y</v>
      </c>
      <c r="Q10" s="43">
        <f>VLOOKUP(E10&amp;F10,基础信息!$D$11:$E$20,2,0)</f>
        <v>1</v>
      </c>
      <c r="R10" s="43">
        <f t="shared" si="4"/>
        <v>1</v>
      </c>
      <c r="S10" s="51">
        <v>0</v>
      </c>
      <c r="T10" s="43">
        <f t="shared" si="5"/>
        <v>0</v>
      </c>
      <c r="U10" s="43">
        <f t="shared" si="6"/>
        <v>1</v>
      </c>
      <c r="V10" s="49"/>
      <c r="W10" s="52"/>
    </row>
    <row r="11" spans="2:23">
      <c r="B11" s="163" t="s">
        <v>75</v>
      </c>
      <c r="C11" s="163"/>
      <c r="D11" s="42" t="s">
        <v>97</v>
      </c>
      <c r="E11" s="42">
        <f>COUNTIF(E5:E10,"高")</f>
        <v>0</v>
      </c>
      <c r="F11" s="42">
        <f>COUNTIF(F5:F10,"高")</f>
        <v>0</v>
      </c>
      <c r="G11" s="42">
        <f>COUNTIF(G5:G10,"是")</f>
        <v>0</v>
      </c>
      <c r="H11" s="207">
        <f t="shared" ref="H11:N11" si="7">SUM(H5:H10)</f>
        <v>7.2</v>
      </c>
      <c r="I11" s="207">
        <f t="shared" si="7"/>
        <v>6</v>
      </c>
      <c r="J11" s="207">
        <f t="shared" si="7"/>
        <v>4.8</v>
      </c>
      <c r="K11" s="207">
        <f t="shared" si="7"/>
        <v>0</v>
      </c>
      <c r="L11" s="207">
        <f t="shared" si="7"/>
        <v>4.8</v>
      </c>
      <c r="M11" s="207">
        <f t="shared" si="7"/>
        <v>6</v>
      </c>
      <c r="N11" s="207">
        <f t="shared" si="7"/>
        <v>7.2</v>
      </c>
      <c r="O11" s="207"/>
      <c r="P11" s="42">
        <f>COUNTIF(P5:P10,"Y")</f>
        <v>6</v>
      </c>
      <c r="Q11" s="42"/>
      <c r="R11" s="207">
        <f>SUM(R5:R10)</f>
        <v>6</v>
      </c>
      <c r="S11" s="208"/>
      <c r="T11" s="207">
        <f>SUM(T5:T10)</f>
        <v>0</v>
      </c>
      <c r="U11" s="207">
        <f>SUM(U5:U10)</f>
        <v>6</v>
      </c>
      <c r="V11" s="147"/>
    </row>
    <row r="12" spans="2:23">
      <c r="B12" s="163"/>
      <c r="C12" s="163"/>
      <c r="D12" s="42" t="s">
        <v>71</v>
      </c>
      <c r="E12" s="42">
        <f>COUNTIF(E5:E10,"中")</f>
        <v>6</v>
      </c>
      <c r="F12" s="42">
        <f>COUNTIF(F5:F10,"中")</f>
        <v>6</v>
      </c>
      <c r="G12" s="42">
        <f>COUNTIF(G5:G10,"否")</f>
        <v>6</v>
      </c>
      <c r="H12" s="207"/>
      <c r="I12" s="207"/>
      <c r="J12" s="207"/>
      <c r="K12" s="207"/>
      <c r="L12" s="207"/>
      <c r="M12" s="207"/>
      <c r="N12" s="207"/>
      <c r="O12" s="207"/>
      <c r="P12" s="42">
        <f>COUNTIF(P5:P10,"N")</f>
        <v>0</v>
      </c>
      <c r="Q12" s="42"/>
      <c r="R12" s="207"/>
      <c r="S12" s="209"/>
      <c r="T12" s="207"/>
      <c r="U12" s="207"/>
      <c r="V12" s="147"/>
    </row>
    <row r="13" spans="2:23">
      <c r="B13" s="163"/>
      <c r="C13" s="163"/>
      <c r="D13" s="42" t="s">
        <v>98</v>
      </c>
      <c r="E13" s="42">
        <f>COUNTIF(E5:E10,"低")</f>
        <v>0</v>
      </c>
      <c r="F13" s="42">
        <f>COUNTIF(F5:F10,"低")</f>
        <v>0</v>
      </c>
      <c r="G13" s="42"/>
      <c r="H13" s="207"/>
      <c r="I13" s="207"/>
      <c r="J13" s="207"/>
      <c r="K13" s="207"/>
      <c r="L13" s="207"/>
      <c r="M13" s="207"/>
      <c r="N13" s="207"/>
      <c r="O13" s="207"/>
      <c r="P13" s="42"/>
      <c r="Q13" s="42"/>
      <c r="R13" s="207"/>
      <c r="S13" s="210"/>
      <c r="T13" s="207"/>
      <c r="U13" s="207"/>
      <c r="V13" s="147"/>
    </row>
  </sheetData>
  <autoFilter ref="B3:V13"/>
  <mergeCells count="34">
    <mergeCell ref="L11:L13"/>
    <mergeCell ref="V3:V4"/>
    <mergeCell ref="R3:R4"/>
    <mergeCell ref="V11:V13"/>
    <mergeCell ref="U11:U13"/>
    <mergeCell ref="U3:U4"/>
    <mergeCell ref="B11:C13"/>
    <mergeCell ref="R11:R13"/>
    <mergeCell ref="S3:S4"/>
    <mergeCell ref="S11:S13"/>
    <mergeCell ref="T3:T4"/>
    <mergeCell ref="T11:T13"/>
    <mergeCell ref="M11:M13"/>
    <mergeCell ref="N3:N4"/>
    <mergeCell ref="N11:N13"/>
    <mergeCell ref="O3:O4"/>
    <mergeCell ref="O11:O13"/>
    <mergeCell ref="H11:H13"/>
    <mergeCell ref="L3:L4"/>
    <mergeCell ref="J11:J13"/>
    <mergeCell ref="K11:K13"/>
    <mergeCell ref="I11:I13"/>
    <mergeCell ref="B1:V1"/>
    <mergeCell ref="H3:K3"/>
    <mergeCell ref="B3:B4"/>
    <mergeCell ref="C3:C4"/>
    <mergeCell ref="C5:C10"/>
    <mergeCell ref="D3:D4"/>
    <mergeCell ref="E3:E4"/>
    <mergeCell ref="F3:F4"/>
    <mergeCell ref="G3:G4"/>
    <mergeCell ref="M3:M4"/>
    <mergeCell ref="P3:P4"/>
    <mergeCell ref="Q3:Q4"/>
  </mergeCells>
  <phoneticPr fontId="21" type="noConversion"/>
  <dataValidations count="3">
    <dataValidation type="list" allowBlank="1" showInputMessage="1" showErrorMessage="1" sqref="E5:E10">
      <formula1>难易程度</formula1>
    </dataValidation>
    <dataValidation type="list" allowBlank="1" showInputMessage="1" showErrorMessage="1" sqref="F5:F10">
      <formula1>优先级</formula1>
    </dataValidation>
    <dataValidation type="list" allowBlank="1" showInputMessage="1" showErrorMessage="1" sqref="G5:G10">
      <formula1>是否复用</formula1>
    </dataValidation>
  </dataValidations>
  <pageMargins left="0.69930555555555596" right="0.69930555555555596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0"/>
  <sheetViews>
    <sheetView workbookViewId="0">
      <pane xSplit="11" ySplit="4" topLeftCell="S5" activePane="bottomRight" state="frozen"/>
      <selection pane="topRight"/>
      <selection pane="bottomLeft"/>
      <selection pane="bottomRight" activeCell="T8" sqref="T8:T10"/>
    </sheetView>
  </sheetViews>
  <sheetFormatPr defaultColWidth="9" defaultRowHeight="13.5"/>
  <cols>
    <col min="1" max="1" width="1.875" style="33" customWidth="1"/>
    <col min="2" max="2" width="5.125" style="33" customWidth="1"/>
    <col min="3" max="3" width="16.375" style="33" customWidth="1"/>
    <col min="4" max="4" width="19.875" style="33" customWidth="1"/>
    <col min="5" max="7" width="9.75" style="33" customWidth="1"/>
    <col min="8" max="8" width="11.25" style="33" customWidth="1"/>
    <col min="9" max="10" width="11.875" style="33" customWidth="1"/>
    <col min="11" max="11" width="11.25" style="33" customWidth="1"/>
    <col min="12" max="12" width="9.75" style="33" customWidth="1"/>
    <col min="13" max="18" width="12.75" style="33" customWidth="1"/>
    <col min="19" max="20" width="9.75" style="33" customWidth="1"/>
    <col min="21" max="21" width="11.875" style="33" customWidth="1"/>
    <col min="22" max="22" width="30.375" style="33" customWidth="1"/>
    <col min="23" max="16384" width="9" style="33"/>
  </cols>
  <sheetData>
    <row r="1" spans="2:22" ht="34.5" customHeight="1">
      <c r="B1" s="197" t="s">
        <v>76</v>
      </c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</row>
    <row r="2" spans="2:22" ht="6" customHeight="1"/>
    <row r="3" spans="2:22" s="32" customFormat="1" ht="20.25">
      <c r="B3" s="139" t="s">
        <v>50</v>
      </c>
      <c r="C3" s="139" t="s">
        <v>51</v>
      </c>
      <c r="D3" s="139" t="s">
        <v>52</v>
      </c>
      <c r="E3" s="139" t="s">
        <v>53</v>
      </c>
      <c r="F3" s="139" t="s">
        <v>54</v>
      </c>
      <c r="G3" s="139" t="s">
        <v>55</v>
      </c>
      <c r="H3" s="139" t="s">
        <v>115</v>
      </c>
      <c r="I3" s="139"/>
      <c r="J3" s="139"/>
      <c r="K3" s="139"/>
      <c r="L3" s="139" t="s">
        <v>58</v>
      </c>
      <c r="M3" s="139" t="s">
        <v>59</v>
      </c>
      <c r="N3" s="139" t="s">
        <v>60</v>
      </c>
      <c r="O3" s="139" t="s">
        <v>61</v>
      </c>
      <c r="P3" s="139" t="s">
        <v>62</v>
      </c>
      <c r="Q3" s="139" t="s">
        <v>63</v>
      </c>
      <c r="R3" s="139" t="s">
        <v>64</v>
      </c>
      <c r="S3" s="139" t="s">
        <v>65</v>
      </c>
      <c r="T3" s="139" t="s">
        <v>66</v>
      </c>
      <c r="U3" s="139" t="s">
        <v>67</v>
      </c>
      <c r="V3" s="139" t="s">
        <v>8</v>
      </c>
    </row>
    <row r="4" spans="2:22" s="32" customFormat="1" ht="20.25" customHeight="1">
      <c r="B4" s="139"/>
      <c r="C4" s="139"/>
      <c r="D4" s="139"/>
      <c r="E4" s="139"/>
      <c r="F4" s="139"/>
      <c r="G4" s="139"/>
      <c r="H4" s="34" t="s">
        <v>68</v>
      </c>
      <c r="I4" s="34" t="s">
        <v>69</v>
      </c>
      <c r="J4" s="34" t="s">
        <v>70</v>
      </c>
      <c r="K4" s="34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</row>
    <row r="5" spans="2:22" ht="27" customHeight="1">
      <c r="B5" s="35">
        <v>1</v>
      </c>
      <c r="C5" s="211" t="s">
        <v>22</v>
      </c>
      <c r="D5" s="37" t="s">
        <v>116</v>
      </c>
      <c r="E5" s="38" t="s">
        <v>71</v>
      </c>
      <c r="F5" s="39" t="s">
        <v>71</v>
      </c>
      <c r="G5" s="40" t="s">
        <v>72</v>
      </c>
      <c r="H5" s="41">
        <v>2.5</v>
      </c>
      <c r="I5" s="41">
        <v>2</v>
      </c>
      <c r="J5" s="41">
        <v>1.5</v>
      </c>
      <c r="K5" s="44"/>
      <c r="L5" s="45">
        <f>MIN(H5:K5)</f>
        <v>1.5</v>
      </c>
      <c r="M5" s="45">
        <f>IF(AND(ISBLANK(H5),ISBLANK(I5),ISBLANK(J5),ISBLANK(K5)),,AVERAGE(H5:K5))</f>
        <v>2</v>
      </c>
      <c r="N5" s="45">
        <f>MAX(H5:K5)</f>
        <v>2.5</v>
      </c>
      <c r="O5" s="46">
        <f>IF(AND(ISNUMBER(M5),M5&lt;&gt;0),MAX(M5-L5,N5-M5)/M5,"")</f>
        <v>0.25</v>
      </c>
      <c r="P5" s="47" t="str">
        <f>IF(O5&gt;基础信息!$F$3,"N","Y")</f>
        <v>Y</v>
      </c>
      <c r="Q5" s="47">
        <f>VLOOKUP(E5&amp;F5,基础信息!$D$11:$E$20,2,0)</f>
        <v>1</v>
      </c>
      <c r="R5" s="45">
        <f>M5*Q5</f>
        <v>2</v>
      </c>
      <c r="S5" s="48">
        <v>0</v>
      </c>
      <c r="T5" s="45">
        <f>IF(G5="是",R5*S5,0)</f>
        <v>0</v>
      </c>
      <c r="U5" s="45">
        <f>R5-T5</f>
        <v>2</v>
      </c>
      <c r="V5" s="49"/>
    </row>
    <row r="6" spans="2:22" ht="32.25" customHeight="1">
      <c r="B6" s="35">
        <v>2</v>
      </c>
      <c r="C6" s="212"/>
      <c r="D6" s="37" t="s">
        <v>117</v>
      </c>
      <c r="E6" s="38" t="s">
        <v>71</v>
      </c>
      <c r="F6" s="39" t="s">
        <v>71</v>
      </c>
      <c r="G6" s="40" t="s">
        <v>72</v>
      </c>
      <c r="H6" s="41">
        <v>2.5</v>
      </c>
      <c r="I6" s="41">
        <v>2</v>
      </c>
      <c r="J6" s="41">
        <v>1.5</v>
      </c>
      <c r="K6" s="44"/>
      <c r="L6" s="45">
        <f t="shared" ref="L6:L7" si="0">MIN(H6:K6)</f>
        <v>1.5</v>
      </c>
      <c r="M6" s="45">
        <f t="shared" ref="M6:M7" si="1">IF(AND(ISBLANK(H6),ISBLANK(I6),ISBLANK(J6),ISBLANK(K6)),,AVERAGE(H6:K6))</f>
        <v>2</v>
      </c>
      <c r="N6" s="45">
        <f t="shared" ref="N6:N7" si="2">MAX(H6:K6)</f>
        <v>2.5</v>
      </c>
      <c r="O6" s="46">
        <f t="shared" ref="O6:O7" si="3">IF(AND(ISNUMBER(M6),M6&lt;&gt;0),MAX(M6-L6,N6-M6)/M6,"")</f>
        <v>0.25</v>
      </c>
      <c r="P6" s="47" t="str">
        <f>IF(O6&gt;基础信息!$F$3,"N","Y")</f>
        <v>Y</v>
      </c>
      <c r="Q6" s="47">
        <f>VLOOKUP(E6&amp;F6,基础信息!$D$11:$E$20,2,0)</f>
        <v>1</v>
      </c>
      <c r="R6" s="45">
        <f t="shared" ref="R6:R7" si="4">M6*Q6</f>
        <v>2</v>
      </c>
      <c r="S6" s="48">
        <v>0</v>
      </c>
      <c r="T6" s="45">
        <f t="shared" ref="T6:T7" si="5">IF(G6="是",R6*S6,0)</f>
        <v>0</v>
      </c>
      <c r="U6" s="45">
        <f t="shared" ref="U6:U7" si="6">R6-T6</f>
        <v>2</v>
      </c>
      <c r="V6" s="49"/>
    </row>
    <row r="7" spans="2:22" ht="27" customHeight="1">
      <c r="B7" s="35">
        <v>4</v>
      </c>
      <c r="C7" s="212"/>
      <c r="D7" s="37" t="s">
        <v>118</v>
      </c>
      <c r="E7" s="38" t="s">
        <v>71</v>
      </c>
      <c r="F7" s="39" t="s">
        <v>71</v>
      </c>
      <c r="G7" s="40" t="s">
        <v>72</v>
      </c>
      <c r="H7" s="41">
        <v>2</v>
      </c>
      <c r="I7" s="41">
        <v>2</v>
      </c>
      <c r="J7" s="41">
        <v>2</v>
      </c>
      <c r="K7" s="44"/>
      <c r="L7" s="45">
        <f t="shared" si="0"/>
        <v>2</v>
      </c>
      <c r="M7" s="45">
        <f t="shared" si="1"/>
        <v>2</v>
      </c>
      <c r="N7" s="45">
        <f t="shared" si="2"/>
        <v>2</v>
      </c>
      <c r="O7" s="46">
        <f t="shared" si="3"/>
        <v>0</v>
      </c>
      <c r="P7" s="47" t="str">
        <f>IF(O7&gt;基础信息!$F$3,"N","Y")</f>
        <v>Y</v>
      </c>
      <c r="Q7" s="47">
        <f>VLOOKUP(E7&amp;F7,基础信息!$D$11:$E$20,2,0)</f>
        <v>1</v>
      </c>
      <c r="R7" s="45">
        <f t="shared" si="4"/>
        <v>2</v>
      </c>
      <c r="S7" s="48">
        <v>0</v>
      </c>
      <c r="T7" s="45">
        <f t="shared" si="5"/>
        <v>0</v>
      </c>
      <c r="U7" s="45">
        <f t="shared" si="6"/>
        <v>2</v>
      </c>
      <c r="V7" s="49"/>
    </row>
    <row r="8" spans="2:22" ht="27" customHeight="1">
      <c r="B8" s="163" t="s">
        <v>75</v>
      </c>
      <c r="C8" s="163"/>
      <c r="D8" s="42" t="s">
        <v>97</v>
      </c>
      <c r="E8" s="42">
        <f>COUNTIF(E5:E7,"高")</f>
        <v>0</v>
      </c>
      <c r="F8" s="42">
        <f>COUNTIF(F5:F7,"高")</f>
        <v>0</v>
      </c>
      <c r="G8" s="42">
        <f>COUNTIF(G5:G7,"是")</f>
        <v>0</v>
      </c>
      <c r="H8" s="207">
        <f t="shared" ref="H8:N8" si="7">SUM(H5:H7)</f>
        <v>7</v>
      </c>
      <c r="I8" s="207">
        <f t="shared" si="7"/>
        <v>6</v>
      </c>
      <c r="J8" s="207">
        <f t="shared" si="7"/>
        <v>5</v>
      </c>
      <c r="K8" s="207">
        <f t="shared" si="7"/>
        <v>0</v>
      </c>
      <c r="L8" s="207">
        <f t="shared" si="7"/>
        <v>5</v>
      </c>
      <c r="M8" s="207">
        <f t="shared" si="7"/>
        <v>6</v>
      </c>
      <c r="N8" s="207">
        <f t="shared" si="7"/>
        <v>7</v>
      </c>
      <c r="O8" s="207"/>
      <c r="P8" s="42">
        <f>COUNTIF(P5:P7,"Y")</f>
        <v>3</v>
      </c>
      <c r="Q8" s="207"/>
      <c r="R8" s="207">
        <f>SUM(R5:R7)</f>
        <v>6</v>
      </c>
      <c r="S8" s="201"/>
      <c r="T8" s="207">
        <f>SUM(T5:T7)</f>
        <v>0</v>
      </c>
      <c r="U8" s="207">
        <f>SUM(U5:U7)</f>
        <v>6</v>
      </c>
      <c r="V8" s="178"/>
    </row>
    <row r="9" spans="2:22" ht="27" customHeight="1">
      <c r="B9" s="163"/>
      <c r="C9" s="163"/>
      <c r="D9" s="42" t="s">
        <v>71</v>
      </c>
      <c r="E9" s="42">
        <f>COUNTIF(E5:E7,"中")</f>
        <v>3</v>
      </c>
      <c r="F9" s="42">
        <f>COUNTIF(F5:F7,"中")</f>
        <v>3</v>
      </c>
      <c r="G9" s="42">
        <f>COUNTIF(G5:G7,"否")</f>
        <v>3</v>
      </c>
      <c r="H9" s="207"/>
      <c r="I9" s="207"/>
      <c r="J9" s="207"/>
      <c r="K9" s="207"/>
      <c r="L9" s="207"/>
      <c r="M9" s="207"/>
      <c r="N9" s="207"/>
      <c r="O9" s="207"/>
      <c r="P9" s="42">
        <f>COUNTIF(P5:P7,"N")</f>
        <v>0</v>
      </c>
      <c r="Q9" s="207"/>
      <c r="R9" s="207"/>
      <c r="S9" s="202"/>
      <c r="T9" s="207"/>
      <c r="U9" s="207"/>
      <c r="V9" s="178"/>
    </row>
    <row r="10" spans="2:22" ht="27" customHeight="1">
      <c r="B10" s="163"/>
      <c r="C10" s="163"/>
      <c r="D10" s="42" t="s">
        <v>98</v>
      </c>
      <c r="E10" s="42">
        <f>COUNTIF(E5:E7,"低")</f>
        <v>0</v>
      </c>
      <c r="F10" s="42">
        <f>COUNTIF(F5:F7,"低")</f>
        <v>0</v>
      </c>
      <c r="G10" s="42"/>
      <c r="H10" s="207"/>
      <c r="I10" s="207"/>
      <c r="J10" s="207"/>
      <c r="K10" s="207"/>
      <c r="L10" s="207"/>
      <c r="M10" s="207"/>
      <c r="N10" s="207"/>
      <c r="O10" s="207"/>
      <c r="P10" s="42"/>
      <c r="Q10" s="207"/>
      <c r="R10" s="207"/>
      <c r="S10" s="203"/>
      <c r="T10" s="207"/>
      <c r="U10" s="207"/>
      <c r="V10" s="178"/>
    </row>
  </sheetData>
  <mergeCells count="35">
    <mergeCell ref="B8:C10"/>
    <mergeCell ref="T8:T10"/>
    <mergeCell ref="U3:U4"/>
    <mergeCell ref="U8:U10"/>
    <mergeCell ref="V3:V4"/>
    <mergeCell ref="V8:V10"/>
    <mergeCell ref="Q8:Q10"/>
    <mergeCell ref="R3:R4"/>
    <mergeCell ref="R8:R10"/>
    <mergeCell ref="S3:S4"/>
    <mergeCell ref="S8:S10"/>
    <mergeCell ref="M8:M10"/>
    <mergeCell ref="N3:N4"/>
    <mergeCell ref="N8:N10"/>
    <mergeCell ref="O3:O4"/>
    <mergeCell ref="O8:O10"/>
    <mergeCell ref="H8:H10"/>
    <mergeCell ref="I8:I10"/>
    <mergeCell ref="J8:J10"/>
    <mergeCell ref="K8:K10"/>
    <mergeCell ref="L3:L4"/>
    <mergeCell ref="L8:L10"/>
    <mergeCell ref="B1:V1"/>
    <mergeCell ref="H3:K3"/>
    <mergeCell ref="B3:B4"/>
    <mergeCell ref="C3:C4"/>
    <mergeCell ref="C5:C7"/>
    <mergeCell ref="D3:D4"/>
    <mergeCell ref="E3:E4"/>
    <mergeCell ref="F3:F4"/>
    <mergeCell ref="G3:G4"/>
    <mergeCell ref="M3:M4"/>
    <mergeCell ref="P3:P4"/>
    <mergeCell ref="Q3:Q4"/>
    <mergeCell ref="T3:T4"/>
  </mergeCells>
  <phoneticPr fontId="21" type="noConversion"/>
  <dataValidations count="4">
    <dataValidation allowBlank="1" showInputMessage="1" showErrorMessage="1" prompt="功能需求项内容=功能需求编号+功能需求内容描述_x000a__x000a_非功能需求项=非功能需求属性+内容描述" sqref="C5"/>
    <dataValidation type="list" allowBlank="1" showInputMessage="1" showErrorMessage="1" sqref="G5:G7">
      <formula1>是否复用</formula1>
    </dataValidation>
    <dataValidation type="list" allowBlank="1" showInputMessage="1" showErrorMessage="1" sqref="E5:E7">
      <formula1>难易程度</formula1>
    </dataValidation>
    <dataValidation type="list" allowBlank="1" showInputMessage="1" showErrorMessage="1" sqref="F5:F7">
      <formula1>优先级</formula1>
    </dataValidation>
  </dataValidations>
  <pageMargins left="0.69930555555555596" right="0.69930555555555596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8"/>
  <sheetViews>
    <sheetView workbookViewId="0">
      <pane xSplit="11" ySplit="4" topLeftCell="S5" activePane="bottomRight" state="frozen"/>
      <selection pane="topRight"/>
      <selection pane="bottomLeft"/>
      <selection pane="bottomRight" activeCell="T6" sqref="T6:T8"/>
    </sheetView>
  </sheetViews>
  <sheetFormatPr defaultColWidth="9" defaultRowHeight="13.5"/>
  <cols>
    <col min="1" max="1" width="1.875" style="33" customWidth="1"/>
    <col min="2" max="2" width="5.125" style="33" customWidth="1"/>
    <col min="3" max="3" width="16.375" style="33" customWidth="1"/>
    <col min="4" max="4" width="19.875" style="33" customWidth="1"/>
    <col min="5" max="7" width="9.75" style="33" customWidth="1"/>
    <col min="8" max="8" width="11.25" style="33" customWidth="1"/>
    <col min="9" max="10" width="11.875" style="33" customWidth="1"/>
    <col min="11" max="11" width="11.25" style="33" customWidth="1"/>
    <col min="12" max="12" width="9.75" style="33" customWidth="1"/>
    <col min="13" max="18" width="12.75" style="33" customWidth="1"/>
    <col min="19" max="20" width="9.75" style="33" customWidth="1"/>
    <col min="21" max="21" width="11.875" style="33" customWidth="1"/>
    <col min="22" max="22" width="30.375" style="33" customWidth="1"/>
    <col min="23" max="16384" width="9" style="33"/>
  </cols>
  <sheetData>
    <row r="1" spans="2:22" ht="34.5" customHeight="1">
      <c r="B1" s="197" t="s">
        <v>76</v>
      </c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</row>
    <row r="2" spans="2:22" ht="6" customHeight="1"/>
    <row r="3" spans="2:22" s="32" customFormat="1" ht="20.25">
      <c r="B3" s="139" t="s">
        <v>50</v>
      </c>
      <c r="C3" s="139" t="s">
        <v>51</v>
      </c>
      <c r="D3" s="139" t="s">
        <v>52</v>
      </c>
      <c r="E3" s="139" t="s">
        <v>53</v>
      </c>
      <c r="F3" s="139" t="s">
        <v>54</v>
      </c>
      <c r="G3" s="139" t="s">
        <v>55</v>
      </c>
      <c r="H3" s="139" t="s">
        <v>119</v>
      </c>
      <c r="I3" s="139"/>
      <c r="J3" s="139"/>
      <c r="K3" s="139"/>
      <c r="L3" s="139" t="s">
        <v>58</v>
      </c>
      <c r="M3" s="139" t="s">
        <v>59</v>
      </c>
      <c r="N3" s="139" t="s">
        <v>60</v>
      </c>
      <c r="O3" s="139" t="s">
        <v>61</v>
      </c>
      <c r="P3" s="139" t="s">
        <v>62</v>
      </c>
      <c r="Q3" s="139" t="s">
        <v>63</v>
      </c>
      <c r="R3" s="139" t="s">
        <v>64</v>
      </c>
      <c r="S3" s="139" t="s">
        <v>65</v>
      </c>
      <c r="T3" s="139" t="s">
        <v>66</v>
      </c>
      <c r="U3" s="139" t="s">
        <v>67</v>
      </c>
      <c r="V3" s="139" t="s">
        <v>8</v>
      </c>
    </row>
    <row r="4" spans="2:22" s="32" customFormat="1" ht="20.25" customHeight="1">
      <c r="B4" s="139"/>
      <c r="C4" s="139"/>
      <c r="D4" s="139"/>
      <c r="E4" s="139"/>
      <c r="F4" s="139"/>
      <c r="G4" s="139"/>
      <c r="H4" s="34" t="s">
        <v>68</v>
      </c>
      <c r="I4" s="34" t="s">
        <v>69</v>
      </c>
      <c r="J4" s="34" t="s">
        <v>70</v>
      </c>
      <c r="K4" s="34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</row>
    <row r="5" spans="2:22" ht="27" customHeight="1">
      <c r="B5" s="35">
        <v>1</v>
      </c>
      <c r="C5" s="36" t="s">
        <v>23</v>
      </c>
      <c r="D5" s="37" t="s">
        <v>120</v>
      </c>
      <c r="E5" s="38" t="s">
        <v>71</v>
      </c>
      <c r="F5" s="39" t="s">
        <v>71</v>
      </c>
      <c r="G5" s="40" t="s">
        <v>72</v>
      </c>
      <c r="H5" s="41">
        <v>7.5</v>
      </c>
      <c r="I5" s="41">
        <v>7</v>
      </c>
      <c r="J5" s="41">
        <v>6.5</v>
      </c>
      <c r="K5" s="44"/>
      <c r="L5" s="45">
        <f>MIN(H5:K5)</f>
        <v>6.5</v>
      </c>
      <c r="M5" s="45">
        <f>IF(AND(ISBLANK(H5),ISBLANK(I5),ISBLANK(J5),ISBLANK(K5)),,AVERAGE(H5:K5))</f>
        <v>7</v>
      </c>
      <c r="N5" s="45">
        <f>MAX(H5:K5)</f>
        <v>7.5</v>
      </c>
      <c r="O5" s="46">
        <f>IF(AND(ISNUMBER(M5),M5&lt;&gt;0),MAX(M5-L5,N5-M5)/M5,"")</f>
        <v>7.1428571428571425E-2</v>
      </c>
      <c r="P5" s="47" t="str">
        <f>IF(O5&gt;基础信息!$F$3,"N","Y")</f>
        <v>Y</v>
      </c>
      <c r="Q5" s="47">
        <f>VLOOKUP(E5&amp;F5,基础信息!$D$11:$E$20,2,0)</f>
        <v>1</v>
      </c>
      <c r="R5" s="45">
        <f>M5*Q5</f>
        <v>7</v>
      </c>
      <c r="S5" s="48">
        <v>0</v>
      </c>
      <c r="T5" s="45">
        <f>IF(G5="是",R5*S5,0)</f>
        <v>0</v>
      </c>
      <c r="U5" s="45">
        <f>R5-T5</f>
        <v>7</v>
      </c>
      <c r="V5" s="49"/>
    </row>
    <row r="6" spans="2:22" ht="27" customHeight="1">
      <c r="B6" s="163" t="s">
        <v>75</v>
      </c>
      <c r="C6" s="163"/>
      <c r="D6" s="42" t="s">
        <v>97</v>
      </c>
      <c r="E6" s="42">
        <f>COUNTIF(E5:E5,"高")</f>
        <v>0</v>
      </c>
      <c r="F6" s="42">
        <f>COUNTIF(F5:F5,"高")</f>
        <v>0</v>
      </c>
      <c r="G6" s="42">
        <f>COUNTIF(G5:G5,"是")</f>
        <v>0</v>
      </c>
      <c r="H6" s="207">
        <f t="shared" ref="H6:N6" si="0">SUM(H5:H5)</f>
        <v>7.5</v>
      </c>
      <c r="I6" s="207">
        <f t="shared" si="0"/>
        <v>7</v>
      </c>
      <c r="J6" s="207">
        <f t="shared" si="0"/>
        <v>6.5</v>
      </c>
      <c r="K6" s="207">
        <f t="shared" si="0"/>
        <v>0</v>
      </c>
      <c r="L6" s="207">
        <f t="shared" si="0"/>
        <v>6.5</v>
      </c>
      <c r="M6" s="207">
        <f t="shared" si="0"/>
        <v>7</v>
      </c>
      <c r="N6" s="207">
        <f t="shared" si="0"/>
        <v>7.5</v>
      </c>
      <c r="O6" s="207"/>
      <c r="P6" s="42">
        <f>COUNTIF(P5:P5,"Y")</f>
        <v>1</v>
      </c>
      <c r="Q6" s="207"/>
      <c r="R6" s="207">
        <f t="shared" ref="R6:U6" si="1">SUM(R5:R5)</f>
        <v>7</v>
      </c>
      <c r="S6" s="201"/>
      <c r="T6" s="207">
        <f t="shared" si="1"/>
        <v>0</v>
      </c>
      <c r="U6" s="207">
        <f t="shared" si="1"/>
        <v>7</v>
      </c>
      <c r="V6" s="178"/>
    </row>
    <row r="7" spans="2:22" ht="27" customHeight="1">
      <c r="B7" s="163"/>
      <c r="C7" s="163"/>
      <c r="D7" s="42" t="s">
        <v>71</v>
      </c>
      <c r="E7" s="42">
        <f>COUNTIF(E5:E5,"中")</f>
        <v>1</v>
      </c>
      <c r="F7" s="42">
        <f>COUNTIF(F5:F5,"中")</f>
        <v>1</v>
      </c>
      <c r="G7" s="42">
        <f>COUNTIF(G5:G5,"否")</f>
        <v>1</v>
      </c>
      <c r="H7" s="207"/>
      <c r="I7" s="207"/>
      <c r="J7" s="207"/>
      <c r="K7" s="207"/>
      <c r="L7" s="207"/>
      <c r="M7" s="207"/>
      <c r="N7" s="207"/>
      <c r="O7" s="207"/>
      <c r="P7" s="42">
        <f>COUNTIF(P5:P5,"N")</f>
        <v>0</v>
      </c>
      <c r="Q7" s="207"/>
      <c r="R7" s="207"/>
      <c r="S7" s="202"/>
      <c r="T7" s="207"/>
      <c r="U7" s="207"/>
      <c r="V7" s="178"/>
    </row>
    <row r="8" spans="2:22" ht="27" customHeight="1">
      <c r="B8" s="163"/>
      <c r="C8" s="163"/>
      <c r="D8" s="42" t="s">
        <v>98</v>
      </c>
      <c r="E8" s="42">
        <f>COUNTIF(E5:E5,"低")</f>
        <v>0</v>
      </c>
      <c r="F8" s="42">
        <f>COUNTIF(F5:F5,"低")</f>
        <v>0</v>
      </c>
      <c r="G8" s="42"/>
      <c r="H8" s="207"/>
      <c r="I8" s="207"/>
      <c r="J8" s="207"/>
      <c r="K8" s="207"/>
      <c r="L8" s="207"/>
      <c r="M8" s="207"/>
      <c r="N8" s="207"/>
      <c r="O8" s="207"/>
      <c r="P8" s="42"/>
      <c r="Q8" s="207"/>
      <c r="R8" s="207"/>
      <c r="S8" s="203"/>
      <c r="T8" s="207"/>
      <c r="U8" s="207"/>
      <c r="V8" s="178"/>
    </row>
  </sheetData>
  <mergeCells count="34">
    <mergeCell ref="B6:C8"/>
    <mergeCell ref="T6:T8"/>
    <mergeCell ref="U3:U4"/>
    <mergeCell ref="U6:U8"/>
    <mergeCell ref="V3:V4"/>
    <mergeCell ref="V6:V8"/>
    <mergeCell ref="Q6:Q8"/>
    <mergeCell ref="R3:R4"/>
    <mergeCell ref="R6:R8"/>
    <mergeCell ref="S3:S4"/>
    <mergeCell ref="S6:S8"/>
    <mergeCell ref="M6:M8"/>
    <mergeCell ref="N3:N4"/>
    <mergeCell ref="N6:N8"/>
    <mergeCell ref="O3:O4"/>
    <mergeCell ref="O6:O8"/>
    <mergeCell ref="H6:H8"/>
    <mergeCell ref="I6:I8"/>
    <mergeCell ref="J6:J8"/>
    <mergeCell ref="K6:K8"/>
    <mergeCell ref="L3:L4"/>
    <mergeCell ref="L6:L8"/>
    <mergeCell ref="B1:V1"/>
    <mergeCell ref="H3:K3"/>
    <mergeCell ref="B3:B4"/>
    <mergeCell ref="C3:C4"/>
    <mergeCell ref="D3:D4"/>
    <mergeCell ref="E3:E4"/>
    <mergeCell ref="F3:F4"/>
    <mergeCell ref="G3:G4"/>
    <mergeCell ref="M3:M4"/>
    <mergeCell ref="P3:P4"/>
    <mergeCell ref="Q3:Q4"/>
    <mergeCell ref="T3:T4"/>
  </mergeCells>
  <phoneticPr fontId="21" type="noConversion"/>
  <dataValidations count="4">
    <dataValidation type="list" allowBlank="1" showInputMessage="1" showErrorMessage="1" sqref="G5">
      <formula1>是否复用</formula1>
    </dataValidation>
    <dataValidation allowBlank="1" showInputMessage="1" showErrorMessage="1" prompt="功能需求项内容=功能需求编号+功能需求内容描述_x000a__x000a_非功能需求项=非功能需求属性+内容描述" sqref="C5"/>
    <dataValidation type="list" allowBlank="1" showInputMessage="1" showErrorMessage="1" sqref="E5">
      <formula1>难易程度</formula1>
    </dataValidation>
    <dataValidation type="list" allowBlank="1" showInputMessage="1" showErrorMessage="1" sqref="F5">
      <formula1>优先级</formula1>
    </dataValidation>
  </dataValidations>
  <pageMargins left="0.69930555555555596" right="0.69930555555555596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workbookViewId="0">
      <selection activeCell="M25" sqref="M25"/>
    </sheetView>
  </sheetViews>
  <sheetFormatPr defaultColWidth="9" defaultRowHeight="13.5"/>
  <cols>
    <col min="1" max="16384" width="9" style="17"/>
  </cols>
  <sheetData>
    <row r="2" spans="2:6">
      <c r="B2" s="18" t="s">
        <v>53</v>
      </c>
      <c r="C2" s="18" t="s">
        <v>54</v>
      </c>
      <c r="D2" s="18" t="s">
        <v>55</v>
      </c>
      <c r="F2" s="19" t="s">
        <v>121</v>
      </c>
    </row>
    <row r="3" spans="2:6">
      <c r="B3" s="20" t="s">
        <v>97</v>
      </c>
      <c r="C3" s="20" t="s">
        <v>97</v>
      </c>
      <c r="D3" s="20" t="s">
        <v>104</v>
      </c>
      <c r="F3" s="21">
        <v>0.3</v>
      </c>
    </row>
    <row r="4" spans="2:6">
      <c r="B4" s="20" t="s">
        <v>71</v>
      </c>
      <c r="C4" s="20" t="s">
        <v>71</v>
      </c>
      <c r="D4" s="20" t="s">
        <v>72</v>
      </c>
    </row>
    <row r="5" spans="2:6">
      <c r="B5" s="20" t="s">
        <v>98</v>
      </c>
      <c r="C5" s="20" t="s">
        <v>98</v>
      </c>
      <c r="D5" s="20"/>
    </row>
    <row r="11" spans="2:6">
      <c r="B11" s="22" t="s">
        <v>53</v>
      </c>
      <c r="C11" s="23" t="s">
        <v>54</v>
      </c>
      <c r="D11" s="24" t="s">
        <v>122</v>
      </c>
      <c r="E11" s="25" t="s">
        <v>63</v>
      </c>
    </row>
    <row r="12" spans="2:6">
      <c r="B12" s="26" t="s">
        <v>97</v>
      </c>
      <c r="C12" s="20" t="s">
        <v>97</v>
      </c>
      <c r="D12" s="27" t="s">
        <v>123</v>
      </c>
      <c r="E12" s="28">
        <v>2</v>
      </c>
    </row>
    <row r="13" spans="2:6">
      <c r="B13" s="26" t="s">
        <v>97</v>
      </c>
      <c r="C13" s="20" t="s">
        <v>71</v>
      </c>
      <c r="D13" s="27" t="s">
        <v>124</v>
      </c>
      <c r="E13" s="28">
        <v>1.5</v>
      </c>
    </row>
    <row r="14" spans="2:6">
      <c r="B14" s="26" t="s">
        <v>71</v>
      </c>
      <c r="C14" s="20" t="s">
        <v>97</v>
      </c>
      <c r="D14" s="27" t="s">
        <v>125</v>
      </c>
      <c r="E14" s="28">
        <v>1.5</v>
      </c>
    </row>
    <row r="15" spans="2:6">
      <c r="B15" s="26" t="s">
        <v>71</v>
      </c>
      <c r="C15" s="20" t="s">
        <v>71</v>
      </c>
      <c r="D15" s="27" t="s">
        <v>126</v>
      </c>
      <c r="E15" s="28">
        <v>1</v>
      </c>
    </row>
    <row r="16" spans="2:6">
      <c r="B16" s="26" t="s">
        <v>97</v>
      </c>
      <c r="C16" s="20" t="s">
        <v>98</v>
      </c>
      <c r="D16" s="27" t="s">
        <v>127</v>
      </c>
      <c r="E16" s="28">
        <v>0.8</v>
      </c>
    </row>
    <row r="17" spans="2:5">
      <c r="B17" s="26" t="s">
        <v>98</v>
      </c>
      <c r="C17" s="20" t="s">
        <v>97</v>
      </c>
      <c r="D17" s="27" t="s">
        <v>128</v>
      </c>
      <c r="E17" s="28">
        <v>0.8</v>
      </c>
    </row>
    <row r="18" spans="2:5">
      <c r="B18" s="26" t="s">
        <v>71</v>
      </c>
      <c r="C18" s="20" t="s">
        <v>98</v>
      </c>
      <c r="D18" s="27" t="s">
        <v>129</v>
      </c>
      <c r="E18" s="28">
        <v>0.5</v>
      </c>
    </row>
    <row r="19" spans="2:5">
      <c r="B19" s="26" t="s">
        <v>98</v>
      </c>
      <c r="C19" s="20" t="s">
        <v>71</v>
      </c>
      <c r="D19" s="27" t="s">
        <v>130</v>
      </c>
      <c r="E19" s="28">
        <v>0.5</v>
      </c>
    </row>
    <row r="20" spans="2:5">
      <c r="B20" s="29" t="s">
        <v>98</v>
      </c>
      <c r="C20" s="30" t="s">
        <v>98</v>
      </c>
      <c r="D20" s="27" t="s">
        <v>131</v>
      </c>
      <c r="E20" s="31">
        <v>0.5</v>
      </c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3</vt:i4>
      </vt:variant>
    </vt:vector>
  </HeadingPairs>
  <TitlesOfParts>
    <vt:vector size="16" baseType="lpstr">
      <vt:lpstr>项目总体评估 </vt:lpstr>
      <vt:lpstr>UI_工作量评估</vt:lpstr>
      <vt:lpstr>.NET_工作量评估</vt:lpstr>
      <vt:lpstr>U3D_工作量评估</vt:lpstr>
      <vt:lpstr>建模_工作量评估</vt:lpstr>
      <vt:lpstr>烘焙_工作量评估</vt:lpstr>
      <vt:lpstr>动画_工作量评估</vt:lpstr>
      <vt:lpstr>特效_工作量评估</vt:lpstr>
      <vt:lpstr>基础信息</vt:lpstr>
      <vt:lpstr>人员评估系数表</vt:lpstr>
      <vt:lpstr>技术复杂度评估表</vt:lpstr>
      <vt:lpstr>附录-节假日</vt:lpstr>
      <vt:lpstr>Sheet1</vt:lpstr>
      <vt:lpstr>难易程度</vt:lpstr>
      <vt:lpstr>是否复用</vt:lpstr>
      <vt:lpstr>优先级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赵奕玭</dc:creator>
  <cp:lastModifiedBy>Windows 用户</cp:lastModifiedBy>
  <dcterms:created xsi:type="dcterms:W3CDTF">2006-09-16T00:00:00Z</dcterms:created>
  <dcterms:modified xsi:type="dcterms:W3CDTF">2017-10-16T02:53:28Z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