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15" windowWidth="20670" windowHeight="9000" tabRatio="856"/>
  </bookViews>
  <sheets>
    <sheet name="结项项目得分及评价" sheetId="12" r:id="rId1"/>
    <sheet name="研发中心当月结项项目质量评定明细表" sheetId="8" r:id="rId2"/>
    <sheet name="研发中心当月结项项目质量评定明细表（敏捷项目）" sheetId="20" r:id="rId3"/>
    <sheet name="结项项目测试质量及效率" sheetId="18" r:id="rId4"/>
    <sheet name="结项项目红黑榜" sheetId="17" r:id="rId5"/>
    <sheet name="测试当月对接在研项目明细表" sheetId="19" r:id="rId6"/>
    <sheet name="测试当月结项运维项目明细表" sheetId="21" r:id="rId7"/>
    <sheet name="评分标准" sheetId="11" r:id="rId8"/>
  </sheets>
  <definedNames>
    <definedName name="_xlnm._FilterDatabase" localSheetId="5" hidden="1">测试当月对接在研项目明细表!$B$2:$G$37</definedName>
    <definedName name="_xlnm._FilterDatabase" localSheetId="3" hidden="1">结项项目测试质量及效率!$D$1:$D$2</definedName>
    <definedName name="_xlnm._FilterDatabase" localSheetId="0" hidden="1">结项项目得分及评价!$B$24:$F$26</definedName>
    <definedName name="_xlnm._FilterDatabase" localSheetId="1" hidden="1">研发中心当月结项项目质量评定明细表!$A$3:$BL$3</definedName>
  </definedNames>
  <calcPr calcId="145621"/>
</workbook>
</file>

<file path=xl/calcChain.xml><?xml version="1.0" encoding="utf-8"?>
<calcChain xmlns="http://schemas.openxmlformats.org/spreadsheetml/2006/main">
  <c r="B27" i="12" l="1"/>
  <c r="D27" i="12"/>
  <c r="E27" i="12"/>
  <c r="F27" i="12"/>
  <c r="B28" i="12"/>
  <c r="D28" i="12"/>
  <c r="E28" i="12"/>
  <c r="F28" i="12"/>
  <c r="H9" i="17"/>
  <c r="M6" i="20"/>
  <c r="R5" i="8" l="1"/>
  <c r="R6" i="8"/>
  <c r="R7" i="8"/>
  <c r="AB5" i="8"/>
  <c r="Z5" i="8" s="1"/>
  <c r="AB6" i="8"/>
  <c r="Z6" i="8" s="1"/>
  <c r="AB7" i="8"/>
  <c r="AB4" i="8"/>
  <c r="U5" i="8"/>
  <c r="U6" i="8"/>
  <c r="U7" i="8"/>
  <c r="U4" i="8"/>
  <c r="G5" i="8"/>
  <c r="E26" i="12" s="1"/>
  <c r="G6" i="8"/>
  <c r="E23" i="12" s="1"/>
  <c r="G7" i="8"/>
  <c r="G4" i="8"/>
  <c r="F5" i="8"/>
  <c r="D26" i="12" s="1"/>
  <c r="F6" i="8"/>
  <c r="D23" i="12" s="1"/>
  <c r="F7" i="8"/>
  <c r="F4" i="8"/>
  <c r="D5" i="8"/>
  <c r="D6" i="8"/>
  <c r="D7" i="8"/>
  <c r="F9" i="17" s="1"/>
  <c r="D4" i="8"/>
  <c r="C5" i="8"/>
  <c r="B26" i="12" s="1"/>
  <c r="C6" i="8"/>
  <c r="C7" i="8"/>
  <c r="C4" i="8"/>
  <c r="H5" i="8"/>
  <c r="H6" i="8"/>
  <c r="H7" i="8"/>
  <c r="H4" i="8"/>
  <c r="AO6" i="18"/>
  <c r="AN6" i="18"/>
  <c r="AK6" i="18"/>
  <c r="AJ6" i="18"/>
  <c r="AI6" i="18"/>
  <c r="AH6" i="18"/>
  <c r="AG6" i="18"/>
  <c r="AC6" i="18"/>
  <c r="AP6" i="18" s="1"/>
  <c r="AB6" i="18"/>
  <c r="AF6" i="18" s="1"/>
  <c r="AF7" i="8"/>
  <c r="AG7" i="8" s="1"/>
  <c r="S7" i="8"/>
  <c r="T7" i="8" s="1"/>
  <c r="O7" i="8"/>
  <c r="B23" i="12" l="1"/>
  <c r="B4" i="17"/>
  <c r="B25" i="12"/>
  <c r="B9" i="17"/>
  <c r="D25" i="12"/>
  <c r="D9" i="17"/>
  <c r="E25" i="12"/>
  <c r="E9" i="17"/>
  <c r="AC7" i="8"/>
  <c r="C43" i="12"/>
  <c r="E43" i="12"/>
  <c r="G43" i="12"/>
  <c r="L43" i="12" s="1"/>
  <c r="I43" i="12"/>
  <c r="D44" i="12"/>
  <c r="F44" i="12"/>
  <c r="H44" i="12"/>
  <c r="J44" i="12"/>
  <c r="N44" i="12"/>
  <c r="C45" i="12"/>
  <c r="E45" i="12"/>
  <c r="K45" i="12" s="1"/>
  <c r="G45" i="12"/>
  <c r="I45" i="12"/>
  <c r="D43" i="12"/>
  <c r="F43" i="12"/>
  <c r="H43" i="12"/>
  <c r="J43" i="12"/>
  <c r="O43" i="12" s="1"/>
  <c r="N43" i="12"/>
  <c r="C44" i="12"/>
  <c r="E44" i="12"/>
  <c r="G44" i="12"/>
  <c r="L44" i="12" s="1"/>
  <c r="I44" i="12"/>
  <c r="M44" i="12" s="1"/>
  <c r="D45" i="12"/>
  <c r="F45" i="12"/>
  <c r="H45" i="12"/>
  <c r="J45" i="12"/>
  <c r="N45" i="12"/>
  <c r="AC5" i="8"/>
  <c r="AC6" i="8"/>
  <c r="AD7" i="8"/>
  <c r="Z7" i="8"/>
  <c r="AA7" i="8" s="1"/>
  <c r="F29" i="12"/>
  <c r="F30" i="12"/>
  <c r="F31" i="12"/>
  <c r="E29" i="12"/>
  <c r="E30" i="12"/>
  <c r="E31" i="12"/>
  <c r="D29" i="12"/>
  <c r="D30" i="12"/>
  <c r="D31" i="12"/>
  <c r="B29" i="12"/>
  <c r="B30" i="12"/>
  <c r="B31" i="12"/>
  <c r="M45" i="12" l="1"/>
  <c r="O45" i="12"/>
  <c r="K44" i="12"/>
  <c r="L45" i="12"/>
  <c r="O44" i="12"/>
  <c r="M43" i="12"/>
  <c r="K43" i="12"/>
  <c r="AJ7" i="8"/>
  <c r="AA6" i="8"/>
  <c r="AA5" i="8"/>
  <c r="AI6" i="8"/>
  <c r="AF6" i="8"/>
  <c r="AG6" i="8" s="1"/>
  <c r="AD6" i="8"/>
  <c r="S6" i="8"/>
  <c r="T6" i="8" s="1"/>
  <c r="O6" i="8"/>
  <c r="AI5" i="8"/>
  <c r="AF5" i="8"/>
  <c r="AG5" i="8" s="1"/>
  <c r="S5" i="8"/>
  <c r="T5" i="8" s="1"/>
  <c r="O5" i="8"/>
  <c r="AD5" i="8"/>
  <c r="AP4" i="18"/>
  <c r="AP5" i="18"/>
  <c r="AO4" i="18"/>
  <c r="AO5" i="18"/>
  <c r="AN4" i="18"/>
  <c r="AN5" i="18"/>
  <c r="AK5" i="18"/>
  <c r="AJ5" i="18"/>
  <c r="AI4" i="18"/>
  <c r="AI5" i="18"/>
  <c r="AH4" i="18"/>
  <c r="AH5" i="18"/>
  <c r="AG4" i="18"/>
  <c r="AG5" i="18"/>
  <c r="AF4" i="18"/>
  <c r="AF5" i="18"/>
  <c r="AC4" i="18"/>
  <c r="AC5" i="18"/>
  <c r="AB4" i="18"/>
  <c r="AB5" i="18"/>
  <c r="F25" i="12" l="1"/>
  <c r="G9" i="17"/>
  <c r="AJ5" i="8"/>
  <c r="F26" i="12" s="1"/>
  <c r="AJ6" i="8"/>
  <c r="F23" i="12" s="1"/>
  <c r="H10" i="17" l="1"/>
  <c r="G10" i="17"/>
  <c r="F10" i="17"/>
  <c r="E10" i="17"/>
  <c r="D10" i="17"/>
  <c r="B10" i="17"/>
  <c r="M5" i="20"/>
  <c r="AJ4" i="18"/>
  <c r="AK4" i="18"/>
  <c r="AO3" i="18"/>
  <c r="AN3" i="18"/>
  <c r="AK3" i="18"/>
  <c r="AJ3" i="18"/>
  <c r="AI3" i="18"/>
  <c r="AH3" i="18"/>
  <c r="AG3" i="18"/>
  <c r="AC3" i="18"/>
  <c r="AP3" i="18" s="1"/>
  <c r="AB3" i="18"/>
  <c r="AF3" i="18" s="1"/>
  <c r="H4" i="17"/>
  <c r="F4" i="17"/>
  <c r="E4" i="17"/>
  <c r="D4" i="17"/>
  <c r="M4" i="20"/>
  <c r="AF4" i="8"/>
  <c r="AG4" i="8" s="1"/>
  <c r="Z4" i="8"/>
  <c r="AA4" i="8" s="1"/>
  <c r="R4" i="8"/>
  <c r="S4" i="8"/>
  <c r="O4" i="8"/>
  <c r="AI4" i="8"/>
  <c r="G68" i="12"/>
  <c r="G69" i="12"/>
  <c r="G70" i="12"/>
  <c r="F68" i="12"/>
  <c r="F69" i="12"/>
  <c r="F70" i="12"/>
  <c r="F72" i="12" s="1"/>
  <c r="E68" i="12"/>
  <c r="E69" i="12"/>
  <c r="E70" i="12"/>
  <c r="D68" i="12"/>
  <c r="D69" i="12"/>
  <c r="D70" i="12"/>
  <c r="C68" i="12"/>
  <c r="C69" i="12"/>
  <c r="C70" i="12"/>
  <c r="G71" i="12"/>
  <c r="F71" i="12"/>
  <c r="E71" i="12"/>
  <c r="D71" i="12"/>
  <c r="C71" i="12"/>
  <c r="J42" i="12"/>
  <c r="H42" i="12"/>
  <c r="I42" i="12"/>
  <c r="G42" i="12"/>
  <c r="E42" i="12"/>
  <c r="C42" i="12"/>
  <c r="F42" i="12"/>
  <c r="D42" i="12"/>
  <c r="E24" i="12"/>
  <c r="D24" i="12"/>
  <c r="B24" i="12"/>
  <c r="C2" i="12"/>
  <c r="T4" i="8"/>
  <c r="AC4" i="8"/>
  <c r="AD4" i="8" s="1"/>
  <c r="E72" i="12"/>
  <c r="N42" i="12"/>
  <c r="G4" i="17"/>
  <c r="G72" i="12" l="1"/>
  <c r="D72" i="12"/>
  <c r="C72" i="12"/>
  <c r="M42" i="12"/>
  <c r="L42" i="12"/>
  <c r="K42" i="12"/>
  <c r="O42" i="12"/>
  <c r="AJ4" i="8"/>
  <c r="C3" i="12" l="1"/>
  <c r="F24" i="12"/>
  <c r="C5" i="12"/>
  <c r="C4" i="12"/>
</calcChain>
</file>

<file path=xl/comments1.xml><?xml version="1.0" encoding="utf-8"?>
<comments xmlns="http://schemas.openxmlformats.org/spreadsheetml/2006/main">
  <authors>
    <author>作者</author>
    <author>陈永琴</author>
  </authors>
  <commentList>
    <comment ref="Z3" authorId="0">
      <text>
        <r>
          <rPr>
            <b/>
            <sz val="9"/>
            <rFont val="宋体"/>
            <family val="3"/>
            <charset val="134"/>
          </rPr>
          <t>作者:</t>
        </r>
        <r>
          <rPr>
            <sz val="9"/>
            <rFont val="宋体"/>
            <family val="3"/>
            <charset val="134"/>
          </rPr>
          <t xml:space="preserve">
</t>
        </r>
        <r>
          <rPr>
            <sz val="9"/>
            <rFont val="宋体"/>
            <family val="3"/>
            <charset val="134"/>
          </rPr>
          <t>BUG打回的总次数加权分／BUG累计回归数加权分</t>
        </r>
      </text>
    </comment>
    <comment ref="AB3" authorId="0">
      <text>
        <r>
          <rPr>
            <b/>
            <sz val="9"/>
            <rFont val="宋体"/>
            <family val="3"/>
            <charset val="134"/>
          </rPr>
          <t>作者:</t>
        </r>
        <r>
          <rPr>
            <sz val="9"/>
            <rFont val="宋体"/>
            <family val="3"/>
            <charset val="134"/>
          </rPr>
          <t xml:space="preserve">
</t>
        </r>
        <r>
          <rPr>
            <sz val="9"/>
            <rFont val="宋体"/>
            <family val="3"/>
            <charset val="134"/>
          </rPr>
          <t xml:space="preserve">BUG数=重大bug数*3+普通bug数*1+轻微bug数*0.2+建议bug数*0.1
</t>
        </r>
      </text>
    </comment>
    <comment ref="AC3" authorId="0">
      <text>
        <r>
          <rPr>
            <b/>
            <sz val="9"/>
            <rFont val="宋体"/>
            <family val="3"/>
            <charset val="134"/>
          </rPr>
          <t>作者</t>
        </r>
        <r>
          <rPr>
            <b/>
            <sz val="9"/>
            <rFont val="Tahoma"/>
            <family val="2"/>
          </rPr>
          <t>:</t>
        </r>
        <r>
          <rPr>
            <sz val="9"/>
            <rFont val="Tahoma"/>
            <family val="2"/>
          </rPr>
          <t xml:space="preserve">
</t>
        </r>
        <r>
          <rPr>
            <sz val="9"/>
            <rFont val="Tahoma"/>
            <family val="2"/>
          </rPr>
          <t>=</t>
        </r>
        <r>
          <rPr>
            <sz val="9"/>
            <rFont val="宋体"/>
            <family val="3"/>
            <charset val="134"/>
          </rPr>
          <t>总</t>
        </r>
        <r>
          <rPr>
            <sz val="9"/>
            <rFont val="Tahoma"/>
            <family val="2"/>
          </rPr>
          <t>BUG</t>
        </r>
        <r>
          <rPr>
            <sz val="9"/>
            <rFont val="宋体"/>
            <family val="3"/>
            <charset val="134"/>
          </rPr>
          <t>加权分／</t>
        </r>
        <r>
          <rPr>
            <sz val="9"/>
            <rFont val="Tahoma"/>
            <family val="2"/>
          </rPr>
          <t xml:space="preserve">SFP </t>
        </r>
        <r>
          <rPr>
            <sz val="9"/>
            <rFont val="宋体"/>
            <family val="3"/>
            <charset val="134"/>
          </rPr>
          <t>标准功能点</t>
        </r>
      </text>
    </comment>
    <comment ref="AF3" authorId="1">
      <text>
        <r>
          <rPr>
            <b/>
            <sz val="9"/>
            <rFont val="宋体"/>
            <family val="3"/>
            <charset val="134"/>
          </rPr>
          <t>陈永琴:</t>
        </r>
        <r>
          <rPr>
            <sz val="9"/>
            <rFont val="宋体"/>
            <family val="3"/>
            <charset val="134"/>
          </rPr>
          <t xml:space="preserve">
</t>
        </r>
        <r>
          <rPr>
            <sz val="9"/>
            <rFont val="宋体"/>
            <family val="3"/>
            <charset val="134"/>
          </rPr>
          <t>测试版本延期提交次数/总提交版本次数</t>
        </r>
      </text>
    </comment>
    <comment ref="AL3" authorId="0">
      <text>
        <r>
          <rPr>
            <b/>
            <sz val="9"/>
            <rFont val="宋体"/>
            <family val="3"/>
            <charset val="134"/>
          </rPr>
          <t>作者:</t>
        </r>
        <r>
          <rPr>
            <sz val="9"/>
            <rFont val="宋体"/>
            <family val="3"/>
            <charset val="134"/>
          </rPr>
          <t xml:space="preserve">
</t>
        </r>
        <r>
          <rPr>
            <sz val="9"/>
            <rFont val="宋体"/>
            <family val="3"/>
            <charset val="134"/>
          </rPr>
          <t>引入新缺陷加权分/总BUG数</t>
        </r>
      </text>
    </comment>
  </commentList>
</comments>
</file>

<file path=xl/comments2.xml><?xml version="1.0" encoding="utf-8"?>
<comments xmlns="http://schemas.openxmlformats.org/spreadsheetml/2006/main">
  <authors>
    <author>Windows 用户</author>
    <author>陈永琴</author>
  </authors>
  <commentList>
    <comment ref="P1" authorId="0">
      <text>
        <r>
          <rPr>
            <b/>
            <sz val="9"/>
            <rFont val="宋体"/>
            <family val="3"/>
            <charset val="134"/>
          </rPr>
          <t>统计所有项目组相关成员的有效意见</t>
        </r>
        <r>
          <rPr>
            <sz val="9"/>
            <rFont val="宋体"/>
            <family val="3"/>
            <charset val="134"/>
          </rPr>
          <t xml:space="preserve">
</t>
        </r>
      </text>
    </comment>
    <comment ref="AF1" authorId="0">
      <text>
        <r>
          <rPr>
            <b/>
            <sz val="9"/>
            <rFont val="宋体"/>
            <family val="3"/>
            <charset val="134"/>
          </rPr>
          <t>wukf:</t>
        </r>
        <r>
          <rPr>
            <sz val="9"/>
            <rFont val="宋体"/>
            <family val="3"/>
            <charset val="134"/>
          </rPr>
          <t xml:space="preserve">
</t>
        </r>
        <r>
          <rPr>
            <sz val="9"/>
            <rFont val="宋体"/>
            <family val="3"/>
            <charset val="134"/>
          </rPr>
          <t>目标值：≧95%</t>
        </r>
      </text>
    </comment>
    <comment ref="AH1" authorId="0">
      <text>
        <r>
          <rPr>
            <b/>
            <sz val="9"/>
            <rFont val="宋体"/>
            <family val="3"/>
            <charset val="134"/>
          </rPr>
          <t xml:space="preserve">wukf:
</t>
        </r>
        <r>
          <rPr>
            <b/>
            <sz val="9"/>
            <rFont val="宋体"/>
            <family val="3"/>
            <charset val="134"/>
          </rPr>
          <t>目标值：≧200</t>
        </r>
      </text>
    </comment>
    <comment ref="AI1" authorId="0">
      <text>
        <r>
          <rPr>
            <b/>
            <sz val="9"/>
            <rFont val="宋体"/>
            <family val="3"/>
            <charset val="134"/>
          </rPr>
          <t xml:space="preserve">wukf:
</t>
        </r>
        <r>
          <rPr>
            <b/>
            <sz val="9"/>
            <rFont val="宋体"/>
            <family val="3"/>
            <charset val="134"/>
          </rPr>
          <t>目标值：≧400</t>
        </r>
        <r>
          <rPr>
            <sz val="9"/>
            <rFont val="宋体"/>
            <family val="3"/>
            <charset val="134"/>
          </rPr>
          <t xml:space="preserve">
</t>
        </r>
      </text>
    </comment>
    <comment ref="AN1" authorId="1">
      <text>
        <r>
          <rPr>
            <b/>
            <sz val="9"/>
            <rFont val="宋体"/>
            <family val="3"/>
            <charset val="134"/>
          </rPr>
          <t>陈永琴:</t>
        </r>
        <r>
          <rPr>
            <sz val="9"/>
            <rFont val="宋体"/>
            <family val="3"/>
            <charset val="134"/>
          </rPr>
          <t xml:space="preserve">
</t>
        </r>
        <r>
          <rPr>
            <sz val="9"/>
            <rFont val="宋体"/>
            <family val="3"/>
            <charset val="134"/>
          </rPr>
          <t xml:space="preserve">测试用例数/SFP
</t>
        </r>
        <r>
          <rPr>
            <sz val="9"/>
            <rFont val="宋体"/>
            <family val="3"/>
            <charset val="134"/>
          </rPr>
          <t>下限0.8531均值14.上限27.1469</t>
        </r>
      </text>
    </comment>
    <comment ref="AO1" authorId="1">
      <text>
        <r>
          <rPr>
            <b/>
            <sz val="9"/>
            <rFont val="宋体"/>
            <family val="3"/>
            <charset val="134"/>
          </rPr>
          <t>陈永琴:</t>
        </r>
        <r>
          <rPr>
            <sz val="9"/>
            <rFont val="宋体"/>
            <family val="3"/>
            <charset val="134"/>
          </rPr>
          <t xml:space="preserve">
</t>
        </r>
        <r>
          <rPr>
            <sz val="9"/>
            <rFont val="宋体"/>
            <family val="3"/>
            <charset val="134"/>
          </rPr>
          <t xml:space="preserve">测试用例评审发现缺陷数/测试用例个数
</t>
        </r>
        <r>
          <rPr>
            <sz val="9"/>
            <rFont val="宋体"/>
            <family val="3"/>
            <charset val="134"/>
          </rPr>
          <t>均值：0.0435 上限：0.0879</t>
        </r>
      </text>
    </comment>
    <comment ref="AP1" authorId="1">
      <text>
        <r>
          <rPr>
            <b/>
            <sz val="9"/>
            <rFont val="宋体"/>
            <family val="3"/>
            <charset val="134"/>
          </rPr>
          <t>陈永琴:</t>
        </r>
        <r>
          <rPr>
            <sz val="9"/>
            <rFont val="宋体"/>
            <family val="3"/>
            <charset val="134"/>
          </rPr>
          <t xml:space="preserve">
</t>
        </r>
        <r>
          <rPr>
            <sz val="9"/>
            <rFont val="宋体"/>
            <family val="3"/>
            <charset val="134"/>
          </rPr>
          <t>有效缺陷加权数/（设计用例数+引用的公共用例数）暂无</t>
        </r>
      </text>
    </comment>
    <comment ref="Q2" authorId="0">
      <text>
        <r>
          <rPr>
            <b/>
            <sz val="9"/>
            <rFont val="宋体"/>
            <family val="3"/>
            <charset val="134"/>
          </rPr>
          <t>测试计划6.3章节</t>
        </r>
      </text>
    </comment>
    <comment ref="R2" authorId="0">
      <text>
        <r>
          <rPr>
            <b/>
            <sz val="9"/>
            <rFont val="宋体"/>
            <family val="3"/>
            <charset val="134"/>
          </rPr>
          <t>测试报告3.2章节</t>
        </r>
      </text>
    </comment>
    <comment ref="AB2" authorId="0">
      <text>
        <r>
          <rPr>
            <b/>
            <sz val="9"/>
            <rFont val="宋体"/>
            <family val="3"/>
            <charset val="134"/>
          </rPr>
          <t>仅统计有效缺陷</t>
        </r>
        <r>
          <rPr>
            <sz val="9"/>
            <rFont val="宋体"/>
            <family val="3"/>
            <charset val="134"/>
          </rPr>
          <t xml:space="preserve">
</t>
        </r>
      </text>
    </comment>
  </commentList>
</comments>
</file>

<file path=xl/sharedStrings.xml><?xml version="1.0" encoding="utf-8"?>
<sst xmlns="http://schemas.openxmlformats.org/spreadsheetml/2006/main" count="370" uniqueCount="251">
  <si>
    <t>研发中心</t>
  </si>
  <si>
    <t>项目平均得分</t>
  </si>
  <si>
    <t>教学资源平台开发中心</t>
  </si>
  <si>
    <t>研发部门</t>
  </si>
  <si>
    <t>项目名称（手动填写）</t>
  </si>
  <si>
    <t>项目规模</t>
  </si>
  <si>
    <t>项目类型</t>
  </si>
  <si>
    <t>项目得分</t>
  </si>
  <si>
    <t>当月累计数据如下：</t>
  </si>
  <si>
    <t>项目总数</t>
  </si>
  <si>
    <t>计划提交版本总数</t>
  </si>
  <si>
    <t>实际提交版本总数</t>
  </si>
  <si>
    <t>测试版本延期提交次数</t>
  </si>
  <si>
    <t>打回版本数</t>
  </si>
  <si>
    <t>总BUG加权分</t>
  </si>
  <si>
    <t>NT缺陷加权分</t>
  </si>
  <si>
    <t>遗留缺陷加权分</t>
  </si>
  <si>
    <t>平均提交版本数</t>
  </si>
  <si>
    <t>平均打回版本数</t>
  </si>
  <si>
    <t>NT缺陷率（%）</t>
  </si>
  <si>
    <t>缺陷密度</t>
  </si>
  <si>
    <t>遗留缺陷率（%）</t>
  </si>
  <si>
    <t>基准线</t>
  </si>
  <si>
    <t>当月BUG分析数据如下：</t>
  </si>
  <si>
    <t>有效BUG严重程度分析</t>
  </si>
  <si>
    <t>P1（致命）</t>
  </si>
  <si>
    <t>P2（严重）</t>
  </si>
  <si>
    <t>P3（一般）</t>
  </si>
  <si>
    <t>P4（微小）</t>
  </si>
  <si>
    <t>P5（建议）</t>
  </si>
  <si>
    <t>总计</t>
  </si>
  <si>
    <t>项目总结及建议：</t>
  </si>
  <si>
    <t>项目总结</t>
  </si>
  <si>
    <t>建议</t>
  </si>
  <si>
    <t>测试角度对项目量化考核维度（异常数据用红色背景标识，橙色背景为自动获取/计算）</t>
  </si>
  <si>
    <t>综合得分（自动计算）</t>
  </si>
  <si>
    <t>备注说明</t>
  </si>
  <si>
    <t>提交版本数</t>
  </si>
  <si>
    <t>版本/用例准入</t>
  </si>
  <si>
    <t>缺陷返工</t>
  </si>
  <si>
    <t>测试版本延期率</t>
  </si>
  <si>
    <t>变更</t>
  </si>
  <si>
    <t>试运行</t>
  </si>
  <si>
    <t>序号</t>
  </si>
  <si>
    <t>项目名称</t>
  </si>
  <si>
    <t>项目经理</t>
  </si>
  <si>
    <t>SFP（网站数/功能点）</t>
  </si>
  <si>
    <t>实际开始时间</t>
  </si>
  <si>
    <t>实际完成时间</t>
  </si>
  <si>
    <t>当前进度（%）</t>
  </si>
  <si>
    <t>计划提交版本数量</t>
  </si>
  <si>
    <t>提交版本数量</t>
  </si>
  <si>
    <t>版本准入不通过次数</t>
  </si>
  <si>
    <t>版本准入扣分（自动计算）</t>
  </si>
  <si>
    <t>用例准入不通过数</t>
  </si>
  <si>
    <t>准入用例数</t>
  </si>
  <si>
    <t>准入通过率（自动计算）</t>
  </si>
  <si>
    <t>用例准入得分（自动计算）</t>
  </si>
  <si>
    <t>版本+用例准入得分（自动计算）</t>
  </si>
  <si>
    <t>总缺陷数</t>
  </si>
  <si>
    <t>遗留缺陷数</t>
  </si>
  <si>
    <t>缺陷NT加权分</t>
  </si>
  <si>
    <t>缺陷NT数</t>
  </si>
  <si>
    <t>BUG返工率(%)（自动计算）</t>
  </si>
  <si>
    <t>缺陷回归通过率得分（自动计算）</t>
  </si>
  <si>
    <t>缺陷密度（自动计算）</t>
  </si>
  <si>
    <t>缺陷密度得分（自动计算）</t>
  </si>
  <si>
    <t>测试版本延期率（自动计算）</t>
  </si>
  <si>
    <t>测试版本延期率得分（自动计算）</t>
  </si>
  <si>
    <t>项目计划变更次数</t>
  </si>
  <si>
    <t>项目计划变更次数得分（自动计算）</t>
  </si>
  <si>
    <t>引入新缺陷的加权分</t>
  </si>
  <si>
    <t>引入新缺陷率</t>
  </si>
  <si>
    <t>计划开始时间</t>
  </si>
  <si>
    <t>计划完成时间</t>
  </si>
  <si>
    <t>进度延期率</t>
  </si>
  <si>
    <t>备注：进度延期率超过3%，进行红色背景标识</t>
  </si>
  <si>
    <t xml:space="preserve"> 序号</t>
  </si>
  <si>
    <t>测试部门</t>
  </si>
  <si>
    <t>项目/任务名称</t>
  </si>
  <si>
    <t>测试负责人</t>
  </si>
  <si>
    <t>参与人员</t>
  </si>
  <si>
    <t>代码规模（SFP值）</t>
  </si>
  <si>
    <t>测试需求分析总条数</t>
  </si>
  <si>
    <t>设计用例总个数</t>
  </si>
  <si>
    <t>执行用例总个数</t>
  </si>
  <si>
    <t>公共用例</t>
  </si>
  <si>
    <t>测试用例评审意见数</t>
  </si>
  <si>
    <t>测试投入工作量</t>
  </si>
  <si>
    <t>有效BUG率</t>
  </si>
  <si>
    <t>测试需求分析效率（人天）</t>
  </si>
  <si>
    <t>测试用例编写效率（人天）</t>
  </si>
  <si>
    <t>测试执行效率（人天）</t>
  </si>
  <si>
    <t>执行工时：等待开发工时</t>
  </si>
  <si>
    <t>测试报告文档耗费工时</t>
  </si>
  <si>
    <t>测试用例覆盖密度</t>
  </si>
  <si>
    <t>测试用例评审的缺陷密度</t>
  </si>
  <si>
    <t>测试用例有效率</t>
  </si>
  <si>
    <t>执行安全性扫描（Y/N）</t>
  </si>
  <si>
    <t>备注</t>
  </si>
  <si>
    <t>公共用例模块</t>
  </si>
  <si>
    <t>引用用例数</t>
  </si>
  <si>
    <t>估计总工时</t>
  </si>
  <si>
    <t>实际总工时</t>
  </si>
  <si>
    <t>测试需求分析总工时</t>
  </si>
  <si>
    <t>测试设计总工时</t>
  </si>
  <si>
    <t>测试执行总工时</t>
  </si>
  <si>
    <t>等待开发工时</t>
  </si>
  <si>
    <t>缺陷总数</t>
  </si>
  <si>
    <t>有效缺陷加权分</t>
  </si>
  <si>
    <t>无效缺陷总数</t>
  </si>
  <si>
    <t>漏测BUG</t>
  </si>
  <si>
    <t>编写时间（时）</t>
  </si>
  <si>
    <t>内审时间（时）</t>
  </si>
  <si>
    <t>红榜</t>
  </si>
  <si>
    <t>黑榜</t>
  </si>
  <si>
    <t>事业部</t>
  </si>
  <si>
    <t>项目个数</t>
  </si>
  <si>
    <t>开始时间</t>
  </si>
  <si>
    <t>结束时间</t>
  </si>
  <si>
    <t>微型</t>
  </si>
  <si>
    <t>国泰安工作分析实训系统软件V1.0</t>
  </si>
  <si>
    <t>普通</t>
  </si>
  <si>
    <t>供应链实战演练教学软件V1.0</t>
  </si>
  <si>
    <t>国泰安国匠在线平台软件V2.0</t>
  </si>
  <si>
    <t>国泰安柔性化智能实验教学管理平台软件R1.1（迭代五）</t>
  </si>
  <si>
    <t>国泰安大数据可视化项目V1.0</t>
  </si>
  <si>
    <t>待定</t>
  </si>
  <si>
    <t>在测项目质量等级评定标准</t>
  </si>
  <si>
    <t>评定项</t>
  </si>
  <si>
    <t>得分</t>
  </si>
  <si>
    <t>版本/用例准入得分（20）</t>
  </si>
  <si>
    <t>一次准入不通过扣5分
二次准入不通过扣10分
三次准入不通过扣15分
四次准入不通过扣20分
1、准入用例累计通过率=100%（20分）
2、准入用例累计通过率&gt;=99%（19分）
3、准入用例累计通过率&gt;=98%（18分）
以此类推...
20、准入用例累计通过率&gt;=80%（0分）</t>
  </si>
  <si>
    <r>
      <rPr>
        <sz val="10.5"/>
        <color theme="1"/>
        <rFont val="宋体"/>
        <family val="3"/>
        <charset val="134"/>
      </rPr>
      <t>用例准入得分</t>
    </r>
    <r>
      <rPr>
        <sz val="10.5"/>
        <color theme="1"/>
        <rFont val="Calibri"/>
        <family val="2"/>
      </rPr>
      <t>-</t>
    </r>
    <r>
      <rPr>
        <sz val="10.5"/>
        <color theme="1"/>
        <rFont val="宋体"/>
        <family val="3"/>
        <charset val="134"/>
      </rPr>
      <t>版本准入扣分（最低为</t>
    </r>
    <r>
      <rPr>
        <sz val="10.5"/>
        <color theme="1"/>
        <rFont val="Calibri"/>
        <family val="2"/>
      </rPr>
      <t>0</t>
    </r>
    <r>
      <rPr>
        <sz val="10.5"/>
        <color theme="1"/>
        <rFont val="宋体"/>
        <family val="3"/>
        <charset val="134"/>
      </rPr>
      <t>分）</t>
    </r>
  </si>
  <si>
    <t>测试版本延期率得分</t>
  </si>
  <si>
    <t xml:space="preserve">
1)延期率=0（20）
2)0&lt;=延期率&lt;0.1（18）
3)0.1&lt;=延期率&lt;0.2（16）
4)0.2&lt;=延期率&lt;0.3（14）
5)0.3&lt;=延期率&lt;0.4（12）
6)0.4&lt;=延期率&lt;0.5(10)
7)0.5&lt;=延期率&lt;0.6(10)
8)0.6&lt;=延期率&lt;0.7 (8)
9)0.7&lt;=延期率&lt;0.8(6)
10)0.8&lt;=延期率&lt;0.9(4)
11)0.9&lt;=延期率&lt;1(2)
12)延期率=1（0）</t>
  </si>
  <si>
    <t>缺陷回归通过率（20）</t>
  </si>
  <si>
    <t>1、缺陷回归通过率累计通过率=0（20分）
2、缺陷回归通过率累计通过率&lt;=1%（19分）
3、缺陷回归通过率累计通过率&lt;=2%（18分）
以此类推...
20、缺陷回归通过率累计通过率&lt;=20%（0分）</t>
  </si>
  <si>
    <t>缺陷密度（20）</t>
  </si>
  <si>
    <t>1)缺陷密度&lt;0.4（20）
2)0.4&lt;=缺陷密度&lt;0.8（19）
3)0.8&lt;=缺陷密度&lt;1.2（18）
4)1.2&lt;=缺陷密度&lt;1.6（17）
5)1.6&lt;=缺陷密度&lt;2（16）
1)2&lt;=缺陷密度&lt;2.2(15)
2)2.2&lt;=缺陷密度&lt;2.4(14)
3)2.4&lt;=缺陷密度&lt;2.6 (13)
4)2.6&lt;=缺陷密度&lt;2.8(12)
5)2.8&lt;=缺陷密度&lt;3(11)
1)3&lt;=缺陷密度&lt;3.2(10)
2)3.2&lt;=缺陷密度&lt;3.4(9)
3)3.4&lt;=缺陷密度&lt;3.6(8)
4)3.6&lt;=缺陷密度&lt;3.8(7)
5)3.8&lt;=缺陷密度&lt;4(6)
1)4&lt;=缺陷密度&lt;4.2(5)
2)4.2&lt;=缺陷密度&lt;4.4(4)
3)4.4&lt;=缺陷密度&lt;4.6(3)
4)4.6&lt;=缺陷密度&lt;4.8(2)
5)4.8&lt;=缺陷密度&lt;=5(1)
缺陷密度&gt;5(0)</t>
  </si>
  <si>
    <t>项目计划变更次数（20）</t>
  </si>
  <si>
    <t>一次准入不通过扣5分
二次准入不通过扣10分
三次准入不通过扣15分
四次准入不通过扣20分</t>
  </si>
  <si>
    <t>等级评定--红黑榜</t>
  </si>
  <si>
    <t>95分及其以上-红榜
80分以下-黑榜</t>
  </si>
  <si>
    <t>待定</t>
    <phoneticPr fontId="47" type="noConversion"/>
  </si>
  <si>
    <t>国泰安气动技术VR智慧课堂软件V1.0</t>
    <phoneticPr fontId="47" type="noConversion"/>
  </si>
  <si>
    <t>故障诊断多人协同技术预研YY01</t>
    <phoneticPr fontId="47" type="noConversion"/>
  </si>
  <si>
    <t>安装/卸载、文档测试、稳定性、兼容性</t>
    <phoneticPr fontId="47" type="noConversion"/>
  </si>
  <si>
    <t>实训软件开发中心</t>
    <phoneticPr fontId="47" type="noConversion"/>
  </si>
  <si>
    <t>国泰安虚拟交易所软件V7.1</t>
    <phoneticPr fontId="47" type="noConversion"/>
  </si>
  <si>
    <t>国泰安赛名师移动端V1.2（暂停）</t>
    <phoneticPr fontId="47" type="noConversion"/>
  </si>
  <si>
    <t>产教融合创新事业部</t>
    <phoneticPr fontId="47" type="noConversion"/>
  </si>
  <si>
    <t>金融教育事业部</t>
  </si>
  <si>
    <t>待定</t>
    <phoneticPr fontId="47" type="noConversion"/>
  </si>
  <si>
    <t>国泰安智慧校园基地易管理平台软件R2.3</t>
    <phoneticPr fontId="47" type="noConversion"/>
  </si>
  <si>
    <t>实训软件开发中心</t>
    <phoneticPr fontId="47" type="noConversion"/>
  </si>
  <si>
    <t>国泰安迈腾汽车故障诊断VR实训系统V1.0</t>
    <phoneticPr fontId="47" type="noConversion"/>
  </si>
  <si>
    <t>待定</t>
    <phoneticPr fontId="47" type="noConversion"/>
  </si>
  <si>
    <t>国泰安掌上校园V1.0</t>
    <phoneticPr fontId="47" type="noConversion"/>
  </si>
  <si>
    <t>待定</t>
    <phoneticPr fontId="47" type="noConversion"/>
  </si>
  <si>
    <t>中职易管理-迭代七</t>
    <phoneticPr fontId="47" type="noConversion"/>
  </si>
  <si>
    <t>云南机电职业技术学院智能校园数字管理系统（暂停）</t>
    <phoneticPr fontId="47" type="noConversion"/>
  </si>
  <si>
    <t>智慧教学事业部（诊改）</t>
  </si>
  <si>
    <t>武汉民政职院火化机VR实训系统M1.1</t>
    <phoneticPr fontId="47" type="noConversion"/>
  </si>
  <si>
    <t>国泰安多层PCB板板层结构和布线VR实训软件V1.0</t>
    <phoneticPr fontId="47" type="noConversion"/>
  </si>
  <si>
    <t>国泰安动物解剖VR智慧课堂软件V1.0</t>
    <phoneticPr fontId="47" type="noConversion"/>
  </si>
  <si>
    <t>国泰安气动技术VR智慧课堂软件V1.0</t>
    <phoneticPr fontId="47" type="noConversion"/>
  </si>
  <si>
    <t>国泰安气动技术VR智慧课堂软件V1.0</t>
    <phoneticPr fontId="47" type="noConversion"/>
  </si>
  <si>
    <t>3D/VR测试部</t>
    <phoneticPr fontId="47" type="noConversion"/>
  </si>
  <si>
    <t>N</t>
  </si>
  <si>
    <t>聂芬</t>
    <phoneticPr fontId="47" type="noConversion"/>
  </si>
  <si>
    <t>全新项目</t>
  </si>
  <si>
    <t>理工医疗开发部</t>
    <phoneticPr fontId="47" type="noConversion"/>
  </si>
  <si>
    <t>叶苏莲</t>
    <phoneticPr fontId="47" type="noConversion"/>
  </si>
  <si>
    <t>国泰安眼镜VR智慧课堂软件V1.0（暂停）</t>
    <phoneticPr fontId="47" type="noConversion"/>
  </si>
  <si>
    <t>国泰安思政之国之重器VR教学软件V1.0RV01</t>
    <phoneticPr fontId="47" type="noConversion"/>
  </si>
  <si>
    <t>国泰安机械基础VR智慧课堂软件V1.3</t>
    <phoneticPr fontId="47" type="noConversion"/>
  </si>
  <si>
    <t>国泰安工业机器人基础VR教学系统V1.5.3（海外版）</t>
    <phoneticPr fontId="47" type="noConversion"/>
  </si>
  <si>
    <t>GTAFE VR  Industrial Robot Disassembly And Maintenance V1.3</t>
    <phoneticPr fontId="47" type="noConversion"/>
  </si>
  <si>
    <t>国泰安质量保证系统V1.7.1</t>
    <phoneticPr fontId="47" type="noConversion"/>
  </si>
  <si>
    <t>智慧校园事业部</t>
  </si>
  <si>
    <t>应用研发部</t>
  </si>
  <si>
    <t>梁新飞</t>
    <phoneticPr fontId="47" type="noConversion"/>
  </si>
  <si>
    <t>梁新飞、郑益涛</t>
    <phoneticPr fontId="47" type="noConversion"/>
  </si>
  <si>
    <t>安装/卸载、文档测试、加密、稳定性、兼容性</t>
  </si>
  <si>
    <t>平台研发部</t>
    <phoneticPr fontId="47" type="noConversion"/>
  </si>
  <si>
    <t>阳杰</t>
    <phoneticPr fontId="47" type="noConversion"/>
  </si>
  <si>
    <t>安装/卸载、文档测试、稳定性、兼容性</t>
    <phoneticPr fontId="47" type="noConversion"/>
  </si>
  <si>
    <t>Y</t>
  </si>
  <si>
    <t>国泰安迎新管理系统V3.5</t>
    <phoneticPr fontId="47" type="noConversion"/>
  </si>
  <si>
    <t>国泰安迎新管理系统V3.5</t>
    <phoneticPr fontId="47" type="noConversion"/>
  </si>
  <si>
    <t>质量保障部</t>
    <phoneticPr fontId="47" type="noConversion"/>
  </si>
  <si>
    <t>智慧校园事业部</t>
    <phoneticPr fontId="47" type="noConversion"/>
  </si>
  <si>
    <t>智慧校园事业部</t>
    <phoneticPr fontId="47" type="noConversion"/>
  </si>
  <si>
    <t>1、希望继续保持高品质的研发质量。
2、项目计划时，要考虑到研发人力风险，项目后期维持足够的研发人员。</t>
    <phoneticPr fontId="47" type="noConversion"/>
  </si>
  <si>
    <t>1、国泰安统一身份认证软件V3.0项目整体质量较好，沟通过程顺畅，一些需求、代码细节仍需注意
2、国泰安迎新管理系统V3.5项目进展后期研发人力不足，导致后续的版本延期发布，且bug修复返工率高；</t>
    <phoneticPr fontId="47" type="noConversion"/>
  </si>
  <si>
    <t>国泰安智慧教务管理平台V3.5_迭代六</t>
    <phoneticPr fontId="47" type="noConversion"/>
  </si>
  <si>
    <t>学工系统-迭代一</t>
    <phoneticPr fontId="47" type="noConversion"/>
  </si>
  <si>
    <t>国泰安招生管理系统V3.6</t>
    <phoneticPr fontId="47" type="noConversion"/>
  </si>
  <si>
    <t>智慧教育事业部</t>
  </si>
  <si>
    <t>合肥测试部</t>
    <phoneticPr fontId="47" type="noConversion"/>
  </si>
  <si>
    <t>柔性化智能实验教学管理平台R1.1（迭代五）</t>
    <phoneticPr fontId="47" type="noConversion"/>
  </si>
  <si>
    <t>实训软件开发中心</t>
    <phoneticPr fontId="47" type="noConversion"/>
  </si>
  <si>
    <t>银行开发部</t>
    <phoneticPr fontId="47" type="noConversion"/>
  </si>
  <si>
    <t>升级项目</t>
  </si>
  <si>
    <t>周慈</t>
    <phoneticPr fontId="44" type="noConversion"/>
  </si>
  <si>
    <t>翟平平、操绍平、陈春、彭华（APP性能测试）</t>
    <phoneticPr fontId="44" type="noConversion"/>
  </si>
  <si>
    <t>稳定性、兼容性、UI易用性、通用控件</t>
    <phoneticPr fontId="47" type="noConversion"/>
  </si>
  <si>
    <t>国泰安统一身份认证软件V3.0</t>
    <phoneticPr fontId="47" type="noConversion"/>
  </si>
  <si>
    <t>1、建议能够细化需求并合理控制需求变更； 
2、建议研发能加强自测准出；
3、建议后续涉及多个子系统的大型项目，前期应做好项目整体规划并按计划有序进行；
4、建议后续涉及到采购的部分提前规划以免影响工期。</t>
    <phoneticPr fontId="47" type="noConversion"/>
  </si>
  <si>
    <t>国泰安赛名师平台软件V1.3.1</t>
    <phoneticPr fontId="47" type="noConversion"/>
  </si>
  <si>
    <t>赛名师新职教-汽车专业综合解决方案V1.0</t>
    <phoneticPr fontId="47" type="noConversion"/>
  </si>
  <si>
    <t>赛名师云课堂网页端V1.0</t>
    <phoneticPr fontId="47" type="noConversion"/>
  </si>
  <si>
    <t>柔性化智能实验教学管理平台R1.2（迭代一）</t>
    <phoneticPr fontId="47" type="noConversion"/>
  </si>
  <si>
    <t>国泰安虚拟交易所软件V7.0（暂停）</t>
    <phoneticPr fontId="47" type="noConversion"/>
  </si>
  <si>
    <t>国泰安虚拟交易所V6.7版全国大赛</t>
    <phoneticPr fontId="47" type="noConversion"/>
  </si>
  <si>
    <t>国素教育官网V1.0</t>
    <phoneticPr fontId="47" type="noConversion"/>
  </si>
  <si>
    <t>国素教育</t>
  </si>
  <si>
    <t>上海食品科技学校果汁饮料生产仿真教学实训平台系统M1.0</t>
    <phoneticPr fontId="47" type="noConversion"/>
  </si>
  <si>
    <t>国泰安3D金融教学平台软件V3.1.1</t>
    <phoneticPr fontId="47" type="noConversion"/>
  </si>
  <si>
    <t>国泰安统一身份认证软件V3.0</t>
    <phoneticPr fontId="47" type="noConversion"/>
  </si>
  <si>
    <t>柔性化智能实验教学管理平台R1.1（迭代五）</t>
    <phoneticPr fontId="47" type="noConversion"/>
  </si>
  <si>
    <t>国泰安迎新管理系统V3.5</t>
    <phoneticPr fontId="47" type="noConversion"/>
  </si>
  <si>
    <t>柔性化智能实验教学管理平台R1.1（迭代五）</t>
    <phoneticPr fontId="47" type="noConversion"/>
  </si>
  <si>
    <t>VR事业部</t>
    <phoneticPr fontId="47" type="noConversion"/>
  </si>
  <si>
    <t>VR事业部</t>
    <phoneticPr fontId="47" type="noConversion"/>
  </si>
  <si>
    <t>APP：
1、项目前期开发人力不足，导致转测时间有延迟；测试过程中由于IM一直未采购到，使用试用版出现了较多问题，增加了测试和开发的工作量；
2、项目的开发人员工作认真负责，积极解决发现的BUG，保证了功能性BUG及时得到修复；
3、性能测试中部分性能点进行了多次调优扔无法达到需求要求的并发数，由于时间原因和交付压力，在产品的同意下把不能达标的性能点放在R1.2迭代一中继续进行优化；
4、由于公司IM采购过程中，购买款项一直未能排期，导致迭代五项目执行期内暂停，人员释放。待采购款到位，申请项目变更，进行最后回归测试。
5、APP只在华为honor v8和iphone 6s上进行测试，其他机器的兼容性不能得到保证。
众筹系统：
1、项目开发为第三方开发，沟通较为困难，修改bug缓慢且质量不高，有些问题反复出现。
2、该项目管理较为混乱，轮次不清。
3、该项目存在较多不影响主流程的遗漏问题，下板修复。</t>
    <phoneticPr fontId="47" type="noConversion"/>
  </si>
  <si>
    <t>智慧教学事业部（VR）</t>
    <phoneticPr fontId="47" type="noConversion"/>
  </si>
  <si>
    <t>智慧教学事业部（VR）</t>
    <phoneticPr fontId="47" type="noConversion"/>
  </si>
  <si>
    <t>实训软件开发中心</t>
    <phoneticPr fontId="47" type="noConversion"/>
  </si>
  <si>
    <t>项目类型</t>
    <phoneticPr fontId="47" type="noConversion"/>
  </si>
  <si>
    <t>项目类型</t>
    <phoneticPr fontId="47" type="noConversion"/>
  </si>
  <si>
    <t>运维型</t>
  </si>
  <si>
    <t>大型</t>
  </si>
  <si>
    <t>项目类别</t>
    <phoneticPr fontId="47" type="noConversion"/>
  </si>
  <si>
    <t>项目类别</t>
    <phoneticPr fontId="47" type="noConversion"/>
  </si>
  <si>
    <t>问题分类</t>
    <phoneticPr fontId="47" type="noConversion"/>
  </si>
  <si>
    <t>安装部署问题</t>
  </si>
  <si>
    <t>安装部署问题</t>
    <phoneticPr fontId="47" type="noConversion"/>
  </si>
  <si>
    <t>需求</t>
  </si>
  <si>
    <t>智慧教学事业部（VR）</t>
    <phoneticPr fontId="47" type="noConversion"/>
  </si>
  <si>
    <t>事业部</t>
    <phoneticPr fontId="47" type="noConversion"/>
  </si>
  <si>
    <t>智慧教学事业部（赛名师）</t>
    <phoneticPr fontId="47" type="noConversion"/>
  </si>
  <si>
    <t>金融教育事业部</t>
    <phoneticPr fontId="47" type="noConversion"/>
  </si>
  <si>
    <t>专业建设事业部</t>
    <phoneticPr fontId="47" type="noConversion"/>
  </si>
  <si>
    <t>智慧教学事业部（VR）</t>
    <phoneticPr fontId="47" type="noConversion"/>
  </si>
  <si>
    <t xml:space="preserve">
小结说明：
智慧校园事业部：结项项目“NT缺陷率”、“缺陷密度”超过基准线，需要重视；
实训软件开发中心：结项项目“NT缺陷率”、“遗留缺陷率”超过基准线，需要重视；
智慧教学事业部（VR）：结项项目“NT缺陷率”、“缺陷密度”、“遗留缺陷率”均未超过基准线</t>
    <phoneticPr fontId="47" type="noConversion"/>
  </si>
  <si>
    <r>
      <t xml:space="preserve">
小结说明：
</t>
    </r>
    <r>
      <rPr>
        <sz val="11"/>
        <color theme="1"/>
        <rFont val="宋体"/>
        <family val="3"/>
        <charset val="134"/>
      </rPr>
      <t>智慧校园事业部：BUG基本都是分布在”P3(一般)”、”P4(微小)”，存在少部分建议缺陷；；</t>
    </r>
    <r>
      <rPr>
        <b/>
        <sz val="11"/>
        <color theme="1"/>
        <rFont val="宋体"/>
        <family val="3"/>
        <charset val="134"/>
      </rPr>
      <t xml:space="preserve">
</t>
    </r>
    <r>
      <rPr>
        <sz val="11"/>
        <color theme="1"/>
        <rFont val="宋体"/>
        <family val="3"/>
        <charset val="134"/>
      </rPr>
      <t>实训软件开发中心：BUG基本都是分布在”P3(一般)”、”P4(微小)”缺陷，存在少部分建议缺陷；
智慧教学事业部（VR）：BUG基本都是分布在”P3(一般)”、”P4(微小)”缺陷，存在少部分建议缺陷；</t>
    </r>
    <phoneticPr fontId="47" type="noConversion"/>
  </si>
  <si>
    <t>王平刚</t>
    <phoneticPr fontId="47" type="noConversion"/>
  </si>
  <si>
    <t>程露</t>
    <phoneticPr fontId="47" type="noConversion"/>
  </si>
  <si>
    <t>邓建博</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</si>
</sst>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0_);[Red]\(0.00\)"/>
    <numFmt numFmtId="177" formatCode="0.0000_ "/>
    <numFmt numFmtId="178" formatCode="0.000"/>
    <numFmt numFmtId="179" formatCode="0_);[Red]\(0\)"/>
    <numFmt numFmtId="180" formatCode="0.00_ "/>
    <numFmt numFmtId="181" formatCode="0.0_);[Red]\(0.0\)"/>
  </numFmts>
  <fonts count="51">
    <font>
      <sz val="11"/>
      <color theme="1"/>
      <name val="宋体"/>
      <charset val="134"/>
      <scheme val="minor"/>
    </font>
    <font>
      <b/>
      <sz val="14"/>
      <color theme="1"/>
      <name val="微软雅黑"/>
      <family val="2"/>
      <charset val="134"/>
    </font>
    <font>
      <sz val="11"/>
      <color theme="1"/>
      <name val="微软雅黑"/>
      <family val="2"/>
      <charset val="134"/>
    </font>
    <font>
      <b/>
      <sz val="10.5"/>
      <color theme="1"/>
      <name val="宋体"/>
      <family val="3"/>
      <charset val="134"/>
    </font>
    <font>
      <b/>
      <sz val="10.5"/>
      <color theme="1"/>
      <name val="Calibri"/>
      <family val="2"/>
    </font>
    <font>
      <sz val="9"/>
      <name val="微软雅黑"/>
      <family val="2"/>
      <charset val="134"/>
    </font>
    <font>
      <sz val="10.5"/>
      <color theme="1"/>
      <name val="Calibri"/>
      <family val="2"/>
    </font>
    <font>
      <sz val="9"/>
      <color theme="1"/>
      <name val="微软雅黑"/>
      <family val="2"/>
      <charset val="134"/>
    </font>
    <font>
      <sz val="10.5"/>
      <color theme="1"/>
      <name val="宋体"/>
      <family val="3"/>
      <charset val="134"/>
    </font>
    <font>
      <sz val="9"/>
      <color theme="1"/>
      <name val="宋体"/>
      <family val="3"/>
      <charset val="134"/>
      <scheme val="minor"/>
    </font>
    <font>
      <b/>
      <sz val="11"/>
      <color theme="1"/>
      <name val="宋体"/>
      <family val="3"/>
      <charset val="134"/>
      <scheme val="minor"/>
    </font>
    <font>
      <sz val="9"/>
      <color rgb="FF000000"/>
      <name val="宋体"/>
      <family val="3"/>
      <charset val="134"/>
    </font>
    <font>
      <b/>
      <sz val="14"/>
      <color rgb="FFFF0000"/>
      <name val="微软雅黑"/>
      <family val="2"/>
      <charset val="134"/>
    </font>
    <font>
      <b/>
      <sz val="10"/>
      <color theme="1"/>
      <name val="微软雅黑"/>
      <family val="2"/>
      <charset val="134"/>
    </font>
    <font>
      <sz val="10"/>
      <color indexed="8"/>
      <name val="宋体"/>
      <family val="3"/>
      <charset val="134"/>
      <scheme val="minor"/>
    </font>
    <font>
      <b/>
      <sz val="14"/>
      <name val="微软雅黑"/>
      <family val="2"/>
      <charset val="134"/>
    </font>
    <font>
      <sz val="10"/>
      <color indexed="8"/>
      <name val="宋体"/>
      <family val="3"/>
      <charset val="134"/>
    </font>
    <font>
      <sz val="10"/>
      <name val="宋体"/>
      <family val="3"/>
      <charset val="134"/>
    </font>
    <font>
      <sz val="12"/>
      <name val="宋体"/>
      <family val="3"/>
      <charset val="134"/>
    </font>
    <font>
      <sz val="10"/>
      <name val="宋体"/>
      <family val="3"/>
      <charset val="134"/>
      <scheme val="minor"/>
    </font>
    <font>
      <sz val="9"/>
      <color indexed="12"/>
      <name val="Arial"/>
      <family val="2"/>
    </font>
    <font>
      <sz val="10"/>
      <color theme="1"/>
      <name val="宋体"/>
      <family val="3"/>
      <charset val="134"/>
      <scheme val="minor"/>
    </font>
    <font>
      <b/>
      <sz val="9"/>
      <color indexed="8"/>
      <name val="宋体"/>
      <family val="3"/>
      <charset val="134"/>
    </font>
    <font>
      <b/>
      <sz val="10"/>
      <color theme="1"/>
      <name val="宋体"/>
      <family val="3"/>
      <charset val="134"/>
      <scheme val="minor"/>
    </font>
    <font>
      <b/>
      <sz val="10"/>
      <color indexed="8"/>
      <name val="微软雅黑"/>
      <family val="2"/>
      <charset val="134"/>
    </font>
    <font>
      <sz val="11"/>
      <name val="宋体"/>
      <family val="3"/>
      <charset val="134"/>
      <scheme val="minor"/>
    </font>
    <font>
      <sz val="11"/>
      <name val="微软雅黑"/>
      <family val="2"/>
      <charset val="134"/>
    </font>
    <font>
      <b/>
      <sz val="9"/>
      <color theme="1"/>
      <name val="宋体"/>
      <family val="3"/>
      <charset val="134"/>
      <scheme val="minor"/>
    </font>
    <font>
      <b/>
      <sz val="9"/>
      <color indexed="8"/>
      <name val="微软雅黑"/>
      <family val="2"/>
      <charset val="134"/>
    </font>
    <font>
      <sz val="10"/>
      <name val="微软雅黑"/>
      <family val="2"/>
      <charset val="134"/>
    </font>
    <font>
      <b/>
      <sz val="9"/>
      <name val="微软雅黑"/>
      <family val="2"/>
      <charset val="134"/>
    </font>
    <font>
      <b/>
      <sz val="12"/>
      <name val="微软雅黑"/>
      <family val="2"/>
      <charset val="134"/>
    </font>
    <font>
      <b/>
      <sz val="8"/>
      <name val="微软雅黑"/>
      <family val="2"/>
      <charset val="134"/>
    </font>
    <font>
      <b/>
      <sz val="9"/>
      <color theme="1"/>
      <name val="微软雅黑"/>
      <family val="2"/>
      <charset val="134"/>
    </font>
    <font>
      <b/>
      <sz val="9"/>
      <color rgb="FFFF0000"/>
      <name val="微软雅黑"/>
      <family val="2"/>
      <charset val="134"/>
    </font>
    <font>
      <b/>
      <sz val="12"/>
      <color rgb="FFFF0000"/>
      <name val="微软雅黑"/>
      <family val="2"/>
      <charset val="134"/>
    </font>
    <font>
      <sz val="9"/>
      <color theme="1"/>
      <name val="宋体"/>
      <family val="3"/>
      <charset val="134"/>
      <scheme val="major"/>
    </font>
    <font>
      <sz val="10"/>
      <color theme="1"/>
      <name val="微软雅黑"/>
      <family val="2"/>
      <charset val="134"/>
    </font>
    <font>
      <b/>
      <sz val="11"/>
      <color theme="1"/>
      <name val="宋体"/>
      <family val="3"/>
      <charset val="134"/>
    </font>
    <font>
      <b/>
      <sz val="11"/>
      <color theme="1"/>
      <name val="微软雅黑"/>
      <family val="2"/>
      <charset val="134"/>
    </font>
    <font>
      <sz val="11"/>
      <color indexed="8"/>
      <name val="宋体"/>
      <family val="3"/>
      <charset val="134"/>
    </font>
    <font>
      <sz val="11"/>
      <color theme="1"/>
      <name val="宋体"/>
      <family val="3"/>
      <charset val="134"/>
      <scheme val="minor"/>
    </font>
    <font>
      <sz val="11"/>
      <color theme="1"/>
      <name val="宋体"/>
      <family val="3"/>
      <charset val="134"/>
    </font>
    <font>
      <b/>
      <sz val="9"/>
      <name val="宋体"/>
      <family val="3"/>
      <charset val="134"/>
    </font>
    <font>
      <sz val="9"/>
      <name val="宋体"/>
      <family val="3"/>
      <charset val="134"/>
    </font>
    <font>
      <b/>
      <sz val="9"/>
      <name val="Tahoma"/>
      <family val="2"/>
    </font>
    <font>
      <sz val="9"/>
      <name val="Tahoma"/>
      <family val="2"/>
    </font>
    <font>
      <sz val="9"/>
      <name val="宋体"/>
      <family val="3"/>
      <charset val="134"/>
      <scheme val="minor"/>
    </font>
    <font>
      <sz val="10"/>
      <color indexed="8"/>
      <name val="宋体"/>
      <family val="3"/>
      <charset val="134"/>
      <scheme val="minor"/>
    </font>
    <font>
      <sz val="9"/>
      <color theme="1"/>
      <name val="宋体"/>
      <family val="3"/>
      <charset val="134"/>
    </font>
    <font>
      <sz val="10"/>
      <color indexed="8"/>
      <name val="微软雅黑"/>
      <family val="2"/>
      <charset val="134"/>
    </font>
  </fonts>
  <fills count="13">
    <fill>
      <patternFill patternType="none"/>
    </fill>
    <fill>
      <patternFill patternType="gray125"/>
    </fill>
    <fill>
      <patternFill patternType="solid">
        <fgColor rgb="FFF0AD00"/>
        <bgColor indexed="64"/>
      </patternFill>
    </fill>
    <fill>
      <patternFill patternType="solid">
        <fgColor rgb="FFF9E3CB"/>
        <bgColor indexed="64"/>
      </patternFill>
    </fill>
    <fill>
      <patternFill patternType="solid">
        <fgColor theme="5" tint="0.39982299264503923"/>
        <bgColor indexed="64"/>
      </patternFill>
    </fill>
    <fill>
      <patternFill patternType="solid">
        <fgColor theme="0"/>
        <bgColor indexed="64"/>
      </patternFill>
    </fill>
    <fill>
      <patternFill patternType="solid">
        <fgColor rgb="FFDA9694"/>
        <bgColor indexed="64"/>
      </patternFill>
    </fill>
    <fill>
      <patternFill patternType="solid">
        <fgColor theme="9" tint="0.79976805932798245"/>
        <bgColor indexed="64"/>
      </patternFill>
    </fill>
    <fill>
      <patternFill patternType="solid">
        <fgColor theme="5" tint="0.39988402966399123"/>
        <bgColor indexed="64"/>
      </patternFill>
    </fill>
    <fill>
      <patternFill patternType="solid">
        <fgColor theme="5" tint="0.39973143711661124"/>
        <bgColor indexed="64"/>
      </patternFill>
    </fill>
    <fill>
      <patternFill patternType="solid">
        <fgColor theme="5" tint="0.39970091860713525"/>
        <bgColor indexed="64"/>
      </patternFill>
    </fill>
    <fill>
      <patternFill patternType="solid">
        <fgColor rgb="FFFFFF00"/>
        <bgColor indexed="64"/>
      </patternFill>
    </fill>
    <fill>
      <patternFill patternType="solid">
        <fgColor theme="9" tint="0.79973754081850645"/>
        <bgColor indexed="64"/>
      </patternFill>
    </fill>
  </fills>
  <borders count="3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medium">
        <color rgb="FFFFFFFF"/>
      </right>
      <top style="thin">
        <color auto="1"/>
      </top>
      <bottom style="thick">
        <color rgb="FFFFFFFF"/>
      </bottom>
      <diagonal/>
    </border>
    <border>
      <left/>
      <right style="medium">
        <color rgb="FFFFFFFF"/>
      </right>
      <top style="thin">
        <color auto="1"/>
      </top>
      <bottom style="thick">
        <color rgb="FFFFFFFF"/>
      </bottom>
      <diagonal/>
    </border>
    <border>
      <left/>
      <right style="thin">
        <color auto="1"/>
      </right>
      <top style="thin">
        <color auto="1"/>
      </top>
      <bottom style="thick">
        <color rgb="FFFFFFFF"/>
      </bottom>
      <diagonal/>
    </border>
    <border>
      <left style="thin">
        <color auto="1"/>
      </left>
      <right style="medium">
        <color rgb="FFFFFFFF"/>
      </right>
      <top/>
      <bottom style="medium">
        <color rgb="FFFFFFFF"/>
      </bottom>
      <diagonal/>
    </border>
    <border>
      <left/>
      <right style="medium">
        <color rgb="FFFFFFFF"/>
      </right>
      <top/>
      <bottom style="medium">
        <color rgb="FFFFFFFF"/>
      </bottom>
      <diagonal/>
    </border>
    <border>
      <left/>
      <right style="thin">
        <color auto="1"/>
      </right>
      <top/>
      <bottom style="medium">
        <color rgb="FFFFFFFF"/>
      </bottom>
      <diagonal/>
    </border>
    <border>
      <left style="thin">
        <color auto="1"/>
      </left>
      <right style="medium">
        <color rgb="FFFFFFFF"/>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5">
    <xf numFmtId="0" fontId="0" fillId="0" borderId="0">
      <alignment vertical="center"/>
    </xf>
    <xf numFmtId="0" fontId="40" fillId="0" borderId="0">
      <alignment vertical="center"/>
    </xf>
    <xf numFmtId="0" fontId="40" fillId="0" borderId="0">
      <alignment vertical="center"/>
    </xf>
    <xf numFmtId="0" fontId="40" fillId="0" borderId="0">
      <alignment vertical="center"/>
    </xf>
    <xf numFmtId="0" fontId="41" fillId="0" borderId="0">
      <alignment vertical="center"/>
    </xf>
  </cellStyleXfs>
  <cellXfs count="261">
    <xf numFmtId="0" fontId="0" fillId="0" borderId="0" xfId="0">
      <alignment vertical="center"/>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5" fillId="3" borderId="8" xfId="0" applyFont="1" applyFill="1" applyBorder="1" applyAlignment="1">
      <alignment horizontal="justify" vertical="center" wrapText="1"/>
    </xf>
    <xf numFmtId="0" fontId="6" fillId="3" borderId="8" xfId="0" applyFont="1" applyFill="1" applyBorder="1" applyAlignment="1">
      <alignment horizontal="justify" vertical="center" wrapText="1"/>
    </xf>
    <xf numFmtId="0" fontId="6" fillId="3" borderId="9" xfId="0" applyFont="1" applyFill="1" applyBorder="1" applyAlignment="1">
      <alignment horizontal="justify" vertical="center" wrapText="1"/>
    </xf>
    <xf numFmtId="0" fontId="7" fillId="3" borderId="8" xfId="0" applyFont="1" applyFill="1" applyBorder="1" applyAlignment="1">
      <alignment horizontal="justify" vertical="center" wrapText="1"/>
    </xf>
    <xf numFmtId="0" fontId="3" fillId="2" borderId="10" xfId="0" applyFont="1" applyFill="1" applyBorder="1" applyAlignment="1">
      <alignment horizontal="center" vertical="center" wrapText="1"/>
    </xf>
    <xf numFmtId="0" fontId="9" fillId="0" borderId="0" xfId="0" applyFont="1" applyAlignment="1">
      <alignment horizontal="left" vertical="center"/>
    </xf>
    <xf numFmtId="0" fontId="9" fillId="0" borderId="0" xfId="0" applyFont="1" applyBorder="1" applyAlignment="1">
      <alignment horizontal="left"/>
    </xf>
    <xf numFmtId="0" fontId="9" fillId="0" borderId="0" xfId="0" applyFont="1" applyBorder="1" applyAlignment="1"/>
    <xf numFmtId="0" fontId="8" fillId="0" borderId="0" xfId="0" applyFont="1" applyAlignment="1">
      <alignment horizontal="justify" vertical="center"/>
    </xf>
    <xf numFmtId="0" fontId="0" fillId="0" borderId="0" xfId="0" applyAlignment="1"/>
    <xf numFmtId="0" fontId="0" fillId="0" borderId="0" xfId="0" applyAlignment="1">
      <alignment horizontal="center" vertical="center"/>
    </xf>
    <xf numFmtId="0" fontId="10" fillId="4" borderId="11" xfId="0" applyFont="1" applyFill="1" applyBorder="1" applyAlignment="1">
      <alignment horizontal="center" vertical="center"/>
    </xf>
    <xf numFmtId="14" fontId="9" fillId="0" borderId="11" xfId="0" applyNumberFormat="1" applyFont="1" applyBorder="1">
      <alignment vertical="center"/>
    </xf>
    <xf numFmtId="14" fontId="9" fillId="0" borderId="11" xfId="0" applyNumberFormat="1" applyFont="1" applyBorder="1" applyAlignment="1">
      <alignment horizontal="center" vertical="center"/>
    </xf>
    <xf numFmtId="0" fontId="9" fillId="5" borderId="11" xfId="0" applyFont="1" applyFill="1" applyBorder="1" applyAlignment="1">
      <alignment vertical="center" wrapText="1"/>
    </xf>
    <xf numFmtId="14" fontId="9" fillId="5" borderId="11" xfId="0" applyNumberFormat="1" applyFont="1" applyFill="1" applyBorder="1" applyAlignment="1">
      <alignment horizontal="center" vertical="center"/>
    </xf>
    <xf numFmtId="0" fontId="9" fillId="0" borderId="11" xfId="0" applyFont="1" applyFill="1" applyBorder="1" applyAlignment="1">
      <alignment vertical="center" wrapText="1"/>
    </xf>
    <xf numFmtId="14" fontId="9" fillId="0" borderId="11" xfId="0" applyNumberFormat="1" applyFont="1" applyFill="1" applyBorder="1" applyAlignment="1">
      <alignment horizontal="center" vertical="center"/>
    </xf>
    <xf numFmtId="0" fontId="11" fillId="5" borderId="11" xfId="0" applyFont="1" applyFill="1" applyBorder="1" applyAlignment="1">
      <alignment horizontal="left" vertical="center" wrapText="1" readingOrder="1"/>
    </xf>
    <xf numFmtId="0" fontId="13" fillId="6" borderId="11" xfId="0" applyFont="1" applyFill="1" applyBorder="1" applyAlignment="1">
      <alignment horizontal="center" vertical="center"/>
    </xf>
    <xf numFmtId="0" fontId="13" fillId="6" borderId="1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3" fillId="6" borderId="12" xfId="0" applyFont="1" applyFill="1" applyBorder="1" applyAlignment="1">
      <alignment horizontal="center" vertical="center"/>
    </xf>
    <xf numFmtId="0" fontId="13" fillId="6" borderId="12" xfId="0" applyFont="1" applyFill="1" applyBorder="1" applyAlignment="1">
      <alignment horizontal="center" vertical="center" wrapText="1"/>
    </xf>
    <xf numFmtId="0" fontId="16" fillId="0" borderId="11" xfId="0" applyFont="1" applyBorder="1" applyAlignment="1">
      <alignment vertical="center" wrapText="1"/>
    </xf>
    <xf numFmtId="0" fontId="0" fillId="0" borderId="0" xfId="0" applyAlignment="1">
      <alignment vertical="center" wrapText="1"/>
    </xf>
    <xf numFmtId="0" fontId="17" fillId="5" borderId="11"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20" fillId="7" borderId="11" xfId="0" applyNumberFormat="1" applyFont="1" applyFill="1" applyBorder="1" applyAlignment="1" applyProtection="1">
      <alignment horizontal="center" vertical="center"/>
      <protection locked="0"/>
    </xf>
    <xf numFmtId="10" fontId="21" fillId="7" borderId="11" xfId="0" applyNumberFormat="1" applyFont="1" applyFill="1" applyBorder="1">
      <alignment vertical="center"/>
    </xf>
    <xf numFmtId="176" fontId="21" fillId="7" borderId="11" xfId="0" applyNumberFormat="1" applyFont="1" applyFill="1" applyBorder="1">
      <alignment vertical="center"/>
    </xf>
    <xf numFmtId="0" fontId="21" fillId="7" borderId="11" xfId="0" applyFont="1" applyFill="1" applyBorder="1">
      <alignment vertical="center"/>
    </xf>
    <xf numFmtId="176" fontId="21" fillId="5" borderId="11" xfId="0" applyNumberFormat="1" applyFont="1" applyFill="1" applyBorder="1" applyAlignment="1">
      <alignment horizontal="center" vertical="center" wrapText="1"/>
    </xf>
    <xf numFmtId="176" fontId="21" fillId="7" borderId="11" xfId="0" applyNumberFormat="1" applyFont="1" applyFill="1" applyBorder="1" applyAlignment="1">
      <alignment horizontal="center" vertical="center" wrapText="1"/>
    </xf>
    <xf numFmtId="177" fontId="21" fillId="7" borderId="11" xfId="0" applyNumberFormat="1" applyFont="1" applyFill="1" applyBorder="1" applyAlignment="1">
      <alignment horizontal="center" vertical="center" wrapText="1"/>
    </xf>
    <xf numFmtId="10" fontId="21" fillId="7" borderId="11" xfId="0" applyNumberFormat="1" applyFont="1" applyFill="1" applyBorder="1" applyAlignment="1">
      <alignment horizontal="center" vertical="center" wrapText="1"/>
    </xf>
    <xf numFmtId="10" fontId="21" fillId="5" borderId="11" xfId="0" applyNumberFormat="1" applyFont="1" applyFill="1" applyBorder="1" applyAlignment="1">
      <alignment horizontal="center" vertical="center" wrapText="1"/>
    </xf>
    <xf numFmtId="0" fontId="0" fillId="0" borderId="11" xfId="0" applyBorder="1" applyAlignment="1">
      <alignment vertical="center" wrapText="1"/>
    </xf>
    <xf numFmtId="10" fontId="0" fillId="0" borderId="0" xfId="0" applyNumberFormat="1">
      <alignment vertical="center"/>
    </xf>
    <xf numFmtId="0" fontId="22" fillId="5" borderId="0" xfId="0" applyFont="1" applyFill="1" applyBorder="1" applyAlignment="1">
      <alignment horizontal="center" vertical="center" wrapText="1"/>
    </xf>
    <xf numFmtId="0" fontId="23" fillId="5" borderId="2" xfId="0" applyFont="1" applyFill="1" applyBorder="1" applyAlignment="1">
      <alignment vertical="center"/>
    </xf>
    <xf numFmtId="0" fontId="23" fillId="5" borderId="2" xfId="0" applyFont="1" applyFill="1" applyBorder="1" applyAlignment="1">
      <alignment horizontal="center" vertical="center"/>
    </xf>
    <xf numFmtId="0" fontId="23" fillId="5" borderId="0" xfId="0" applyFont="1" applyFill="1" applyBorder="1" applyAlignment="1">
      <alignment vertical="center"/>
    </xf>
    <xf numFmtId="0" fontId="23" fillId="5" borderId="0" xfId="0" applyFont="1" applyFill="1" applyBorder="1" applyAlignment="1">
      <alignment horizontal="center" vertical="center"/>
    </xf>
    <xf numFmtId="0" fontId="24" fillId="8" borderId="11" xfId="0" applyFont="1" applyFill="1" applyBorder="1" applyAlignment="1">
      <alignment horizontal="center" vertical="center" wrapText="1"/>
    </xf>
    <xf numFmtId="0" fontId="24" fillId="8" borderId="11" xfId="0" applyFont="1" applyFill="1" applyBorder="1" applyAlignment="1">
      <alignment horizontal="center" vertical="center" wrapText="1" readingOrder="1"/>
    </xf>
    <xf numFmtId="0" fontId="25" fillId="5" borderId="11" xfId="0" applyFont="1" applyFill="1" applyBorder="1" applyAlignment="1">
      <alignment horizontal="center" vertical="center"/>
    </xf>
    <xf numFmtId="0" fontId="17" fillId="5" borderId="11" xfId="0" applyFont="1" applyFill="1" applyBorder="1" applyAlignment="1">
      <alignment horizontal="left" vertical="center" wrapText="1"/>
    </xf>
    <xf numFmtId="10" fontId="23" fillId="5" borderId="2" xfId="0" applyNumberFormat="1" applyFont="1" applyFill="1" applyBorder="1" applyAlignment="1">
      <alignment vertical="center"/>
    </xf>
    <xf numFmtId="10" fontId="23" fillId="5" borderId="0" xfId="0" applyNumberFormat="1" applyFont="1" applyFill="1" applyBorder="1" applyAlignment="1">
      <alignment vertical="center"/>
    </xf>
    <xf numFmtId="10" fontId="24" fillId="8" borderId="11" xfId="0" applyNumberFormat="1" applyFont="1" applyFill="1" applyBorder="1" applyAlignment="1">
      <alignment horizontal="center" vertical="center" wrapText="1" readingOrder="1"/>
    </xf>
    <xf numFmtId="0" fontId="9" fillId="5" borderId="0" xfId="0" applyFont="1" applyFill="1" applyAlignment="1">
      <alignment vertical="center" wrapText="1"/>
    </xf>
    <xf numFmtId="0" fontId="7" fillId="5" borderId="0" xfId="0" applyFont="1" applyFill="1" applyAlignment="1">
      <alignment vertical="center" wrapText="1"/>
    </xf>
    <xf numFmtId="0" fontId="26" fillId="5" borderId="0" xfId="0" applyFont="1" applyFill="1">
      <alignment vertical="center"/>
    </xf>
    <xf numFmtId="0" fontId="0" fillId="0" borderId="0" xfId="0" applyAlignment="1">
      <alignment horizontal="center" vertical="center" wrapText="1"/>
    </xf>
    <xf numFmtId="179" fontId="0" fillId="0" borderId="0" xfId="0" applyNumberFormat="1" applyAlignment="1">
      <alignment horizontal="center" vertical="center"/>
    </xf>
    <xf numFmtId="180" fontId="0" fillId="0" borderId="0" xfId="0" applyNumberFormat="1">
      <alignment vertical="center"/>
    </xf>
    <xf numFmtId="181" fontId="0" fillId="0" borderId="0" xfId="0" applyNumberFormat="1">
      <alignment vertical="center"/>
    </xf>
    <xf numFmtId="0" fontId="23" fillId="5" borderId="16" xfId="0" applyFont="1" applyFill="1" applyBorder="1" applyAlignment="1">
      <alignment vertical="center"/>
    </xf>
    <xf numFmtId="0" fontId="23" fillId="5" borderId="16" xfId="0" applyFont="1" applyFill="1" applyBorder="1" applyAlignment="1">
      <alignment horizontal="center" vertical="center"/>
    </xf>
    <xf numFmtId="0" fontId="28" fillId="5" borderId="11" xfId="0" applyFont="1" applyFill="1" applyBorder="1" applyAlignment="1">
      <alignment vertical="center" wrapText="1"/>
    </xf>
    <xf numFmtId="0" fontId="28" fillId="5" borderId="11" xfId="0" applyFont="1" applyFill="1" applyBorder="1" applyAlignment="1">
      <alignment horizontal="center" vertical="center" wrapText="1"/>
    </xf>
    <xf numFmtId="0" fontId="28" fillId="7" borderId="11" xfId="0" applyFont="1" applyFill="1" applyBorder="1" applyAlignment="1">
      <alignment horizontal="center" vertical="center" wrapText="1"/>
    </xf>
    <xf numFmtId="0" fontId="28" fillId="7" borderId="11" xfId="0" applyFont="1" applyFill="1" applyBorder="1" applyAlignment="1">
      <alignment horizontal="center" vertical="center" wrapText="1" readingOrder="1"/>
    </xf>
    <xf numFmtId="0" fontId="17" fillId="7" borderId="11" xfId="0" applyFont="1" applyFill="1" applyBorder="1" applyAlignment="1">
      <alignment horizontal="left" vertical="center" wrapText="1"/>
    </xf>
    <xf numFmtId="0" fontId="21" fillId="0" borderId="11" xfId="0" applyFont="1" applyFill="1" applyBorder="1" applyAlignment="1">
      <alignment horizontal="center" vertical="center" wrapText="1"/>
    </xf>
    <xf numFmtId="0" fontId="28" fillId="5" borderId="11" xfId="0" applyFont="1" applyFill="1" applyBorder="1" applyAlignment="1">
      <alignment horizontal="center" vertical="center" wrapText="1" readingOrder="1"/>
    </xf>
    <xf numFmtId="179" fontId="28" fillId="5" borderId="11" xfId="0" applyNumberFormat="1" applyFont="1" applyFill="1" applyBorder="1" applyAlignment="1">
      <alignment horizontal="center" vertical="center" wrapText="1" readingOrder="1"/>
    </xf>
    <xf numFmtId="9" fontId="29" fillId="5" borderId="11" xfId="0" applyNumberFormat="1" applyFont="1" applyFill="1" applyBorder="1" applyAlignment="1">
      <alignment horizontal="center" vertical="center"/>
    </xf>
    <xf numFmtId="0" fontId="17" fillId="0" borderId="11" xfId="0" applyFont="1" applyFill="1" applyBorder="1" applyAlignment="1">
      <alignment horizontal="center" vertical="center" wrapText="1"/>
    </xf>
    <xf numFmtId="0" fontId="29" fillId="7" borderId="11" xfId="0" applyFont="1" applyFill="1" applyBorder="1" applyAlignment="1">
      <alignment horizontal="center" vertical="center" wrapText="1"/>
    </xf>
    <xf numFmtId="0" fontId="21" fillId="0" borderId="11" xfId="0" applyFont="1" applyFill="1" applyBorder="1" applyAlignment="1">
      <alignment horizontal="center" vertical="center"/>
    </xf>
    <xf numFmtId="180" fontId="23" fillId="5" borderId="16" xfId="0" applyNumberFormat="1" applyFont="1" applyFill="1" applyBorder="1" applyAlignment="1">
      <alignment vertical="center"/>
    </xf>
    <xf numFmtId="181" fontId="23" fillId="5" borderId="16" xfId="0" applyNumberFormat="1" applyFont="1" applyFill="1" applyBorder="1" applyAlignment="1">
      <alignment vertical="center"/>
    </xf>
    <xf numFmtId="180" fontId="28" fillId="7" borderId="11" xfId="0" applyNumberFormat="1" applyFont="1" applyFill="1" applyBorder="1" applyAlignment="1">
      <alignment horizontal="center" vertical="center" wrapText="1" readingOrder="1"/>
    </xf>
    <xf numFmtId="0" fontId="30" fillId="7" borderId="11" xfId="0" applyFont="1" applyFill="1" applyBorder="1" applyAlignment="1">
      <alignment horizontal="center" vertical="center" wrapText="1" readingOrder="1"/>
    </xf>
    <xf numFmtId="181" fontId="28" fillId="5" borderId="11" xfId="0" applyNumberFormat="1" applyFont="1" applyFill="1" applyBorder="1" applyAlignment="1">
      <alignment horizontal="center" vertical="center" wrapText="1" readingOrder="1"/>
    </xf>
    <xf numFmtId="180" fontId="29" fillId="7" borderId="11" xfId="0" applyNumberFormat="1" applyFont="1" applyFill="1" applyBorder="1" applyAlignment="1">
      <alignment horizontal="center" vertical="center" wrapText="1"/>
    </xf>
    <xf numFmtId="0" fontId="31" fillId="7" borderId="11" xfId="0" applyFont="1" applyFill="1" applyBorder="1" applyAlignment="1">
      <alignment horizontal="center" vertical="center" wrapText="1"/>
    </xf>
    <xf numFmtId="0" fontId="29" fillId="7" borderId="11" xfId="0" applyFont="1" applyFill="1" applyBorder="1" applyAlignment="1">
      <alignment horizontal="center" vertical="center"/>
    </xf>
    <xf numFmtId="179" fontId="5" fillId="5" borderId="11" xfId="0" applyNumberFormat="1" applyFont="1" applyFill="1" applyBorder="1" applyAlignment="1">
      <alignment horizontal="center" vertical="center" wrapText="1"/>
    </xf>
    <xf numFmtId="176" fontId="5" fillId="5" borderId="11" xfId="0" applyNumberFormat="1" applyFont="1" applyFill="1" applyBorder="1" applyAlignment="1">
      <alignment horizontal="center" vertical="center" wrapText="1"/>
    </xf>
    <xf numFmtId="181" fontId="5" fillId="5" borderId="11" xfId="0" applyNumberFormat="1" applyFont="1" applyFill="1" applyBorder="1" applyAlignment="1">
      <alignment horizontal="center" vertical="center" wrapText="1"/>
    </xf>
    <xf numFmtId="0" fontId="32" fillId="7" borderId="11" xfId="0" applyFont="1" applyFill="1" applyBorder="1" applyAlignment="1">
      <alignment horizontal="center" vertical="center" wrapText="1"/>
    </xf>
    <xf numFmtId="0" fontId="33" fillId="7" borderId="11" xfId="0" applyFont="1" applyFill="1" applyBorder="1" applyAlignment="1">
      <alignment horizontal="center" vertical="center" wrapText="1"/>
    </xf>
    <xf numFmtId="180" fontId="33" fillId="7" borderId="11" xfId="0" applyNumberFormat="1" applyFont="1" applyFill="1" applyBorder="1" applyAlignment="1">
      <alignment horizontal="center" vertical="center" wrapText="1"/>
    </xf>
    <xf numFmtId="0" fontId="30" fillId="7" borderId="11" xfId="0" applyFont="1" applyFill="1" applyBorder="1" applyAlignment="1">
      <alignment horizontal="center" vertical="center" wrapText="1"/>
    </xf>
    <xf numFmtId="0" fontId="33" fillId="5" borderId="11" xfId="0" applyFont="1" applyFill="1" applyBorder="1" applyAlignment="1">
      <alignment horizontal="center" vertical="center" wrapText="1"/>
    </xf>
    <xf numFmtId="181" fontId="33" fillId="7" borderId="11" xfId="0" applyNumberFormat="1" applyFont="1" applyFill="1" applyBorder="1" applyAlignment="1">
      <alignment horizontal="center" vertical="center" wrapText="1"/>
    </xf>
    <xf numFmtId="178" fontId="29" fillId="7" borderId="11" xfId="0" applyNumberFormat="1" applyFont="1" applyFill="1" applyBorder="1" applyAlignment="1">
      <alignment horizontal="center" vertical="center" wrapText="1"/>
    </xf>
    <xf numFmtId="181" fontId="7" fillId="7" borderId="11" xfId="0" applyNumberFormat="1" applyFont="1" applyFill="1" applyBorder="1" applyAlignment="1">
      <alignment horizontal="center" vertical="center" wrapText="1"/>
    </xf>
    <xf numFmtId="0" fontId="26" fillId="5" borderId="11" xfId="0" applyFont="1" applyFill="1" applyBorder="1" applyAlignment="1">
      <alignment horizontal="center" vertical="center"/>
    </xf>
    <xf numFmtId="0" fontId="23" fillId="5" borderId="17" xfId="0" applyFont="1" applyFill="1" applyBorder="1" applyAlignment="1">
      <alignment vertical="center"/>
    </xf>
    <xf numFmtId="0" fontId="27" fillId="5" borderId="11" xfId="0" applyFont="1" applyFill="1" applyBorder="1" applyAlignment="1">
      <alignment horizontal="center" vertical="center" wrapText="1"/>
    </xf>
    <xf numFmtId="0" fontId="34" fillId="5" borderId="11" xfId="0" applyFont="1" applyFill="1" applyBorder="1" applyAlignment="1">
      <alignment horizontal="center" vertical="center" wrapText="1"/>
    </xf>
    <xf numFmtId="0" fontId="35" fillId="7" borderId="11" xfId="0" applyFont="1" applyFill="1" applyBorder="1" applyAlignment="1">
      <alignment horizontal="center" vertical="center" wrapText="1"/>
    </xf>
    <xf numFmtId="0" fontId="35" fillId="5" borderId="11" xfId="0" applyFont="1" applyFill="1" applyBorder="1" applyAlignment="1">
      <alignment horizontal="center" vertical="center" wrapText="1"/>
    </xf>
    <xf numFmtId="0" fontId="0" fillId="5" borderId="0" xfId="0" applyFill="1">
      <alignment vertical="center"/>
    </xf>
    <xf numFmtId="49" fontId="0" fillId="0" borderId="0" xfId="0" applyNumberFormat="1" applyAlignment="1">
      <alignment vertical="center" wrapText="1"/>
    </xf>
    <xf numFmtId="49" fontId="13" fillId="9" borderId="19" xfId="0" applyNumberFormat="1" applyFont="1" applyFill="1" applyBorder="1" applyAlignment="1">
      <alignment horizontal="center" vertical="center" wrapText="1"/>
    </xf>
    <xf numFmtId="0" fontId="13" fillId="9" borderId="20" xfId="0" applyFont="1" applyFill="1" applyBorder="1" applyAlignment="1">
      <alignment horizontal="center" vertical="center"/>
    </xf>
    <xf numFmtId="0" fontId="0" fillId="0" borderId="0" xfId="0" applyBorder="1">
      <alignment vertical="center"/>
    </xf>
    <xf numFmtId="49" fontId="17" fillId="5" borderId="11" xfId="0" applyNumberFormat="1" applyFont="1" applyFill="1" applyBorder="1" applyAlignment="1">
      <alignment horizontal="left" vertical="center" wrapText="1"/>
    </xf>
    <xf numFmtId="176" fontId="21" fillId="0" borderId="11" xfId="0" applyNumberFormat="1" applyFont="1" applyFill="1" applyBorder="1" applyAlignment="1">
      <alignment horizontal="center" vertical="center"/>
    </xf>
    <xf numFmtId="0" fontId="0" fillId="0" borderId="0" xfId="0" applyNumberFormat="1" applyFont="1" applyBorder="1" applyAlignment="1">
      <alignment horizontal="left"/>
    </xf>
    <xf numFmtId="0" fontId="5" fillId="5" borderId="0" xfId="0"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176" fontId="21" fillId="0" borderId="0" xfId="0" applyNumberFormat="1" applyFont="1" applyFill="1" applyBorder="1" applyAlignment="1">
      <alignment horizontal="center" vertical="center"/>
    </xf>
    <xf numFmtId="180" fontId="0" fillId="0" borderId="0" xfId="0" applyNumberFormat="1" applyFont="1" applyBorder="1" applyAlignment="1">
      <alignment horizontal="left"/>
    </xf>
    <xf numFmtId="49" fontId="0" fillId="0" borderId="0" xfId="0" applyNumberFormat="1" applyFont="1" applyBorder="1" applyAlignment="1">
      <alignment horizontal="left" wrapText="1"/>
    </xf>
    <xf numFmtId="49" fontId="13" fillId="10" borderId="11" xfId="0" applyNumberFormat="1" applyFont="1" applyFill="1" applyBorder="1" applyAlignment="1">
      <alignment horizontal="center" vertical="center" wrapText="1"/>
    </xf>
    <xf numFmtId="0" fontId="13" fillId="10" borderId="11" xfId="0" applyFont="1" applyFill="1" applyBorder="1" applyAlignment="1">
      <alignment horizontal="center" vertical="center"/>
    </xf>
    <xf numFmtId="49" fontId="21" fillId="0" borderId="11" xfId="0" applyNumberFormat="1" applyFont="1" applyFill="1" applyBorder="1" applyAlignment="1">
      <alignment horizontal="center" vertical="center" wrapText="1"/>
    </xf>
    <xf numFmtId="49" fontId="21" fillId="0" borderId="0" xfId="0" applyNumberFormat="1" applyFont="1" applyFill="1" applyBorder="1" applyAlignment="1">
      <alignment horizontal="center" vertical="center" wrapText="1"/>
    </xf>
    <xf numFmtId="0" fontId="17" fillId="5" borderId="0" xfId="0" applyFont="1" applyFill="1" applyBorder="1" applyAlignment="1">
      <alignment horizontal="left" vertical="center" wrapText="1"/>
    </xf>
    <xf numFmtId="0" fontId="21" fillId="0" borderId="0" xfId="0" applyFont="1" applyFill="1" applyBorder="1" applyAlignment="1">
      <alignment horizontal="center" vertical="center" wrapText="1"/>
    </xf>
    <xf numFmtId="49" fontId="36" fillId="0" borderId="0" xfId="0" applyNumberFormat="1" applyFont="1" applyFill="1" applyBorder="1" applyAlignment="1">
      <alignment horizontal="center" vertical="center" wrapText="1"/>
    </xf>
    <xf numFmtId="0" fontId="36" fillId="0" borderId="0" xfId="0" applyFont="1" applyFill="1" applyAlignment="1">
      <alignment horizontal="center" vertical="center"/>
    </xf>
    <xf numFmtId="0" fontId="1" fillId="5" borderId="0" xfId="0" applyFont="1" applyFill="1" applyBorder="1" applyAlignment="1">
      <alignment horizontal="left" vertical="top" wrapText="1"/>
    </xf>
    <xf numFmtId="0" fontId="13" fillId="10" borderId="11" xfId="0" applyFont="1" applyFill="1" applyBorder="1" applyAlignment="1">
      <alignment horizontal="center" vertical="center" wrapText="1"/>
    </xf>
    <xf numFmtId="0" fontId="13" fillId="10" borderId="11" xfId="0" applyFont="1" applyFill="1" applyBorder="1" applyAlignment="1">
      <alignment vertical="center" wrapText="1"/>
    </xf>
    <xf numFmtId="49" fontId="5" fillId="5" borderId="11" xfId="0" applyNumberFormat="1" applyFont="1" applyFill="1" applyBorder="1" applyAlignment="1">
      <alignment vertical="center" wrapText="1"/>
    </xf>
    <xf numFmtId="0" fontId="37" fillId="5" borderId="11" xfId="0" applyFont="1" applyFill="1" applyBorder="1" applyAlignment="1">
      <alignment horizontal="center" vertical="center"/>
    </xf>
    <xf numFmtId="49" fontId="5" fillId="5" borderId="11" xfId="0" applyNumberFormat="1" applyFont="1" applyFill="1" applyBorder="1" applyAlignment="1">
      <alignment horizontal="left" vertical="center" wrapText="1"/>
    </xf>
    <xf numFmtId="49" fontId="5" fillId="0" borderId="11" xfId="0" applyNumberFormat="1" applyFont="1" applyFill="1" applyBorder="1" applyAlignment="1">
      <alignment horizontal="left" vertical="center" wrapText="1"/>
    </xf>
    <xf numFmtId="0" fontId="5" fillId="0" borderId="11" xfId="0" applyFont="1" applyFill="1" applyBorder="1" applyAlignment="1">
      <alignment horizontal="center" vertical="center" wrapText="1"/>
    </xf>
    <xf numFmtId="0" fontId="5" fillId="0" borderId="0" xfId="0" applyFont="1" applyFill="1" applyBorder="1" applyAlignment="1">
      <alignment horizontal="left" vertical="center" wrapText="1"/>
    </xf>
    <xf numFmtId="49" fontId="37" fillId="5" borderId="0" xfId="0" applyNumberFormat="1" applyFont="1" applyFill="1" applyBorder="1" applyAlignment="1">
      <alignment horizontal="center" vertical="center" wrapText="1"/>
    </xf>
    <xf numFmtId="0" fontId="37" fillId="5" borderId="0" xfId="0" applyFont="1" applyFill="1" applyBorder="1" applyAlignment="1">
      <alignment horizontal="center" vertical="center"/>
    </xf>
    <xf numFmtId="0" fontId="37" fillId="5" borderId="0" xfId="0" applyFont="1" applyFill="1" applyAlignment="1">
      <alignment horizontal="center" vertical="center"/>
    </xf>
    <xf numFmtId="49" fontId="13" fillId="10" borderId="12" xfId="0" applyNumberFormat="1" applyFont="1" applyFill="1" applyBorder="1" applyAlignment="1">
      <alignment horizontal="center" vertical="center" wrapText="1"/>
    </xf>
    <xf numFmtId="49" fontId="30" fillId="5" borderId="11" xfId="0" applyNumberFormat="1" applyFont="1" applyFill="1" applyBorder="1" applyAlignment="1">
      <alignment horizontal="left" vertical="center" wrapText="1"/>
    </xf>
    <xf numFmtId="49" fontId="30" fillId="5" borderId="0" xfId="0" applyNumberFormat="1" applyFont="1" applyFill="1" applyBorder="1" applyAlignment="1">
      <alignment horizontal="left" vertical="center" wrapText="1"/>
    </xf>
    <xf numFmtId="0" fontId="0" fillId="0" borderId="0" xfId="0" applyBorder="1" applyAlignment="1">
      <alignment horizontal="center" vertical="center"/>
    </xf>
    <xf numFmtId="180" fontId="0" fillId="0" borderId="0" xfId="0" applyNumberFormat="1" applyAlignment="1"/>
    <xf numFmtId="180" fontId="13" fillId="10" borderId="11" xfId="0" applyNumberFormat="1" applyFont="1" applyFill="1" applyBorder="1" applyAlignment="1">
      <alignment horizontal="center" vertical="center" wrapText="1"/>
    </xf>
    <xf numFmtId="180" fontId="37" fillId="5" borderId="11" xfId="0" applyNumberFormat="1" applyFont="1" applyFill="1" applyBorder="1" applyAlignment="1">
      <alignment horizontal="center" vertical="center"/>
    </xf>
    <xf numFmtId="176" fontId="37" fillId="5" borderId="11" xfId="0" applyNumberFormat="1" applyFont="1" applyFill="1" applyBorder="1" applyAlignment="1">
      <alignment horizontal="center" vertical="center"/>
    </xf>
    <xf numFmtId="179" fontId="5" fillId="0" borderId="11" xfId="0" applyNumberFormat="1" applyFont="1" applyFill="1" applyBorder="1" applyAlignment="1">
      <alignment horizontal="center" vertical="center" wrapText="1"/>
    </xf>
    <xf numFmtId="0" fontId="5" fillId="0" borderId="0" xfId="0" applyFont="1" applyFill="1" applyBorder="1" applyAlignment="1">
      <alignment horizontal="center" vertical="center" wrapText="1"/>
    </xf>
    <xf numFmtId="180" fontId="37" fillId="5" borderId="0" xfId="0" applyNumberFormat="1" applyFont="1" applyFill="1" applyBorder="1" applyAlignment="1">
      <alignment horizontal="center" vertical="center"/>
    </xf>
    <xf numFmtId="10" fontId="37" fillId="5" borderId="0" xfId="0" applyNumberFormat="1" applyFont="1" applyFill="1" applyBorder="1" applyAlignment="1">
      <alignment horizontal="center" vertical="center"/>
    </xf>
    <xf numFmtId="180" fontId="37" fillId="5" borderId="0" xfId="0" applyNumberFormat="1" applyFont="1" applyFill="1" applyAlignment="1">
      <alignment horizontal="center" vertical="center"/>
    </xf>
    <xf numFmtId="10" fontId="37" fillId="5" borderId="0" xfId="0" applyNumberFormat="1" applyFont="1" applyFill="1" applyAlignment="1">
      <alignment horizontal="center" vertical="center"/>
    </xf>
    <xf numFmtId="49" fontId="1" fillId="5" borderId="0" xfId="0" applyNumberFormat="1" applyFont="1" applyFill="1" applyBorder="1" applyAlignment="1">
      <alignment horizontal="left" vertical="top" wrapText="1"/>
    </xf>
    <xf numFmtId="49" fontId="26" fillId="5" borderId="11" xfId="0" applyNumberFormat="1" applyFont="1" applyFill="1" applyBorder="1" applyAlignment="1">
      <alignment horizontal="center" vertical="center" wrapText="1"/>
    </xf>
    <xf numFmtId="0" fontId="48" fillId="5" borderId="0" xfId="0" applyFont="1" applyFill="1" applyBorder="1" applyAlignment="1">
      <alignment vertical="center" wrapText="1"/>
    </xf>
    <xf numFmtId="14" fontId="9" fillId="0" borderId="11" xfId="0" applyNumberFormat="1" applyFont="1" applyFill="1" applyBorder="1">
      <alignment vertical="center"/>
    </xf>
    <xf numFmtId="49" fontId="17" fillId="5" borderId="0" xfId="0" applyNumberFormat="1" applyFont="1" applyFill="1" applyBorder="1" applyAlignment="1">
      <alignment horizontal="left" vertical="center" wrapText="1"/>
    </xf>
    <xf numFmtId="0" fontId="17" fillId="5" borderId="11" xfId="0" applyFont="1" applyFill="1" applyBorder="1" applyAlignment="1">
      <alignment horizontal="center" vertical="center" wrapText="1"/>
    </xf>
    <xf numFmtId="0" fontId="14" fillId="5" borderId="11" xfId="0" applyFont="1" applyFill="1" applyBorder="1" applyAlignment="1">
      <alignment vertical="center" wrapText="1"/>
    </xf>
    <xf numFmtId="0" fontId="19" fillId="5" borderId="11" xfId="0" applyFont="1" applyFill="1" applyBorder="1" applyAlignment="1">
      <alignment horizontal="left" vertical="center" wrapText="1"/>
    </xf>
    <xf numFmtId="0" fontId="14" fillId="0" borderId="11" xfId="0" applyFont="1" applyBorder="1" applyAlignment="1">
      <alignment horizontal="center" vertical="center" wrapText="1"/>
    </xf>
    <xf numFmtId="0" fontId="14" fillId="0" borderId="11" xfId="0" applyFont="1" applyFill="1" applyBorder="1" applyAlignment="1">
      <alignment horizontal="center" vertical="center" wrapText="1"/>
    </xf>
    <xf numFmtId="0" fontId="49" fillId="0" borderId="11" xfId="0" applyFont="1" applyBorder="1" applyAlignment="1">
      <alignment vertical="center" wrapText="1"/>
    </xf>
    <xf numFmtId="0" fontId="17" fillId="5" borderId="11" xfId="0" applyFont="1" applyFill="1" applyBorder="1" applyAlignment="1">
      <alignment horizontal="center" vertical="center" wrapText="1"/>
    </xf>
    <xf numFmtId="0" fontId="0" fillId="0" borderId="11" xfId="0" applyBorder="1" applyAlignment="1">
      <alignment horizontal="center" vertical="center"/>
    </xf>
    <xf numFmtId="0" fontId="0" fillId="0" borderId="11" xfId="0" applyBorder="1">
      <alignment vertical="center"/>
    </xf>
    <xf numFmtId="0" fontId="17" fillId="5" borderId="17" xfId="0" applyFont="1" applyFill="1" applyBorder="1" applyAlignment="1">
      <alignment horizontal="center" vertical="center" wrapText="1"/>
    </xf>
    <xf numFmtId="0" fontId="17" fillId="5" borderId="0" xfId="0" applyFont="1" applyFill="1" applyBorder="1" applyAlignment="1">
      <alignment horizontal="center" vertical="center" wrapText="1"/>
    </xf>
    <xf numFmtId="14" fontId="9" fillId="11" borderId="11" xfId="0" applyNumberFormat="1" applyFont="1" applyFill="1" applyBorder="1">
      <alignment vertical="center"/>
    </xf>
    <xf numFmtId="0" fontId="9" fillId="0" borderId="11" xfId="0" applyFont="1" applyBorder="1" applyAlignment="1">
      <alignment horizontal="center" vertical="center"/>
    </xf>
    <xf numFmtId="0" fontId="9" fillId="0" borderId="14" xfId="0" applyFont="1" applyBorder="1" applyAlignment="1">
      <alignment horizontal="center" vertical="center"/>
    </xf>
    <xf numFmtId="0" fontId="17" fillId="5" borderId="11"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5" borderId="11" xfId="0" applyFont="1" applyFill="1" applyBorder="1" applyAlignment="1">
      <alignment horizontal="center" vertical="center"/>
    </xf>
    <xf numFmtId="14" fontId="16" fillId="0" borderId="11" xfId="0" applyNumberFormat="1" applyFont="1" applyBorder="1" applyAlignment="1">
      <alignment horizontal="center" vertical="center" wrapText="1"/>
    </xf>
    <xf numFmtId="10" fontId="50" fillId="5" borderId="11" xfId="0" applyNumberFormat="1" applyFont="1" applyFill="1" applyBorder="1" applyAlignment="1">
      <alignment horizontal="center" vertical="center" wrapText="1"/>
    </xf>
    <xf numFmtId="0" fontId="17" fillId="5" borderId="11" xfId="0" applyNumberFormat="1" applyFont="1" applyFill="1" applyBorder="1" applyAlignment="1">
      <alignment horizontal="center" vertical="center" wrapText="1"/>
    </xf>
    <xf numFmtId="0" fontId="17" fillId="5" borderId="11" xfId="0" applyFont="1" applyFill="1" applyBorder="1" applyAlignment="1">
      <alignment horizontal="center" vertical="center" wrapText="1"/>
    </xf>
    <xf numFmtId="14" fontId="9" fillId="0" borderId="12" xfId="0" applyNumberFormat="1" applyFont="1" applyBorder="1" applyAlignment="1">
      <alignment horizontal="center" vertical="center"/>
    </xf>
    <xf numFmtId="0" fontId="17" fillId="5" borderId="11" xfId="0" applyFont="1" applyFill="1" applyBorder="1" applyAlignment="1">
      <alignment horizontal="center" vertical="center" wrapText="1"/>
    </xf>
    <xf numFmtId="0" fontId="0" fillId="0" borderId="11" xfId="0" applyFill="1" applyBorder="1" applyAlignment="1">
      <alignment horizontal="center" vertical="center"/>
    </xf>
    <xf numFmtId="0" fontId="29" fillId="12" borderId="11" xfId="0" applyFont="1" applyFill="1" applyBorder="1" applyAlignment="1">
      <alignment horizontal="center" vertical="center" wrapText="1"/>
    </xf>
    <xf numFmtId="0" fontId="31" fillId="12" borderId="11" xfId="0" applyFont="1" applyFill="1" applyBorder="1" applyAlignment="1">
      <alignment horizontal="center" vertical="center" wrapText="1"/>
    </xf>
    <xf numFmtId="181" fontId="7" fillId="12" borderId="11" xfId="0" applyNumberFormat="1" applyFont="1" applyFill="1" applyBorder="1" applyAlignment="1">
      <alignment horizontal="center" vertical="center" wrapText="1"/>
    </xf>
    <xf numFmtId="0" fontId="35" fillId="12" borderId="11" xfId="0" applyFont="1" applyFill="1" applyBorder="1" applyAlignment="1">
      <alignment horizontal="center" vertical="center" wrapText="1"/>
    </xf>
    <xf numFmtId="0" fontId="17" fillId="5" borderId="11" xfId="0" applyFont="1" applyFill="1" applyBorder="1" applyAlignment="1">
      <alignment horizontal="center" vertical="center" wrapText="1"/>
    </xf>
    <xf numFmtId="0" fontId="16" fillId="0" borderId="11" xfId="0" applyFont="1" applyFill="1" applyBorder="1" applyAlignment="1">
      <alignment vertical="center" wrapText="1"/>
    </xf>
    <xf numFmtId="0" fontId="14" fillId="0" borderId="11" xfId="0" applyFont="1" applyFill="1" applyBorder="1" applyAlignment="1">
      <alignment vertical="center" wrapText="1"/>
    </xf>
    <xf numFmtId="0" fontId="9" fillId="0" borderId="13" xfId="0" applyFont="1" applyBorder="1" applyAlignment="1">
      <alignment horizontal="center" vertical="center"/>
    </xf>
    <xf numFmtId="0" fontId="9" fillId="0" borderId="11" xfId="0" applyFont="1" applyBorder="1" applyAlignment="1">
      <alignment horizontal="center" vertical="center"/>
    </xf>
    <xf numFmtId="14" fontId="9" fillId="0" borderId="12" xfId="0" applyNumberFormat="1" applyFont="1" applyBorder="1">
      <alignment vertical="center"/>
    </xf>
    <xf numFmtId="14" fontId="9" fillId="0" borderId="12" xfId="0" applyNumberFormat="1" applyFont="1" applyFill="1" applyBorder="1" applyAlignment="1">
      <alignment horizontal="center" vertical="center"/>
    </xf>
    <xf numFmtId="0" fontId="9" fillId="0" borderId="12" xfId="0" applyFont="1" applyFill="1" applyBorder="1" applyAlignment="1">
      <alignment vertical="center" wrapText="1"/>
    </xf>
    <xf numFmtId="14" fontId="9" fillId="5" borderId="12" xfId="0" applyNumberFormat="1" applyFont="1" applyFill="1" applyBorder="1" applyAlignment="1">
      <alignment horizontal="center" vertical="center"/>
    </xf>
    <xf numFmtId="14" fontId="9" fillId="0" borderId="14" xfId="0" applyNumberFormat="1" applyFont="1" applyFill="1" applyBorder="1">
      <alignment vertical="center"/>
    </xf>
    <xf numFmtId="14" fontId="9" fillId="0" borderId="13" xfId="0" applyNumberFormat="1" applyFont="1" applyBorder="1" applyAlignment="1">
      <alignment horizontal="center" vertical="center"/>
    </xf>
    <xf numFmtId="14" fontId="9" fillId="11" borderId="14" xfId="0" applyNumberFormat="1" applyFont="1" applyFill="1" applyBorder="1">
      <alignment vertical="center"/>
    </xf>
    <xf numFmtId="14" fontId="9" fillId="0" borderId="14" xfId="0" applyNumberFormat="1" applyFont="1" applyFill="1" applyBorder="1" applyAlignment="1">
      <alignment horizontal="center" vertical="center"/>
    </xf>
    <xf numFmtId="0" fontId="9" fillId="0" borderId="14" xfId="0" applyFont="1" applyFill="1" applyBorder="1" applyAlignment="1">
      <alignment vertical="center" wrapText="1"/>
    </xf>
    <xf numFmtId="14" fontId="9" fillId="5" borderId="14" xfId="0" applyNumberFormat="1" applyFont="1" applyFill="1" applyBorder="1" applyAlignment="1">
      <alignment horizontal="center" vertical="center"/>
    </xf>
    <xf numFmtId="14" fontId="9" fillId="0" borderId="14" xfId="0" applyNumberFormat="1" applyFont="1" applyBorder="1">
      <alignment vertical="center"/>
    </xf>
    <xf numFmtId="14" fontId="9" fillId="0" borderId="14" xfId="0" applyNumberFormat="1" applyFont="1" applyBorder="1" applyAlignment="1">
      <alignment horizontal="center" vertical="center"/>
    </xf>
    <xf numFmtId="0" fontId="2" fillId="5" borderId="18" xfId="0" applyFont="1" applyFill="1" applyBorder="1" applyAlignment="1">
      <alignment horizontal="left" vertical="center" wrapText="1"/>
    </xf>
    <xf numFmtId="0" fontId="2" fillId="5" borderId="16"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5" borderId="11" xfId="0" applyFont="1" applyFill="1" applyBorder="1" applyAlignment="1">
      <alignment vertical="center" wrapText="1"/>
    </xf>
    <xf numFmtId="0" fontId="39" fillId="5" borderId="11" xfId="0" applyFont="1" applyFill="1" applyBorder="1" applyAlignment="1">
      <alignment vertical="center" wrapText="1"/>
    </xf>
    <xf numFmtId="0" fontId="13" fillId="10" borderId="18" xfId="0" applyFont="1" applyFill="1" applyBorder="1" applyAlignment="1">
      <alignment horizontal="center" vertical="center"/>
    </xf>
    <xf numFmtId="0" fontId="13" fillId="10" borderId="16" xfId="0" applyFont="1" applyFill="1" applyBorder="1" applyAlignment="1">
      <alignment horizontal="center" vertical="center"/>
    </xf>
    <xf numFmtId="0" fontId="13" fillId="10" borderId="17" xfId="0" applyFont="1" applyFill="1" applyBorder="1" applyAlignment="1">
      <alignment horizontal="center" vertical="center"/>
    </xf>
    <xf numFmtId="0" fontId="13" fillId="10" borderId="11" xfId="0" applyFont="1" applyFill="1" applyBorder="1" applyAlignment="1">
      <alignment horizontal="center" vertical="center"/>
    </xf>
    <xf numFmtId="0" fontId="1" fillId="5" borderId="0" xfId="0" applyFont="1" applyFill="1" applyBorder="1" applyAlignment="1">
      <alignment horizontal="left" vertical="top" wrapText="1"/>
    </xf>
    <xf numFmtId="0" fontId="38" fillId="0" borderId="21" xfId="0" applyFont="1" applyBorder="1" applyAlignment="1">
      <alignment horizontal="left" vertical="top" wrapText="1"/>
    </xf>
    <xf numFmtId="0" fontId="38" fillId="0" borderId="22" xfId="0" applyFont="1" applyBorder="1" applyAlignment="1">
      <alignment horizontal="left" vertical="top" wrapText="1"/>
    </xf>
    <xf numFmtId="0" fontId="38" fillId="0" borderId="23" xfId="0" applyFont="1" applyBorder="1" applyAlignment="1">
      <alignment horizontal="left" vertical="top" wrapText="1"/>
    </xf>
    <xf numFmtId="0" fontId="38" fillId="0" borderId="24" xfId="0" applyFont="1" applyBorder="1" applyAlignment="1">
      <alignment horizontal="left" vertical="top" wrapText="1"/>
    </xf>
    <xf numFmtId="0" fontId="10" fillId="0" borderId="25" xfId="0" applyFont="1" applyBorder="1" applyAlignment="1">
      <alignment horizontal="left" vertical="top" wrapText="1"/>
    </xf>
    <xf numFmtId="0" fontId="10" fillId="0" borderId="29" xfId="0" applyFont="1" applyBorder="1" applyAlignment="1">
      <alignment horizontal="left" vertical="top" wrapText="1"/>
    </xf>
    <xf numFmtId="0" fontId="10" fillId="0" borderId="26" xfId="0" applyFont="1" applyBorder="1" applyAlignment="1">
      <alignment horizontal="left" vertical="top" wrapText="1"/>
    </xf>
    <xf numFmtId="0" fontId="10" fillId="0" borderId="0" xfId="0" applyFont="1" applyBorder="1" applyAlignment="1">
      <alignment horizontal="left" vertical="top" wrapText="1"/>
    </xf>
    <xf numFmtId="0" fontId="10" fillId="0" borderId="30" xfId="0" applyFont="1" applyBorder="1" applyAlignment="1">
      <alignment horizontal="left" vertical="top" wrapText="1"/>
    </xf>
    <xf numFmtId="0" fontId="10" fillId="0" borderId="27" xfId="0" applyFont="1" applyBorder="1" applyAlignment="1">
      <alignment horizontal="left" vertical="top" wrapText="1"/>
    </xf>
    <xf numFmtId="0" fontId="10" fillId="0" borderId="28" xfId="0" applyFont="1" applyBorder="1" applyAlignment="1">
      <alignment horizontal="left" vertical="top" wrapText="1"/>
    </xf>
    <xf numFmtId="0" fontId="10" fillId="0" borderId="31" xfId="0" applyFont="1" applyBorder="1" applyAlignment="1">
      <alignment horizontal="left" vertical="top" wrapText="1"/>
    </xf>
    <xf numFmtId="0" fontId="22" fillId="5" borderId="11" xfId="0" applyFont="1" applyFill="1" applyBorder="1" applyAlignment="1">
      <alignment horizontal="center" vertical="center" wrapText="1"/>
    </xf>
    <xf numFmtId="0" fontId="27" fillId="5" borderId="18" xfId="0" applyFont="1" applyFill="1" applyBorder="1" applyAlignment="1">
      <alignment horizontal="center" vertical="center"/>
    </xf>
    <xf numFmtId="0" fontId="27" fillId="5" borderId="16" xfId="0" applyFont="1" applyFill="1" applyBorder="1" applyAlignment="1">
      <alignment horizontal="center" vertical="center"/>
    </xf>
    <xf numFmtId="0" fontId="27" fillId="5" borderId="17" xfId="0" applyFont="1" applyFill="1" applyBorder="1" applyAlignment="1">
      <alignment horizontal="center" vertical="center"/>
    </xf>
    <xf numFmtId="0" fontId="27" fillId="5" borderId="18" xfId="0" applyFont="1" applyFill="1" applyBorder="1" applyAlignment="1">
      <alignment horizontal="center" vertical="center" wrapText="1"/>
    </xf>
    <xf numFmtId="0" fontId="27" fillId="5" borderId="17" xfId="0" applyFont="1" applyFill="1" applyBorder="1" applyAlignment="1">
      <alignment horizontal="center" vertical="center" wrapText="1"/>
    </xf>
    <xf numFmtId="0" fontId="22" fillId="7" borderId="11" xfId="0" applyFont="1" applyFill="1" applyBorder="1" applyAlignment="1">
      <alignment horizontal="center" vertical="center" wrapText="1"/>
    </xf>
    <xf numFmtId="0" fontId="27" fillId="5" borderId="16" xfId="0" applyFont="1" applyFill="1" applyBorder="1" applyAlignment="1">
      <alignment horizontal="center" vertical="center" wrapText="1"/>
    </xf>
    <xf numFmtId="179" fontId="27" fillId="5" borderId="18" xfId="0" applyNumberFormat="1" applyFont="1" applyFill="1" applyBorder="1" applyAlignment="1">
      <alignment horizontal="center" vertical="center" wrapText="1"/>
    </xf>
    <xf numFmtId="179" fontId="27" fillId="5" borderId="16" xfId="0" applyNumberFormat="1" applyFont="1" applyFill="1" applyBorder="1" applyAlignment="1">
      <alignment horizontal="center" vertical="center" wrapText="1"/>
    </xf>
    <xf numFmtId="180" fontId="27" fillId="5" borderId="16" xfId="0" applyNumberFormat="1" applyFont="1" applyFill="1" applyBorder="1" applyAlignment="1">
      <alignment horizontal="center" vertical="center" wrapText="1"/>
    </xf>
    <xf numFmtId="0" fontId="0" fillId="0" borderId="0" xfId="0" applyAlignment="1">
      <alignment horizontal="center" vertical="center"/>
    </xf>
    <xf numFmtId="0" fontId="17" fillId="5" borderId="12" xfId="0" applyFont="1" applyFill="1" applyBorder="1" applyAlignment="1">
      <alignment horizontal="center" vertical="center" wrapText="1"/>
    </xf>
    <xf numFmtId="0" fontId="17" fillId="5" borderId="14" xfId="0" applyFont="1" applyFill="1" applyBorder="1" applyAlignment="1">
      <alignment horizontal="center" vertical="center" wrapText="1"/>
    </xf>
    <xf numFmtId="0" fontId="17" fillId="5" borderId="11" xfId="0" applyNumberFormat="1" applyFont="1" applyFill="1" applyBorder="1" applyAlignment="1">
      <alignment horizontal="center" vertical="center" wrapText="1"/>
    </xf>
    <xf numFmtId="0" fontId="18" fillId="5" borderId="11" xfId="0" applyFont="1" applyFill="1" applyBorder="1" applyAlignment="1">
      <alignment horizontal="center" vertical="center" wrapText="1"/>
    </xf>
    <xf numFmtId="0" fontId="17" fillId="5" borderId="12" xfId="0" applyNumberFormat="1" applyFont="1" applyFill="1" applyBorder="1" applyAlignment="1">
      <alignment horizontal="center" vertical="center" wrapText="1"/>
    </xf>
    <xf numFmtId="0" fontId="18" fillId="5" borderId="14" xfId="0" applyFont="1" applyFill="1" applyBorder="1" applyAlignment="1">
      <alignment horizontal="center" vertical="center"/>
    </xf>
    <xf numFmtId="0" fontId="17" fillId="5" borderId="14" xfId="0" applyNumberFormat="1" applyFont="1" applyFill="1" applyBorder="1" applyAlignment="1">
      <alignment horizontal="center" vertical="center" wrapText="1"/>
    </xf>
    <xf numFmtId="0" fontId="17" fillId="5" borderId="11" xfId="0" applyFont="1" applyFill="1" applyBorder="1" applyAlignment="1">
      <alignment horizontal="center" vertical="center" wrapText="1"/>
    </xf>
    <xf numFmtId="0" fontId="19" fillId="7" borderId="11"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19" fillId="7" borderId="14" xfId="0" applyFont="1" applyFill="1" applyBorder="1" applyAlignment="1">
      <alignment horizontal="center" vertical="center" wrapText="1"/>
    </xf>
    <xf numFmtId="0" fontId="12" fillId="0" borderId="15" xfId="0" applyFont="1" applyBorder="1" applyAlignment="1">
      <alignment horizontal="center" vertical="center"/>
    </xf>
    <xf numFmtId="0" fontId="15" fillId="0" borderId="15"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pplyAlignment="1">
      <alignment horizontal="center" vertical="center" wrapText="1"/>
    </xf>
    <xf numFmtId="0" fontId="9" fillId="0" borderId="14"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xf numFmtId="0" fontId="2" fillId="0" borderId="3" xfId="0" applyFont="1" applyBorder="1" applyAlignment="1"/>
    <xf numFmtId="0" fontId="8" fillId="0" borderId="0" xfId="0" applyFont="1" applyBorder="1" applyAlignment="1">
      <alignment horizontal="justify" vertical="center"/>
    </xf>
    <xf numFmtId="0" fontId="0" fillId="0" borderId="0" xfId="0" applyBorder="1" applyAlignment="1"/>
    <xf numFmtId="0" fontId="9" fillId="0" borderId="0" xfId="0" applyFont="1" applyBorder="1" applyAlignment="1">
      <alignment horizontal="left"/>
    </xf>
  </cellXfs>
  <cellStyles count="5">
    <cellStyle name="常规" xfId="0" builtinId="0"/>
    <cellStyle name="常规 2" xfId="2"/>
    <cellStyle name="常规 2 2 2 2 3" xfId="1"/>
    <cellStyle name="常规 3" xfId="3"/>
    <cellStyle name="常规 4" xfId="4"/>
  </cellStyles>
  <dxfs count="30">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s>
  <tableStyles count="0" defaultTableStyle="TableStyleMedium2"/>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32"/>
    </mc:Choice>
    <mc:Fallback>
      <c:style val="3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zh-CN"/>
              <a:t>项目得分排行榜</a:t>
            </a:r>
          </a:p>
        </c:rich>
      </c:tx>
      <c:layout/>
      <c:overlay val="0"/>
    </c:title>
    <c:autoTitleDeleted val="0"/>
    <c:plotArea>
      <c:layout/>
      <c:barChart>
        <c:barDir val="col"/>
        <c:grouping val="clustered"/>
        <c:varyColors val="0"/>
        <c:ser>
          <c:idx val="0"/>
          <c:order val="0"/>
          <c:tx>
            <c:strRef>
              <c:f>结项项目得分及评价!$F$22</c:f>
              <c:strCache>
                <c:ptCount val="1"/>
                <c:pt idx="0">
                  <c:v>项目得分</c:v>
                </c:pt>
              </c:strCache>
            </c:strRef>
          </c:tx>
          <c:spPr>
            <a:solidFill>
              <a:schemeClr val="accent2"/>
            </a:solidFill>
          </c:spPr>
          <c:invertIfNegative val="0"/>
          <c:dPt>
            <c:idx val="0"/>
            <c:invertIfNegative val="0"/>
            <c:bubble3D val="0"/>
          </c:dPt>
          <c:dPt>
            <c:idx val="1"/>
            <c:invertIfNegative val="0"/>
            <c:bubble3D val="0"/>
            <c:spPr>
              <a:solidFill>
                <a:schemeClr val="accent3"/>
              </a:solidFill>
            </c:spPr>
          </c:dPt>
          <c:dPt>
            <c:idx val="2"/>
            <c:invertIfNegative val="0"/>
            <c:bubble3D val="0"/>
            <c:spPr>
              <a:solidFill>
                <a:schemeClr val="tx1"/>
              </a:solidFill>
            </c:spPr>
          </c:dPt>
          <c:dPt>
            <c:idx val="3"/>
            <c:invertIfNegative val="0"/>
            <c:bubble3D val="0"/>
            <c:spPr>
              <a:solidFill>
                <a:schemeClr val="tx1"/>
              </a:solidFill>
            </c:spPr>
          </c:dPt>
          <c:dPt>
            <c:idx val="4"/>
            <c:invertIfNegative val="0"/>
            <c:bubble3D val="0"/>
          </c:dPt>
          <c:dPt>
            <c:idx val="6"/>
            <c:invertIfNegative val="0"/>
            <c:bubble3D val="0"/>
          </c:dPt>
          <c:dPt>
            <c:idx val="7"/>
            <c:invertIfNegative val="0"/>
            <c:bubble3D val="0"/>
          </c:dPt>
          <c:dPt>
            <c:idx val="8"/>
            <c:invertIfNegative val="0"/>
            <c:bubble3D val="0"/>
          </c:dPt>
          <c:cat>
            <c:multiLvlStrRef>
              <c:f>结项项目得分及评价!$B$23:$C$26</c:f>
              <c:multiLvlStrCache>
                <c:ptCount val="4"/>
                <c:lvl>
                  <c:pt idx="0">
                    <c:v>国泰安统一身份认证软件V3.0</c:v>
                  </c:pt>
                  <c:pt idx="1">
                    <c:v>国泰安气动技术VR智慧课堂软件V1.0</c:v>
                  </c:pt>
                  <c:pt idx="2">
                    <c:v>柔性化智能实验教学管理平台R1.1（迭代五）</c:v>
                  </c:pt>
                  <c:pt idx="3">
                    <c:v>国泰安迎新管理系统V3.5</c:v>
                  </c:pt>
                </c:lvl>
                <c:lvl>
                  <c:pt idx="0">
                    <c:v>智慧校园事业部</c:v>
                  </c:pt>
                  <c:pt idx="1">
                    <c:v>智慧教学事业部（VR）</c:v>
                  </c:pt>
                  <c:pt idx="2">
                    <c:v>实训软件开发中心</c:v>
                  </c:pt>
                  <c:pt idx="3">
                    <c:v>智慧校园事业部</c:v>
                  </c:pt>
                </c:lvl>
              </c:multiLvlStrCache>
            </c:multiLvlStrRef>
          </c:cat>
          <c:val>
            <c:numRef>
              <c:f>结项项目得分及评价!$F$23:$F$26</c:f>
              <c:numCache>
                <c:formatCode>General</c:formatCode>
                <c:ptCount val="4"/>
                <c:pt idx="0">
                  <c:v>97</c:v>
                </c:pt>
                <c:pt idx="1">
                  <c:v>83</c:v>
                </c:pt>
                <c:pt idx="2">
                  <c:v>73</c:v>
                </c:pt>
                <c:pt idx="3">
                  <c:v>72</c:v>
                </c:pt>
              </c:numCache>
            </c:numRef>
          </c:val>
        </c:ser>
        <c:dLbls>
          <c:showLegendKey val="0"/>
          <c:showVal val="0"/>
          <c:showCatName val="0"/>
          <c:showSerName val="0"/>
          <c:showPercent val="0"/>
          <c:showBubbleSize val="0"/>
        </c:dLbls>
        <c:gapWidth val="150"/>
        <c:axId val="98386944"/>
        <c:axId val="351353600"/>
      </c:barChart>
      <c:catAx>
        <c:axId val="98386944"/>
        <c:scaling>
          <c:orientation val="minMax"/>
        </c:scaling>
        <c:delete val="0"/>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351353600"/>
        <c:crosses val="autoZero"/>
        <c:auto val="1"/>
        <c:lblAlgn val="ctr"/>
        <c:lblOffset val="100"/>
        <c:noMultiLvlLbl val="0"/>
      </c:catAx>
      <c:valAx>
        <c:axId val="351353600"/>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8386944"/>
        <c:crosses val="autoZero"/>
        <c:crossBetween val="between"/>
      </c:valAx>
      <c:dTable>
        <c:showHorzBorder val="1"/>
        <c:showVertBorder val="1"/>
        <c:showOutline val="1"/>
        <c:showKeys val="1"/>
        <c:txPr>
          <a:bodyPr rot="0" spcFirstLastPara="0" vertOverflow="ellipsis" vert="horz" wrap="square" anchor="ctr" anchorCtr="1"/>
          <a:lstStyle/>
          <a:p>
            <a:pPr rtl="0">
              <a:defRPr lang="zh-CN" sz="1000" b="0" i="0" u="none" strike="noStrike" kern="1200" baseline="0">
                <a:solidFill>
                  <a:schemeClr val="tx1"/>
                </a:solidFill>
                <a:latin typeface="+mn-lt"/>
                <a:ea typeface="+mn-ea"/>
                <a:cs typeface="+mn-cs"/>
              </a:defRPr>
            </a:pPr>
            <a:endParaRPr lang="zh-CN"/>
          </a:p>
        </c:txPr>
      </c:dTable>
    </c:plotArea>
    <c:plotVisOnly val="1"/>
    <c:dispBlanksAs val="gap"/>
    <c:showDLblsOverMax val="0"/>
  </c:chart>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1"/>
    <c:plotArea>
      <c:layout>
        <c:manualLayout>
          <c:layoutTarget val="inner"/>
          <c:xMode val="edge"/>
          <c:yMode val="edge"/>
          <c:x val="5.3268404562680602E-2"/>
          <c:y val="2.1004976831430901E-2"/>
          <c:w val="0.93035087801583405"/>
          <c:h val="0.78575232600400502"/>
        </c:manualLayout>
      </c:layout>
      <c:barChart>
        <c:barDir val="col"/>
        <c:grouping val="clustered"/>
        <c:varyColors val="0"/>
        <c:ser>
          <c:idx val="8"/>
          <c:order val="0"/>
          <c:tx>
            <c:strRef>
              <c:f>结项项目得分及评价!$B$42</c:f>
              <c:strCache>
                <c:ptCount val="1"/>
                <c:pt idx="0">
                  <c:v>智慧校园事业部</c:v>
                </c:pt>
              </c:strCache>
            </c:strRef>
          </c:tx>
          <c:spPr>
            <a:solidFill>
              <a:schemeClr val="accent3">
                <a:lumMod val="75000"/>
              </a:schemeClr>
            </a:solidFill>
          </c:spPr>
          <c:invertIfNegative val="0"/>
          <c:dPt>
            <c:idx val="1"/>
            <c:invertIfNegative val="0"/>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结项项目得分及评价!$M$41:$O$41</c:f>
              <c:strCache>
                <c:ptCount val="3"/>
                <c:pt idx="0">
                  <c:v>NT缺陷率（%）</c:v>
                </c:pt>
                <c:pt idx="1">
                  <c:v>缺陷密度</c:v>
                </c:pt>
                <c:pt idx="2">
                  <c:v>遗留缺陷率（%）</c:v>
                </c:pt>
              </c:strCache>
            </c:strRef>
          </c:cat>
          <c:val>
            <c:numRef>
              <c:f>结项项目得分及评价!$M$42:$O$42</c:f>
              <c:numCache>
                <c:formatCode>0.00_);[Red]\(0.00\)</c:formatCode>
                <c:ptCount val="3"/>
                <c:pt idx="0">
                  <c:v>15.366759517177345</c:v>
                </c:pt>
                <c:pt idx="1">
                  <c:v>1.2051656413107814</c:v>
                </c:pt>
                <c:pt idx="2">
                  <c:v>0</c:v>
                </c:pt>
              </c:numCache>
            </c:numRef>
          </c:val>
        </c:ser>
        <c:ser>
          <c:idx val="2"/>
          <c:order val="1"/>
          <c:tx>
            <c:strRef>
              <c:f>结项项目得分及评价!$B$43</c:f>
              <c:strCache>
                <c:ptCount val="1"/>
                <c:pt idx="0">
                  <c:v>实训软件开发中心</c:v>
                </c:pt>
              </c:strCache>
            </c:strRef>
          </c:tx>
          <c:spPr>
            <a:solidFill>
              <a:schemeClr val="accent6"/>
            </a:solidFill>
          </c:spPr>
          <c:invertIfNegative val="0"/>
          <c:cat>
            <c:strRef>
              <c:f>结项项目得分及评价!$M$41:$O$41</c:f>
              <c:strCache>
                <c:ptCount val="3"/>
                <c:pt idx="0">
                  <c:v>NT缺陷率（%）</c:v>
                </c:pt>
                <c:pt idx="1">
                  <c:v>缺陷密度</c:v>
                </c:pt>
                <c:pt idx="2">
                  <c:v>遗留缺陷率（%）</c:v>
                </c:pt>
              </c:strCache>
            </c:strRef>
          </c:cat>
          <c:val>
            <c:numRef>
              <c:f>结项项目得分及评价!$M$43:$O$43</c:f>
              <c:numCache>
                <c:formatCode>0.00_);[Red]\(0.00\)</c:formatCode>
                <c:ptCount val="3"/>
                <c:pt idx="0">
                  <c:v>3.804347826086957</c:v>
                </c:pt>
                <c:pt idx="1">
                  <c:v>0.77202797202797202</c:v>
                </c:pt>
                <c:pt idx="2">
                  <c:v>1.5398550724637683</c:v>
                </c:pt>
              </c:numCache>
            </c:numRef>
          </c:val>
        </c:ser>
        <c:ser>
          <c:idx val="1"/>
          <c:order val="2"/>
          <c:tx>
            <c:strRef>
              <c:f>结项项目得分及评价!$B$44</c:f>
              <c:strCache>
                <c:ptCount val="1"/>
                <c:pt idx="0">
                  <c:v>VR事业部</c:v>
                </c:pt>
              </c:strCache>
            </c:strRef>
          </c:tx>
          <c:spPr>
            <a:solidFill>
              <a:schemeClr val="accent2"/>
            </a:solidFill>
          </c:spPr>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结项项目得分及评价!$M$41:$O$41</c:f>
              <c:strCache>
                <c:ptCount val="3"/>
                <c:pt idx="0">
                  <c:v>NT缺陷率（%）</c:v>
                </c:pt>
                <c:pt idx="1">
                  <c:v>缺陷密度</c:v>
                </c:pt>
                <c:pt idx="2">
                  <c:v>遗留缺陷率（%）</c:v>
                </c:pt>
              </c:strCache>
            </c:strRef>
          </c:cat>
          <c:val>
            <c:numRef>
              <c:f>结项项目得分及评价!$M$44:$O$44</c:f>
              <c:numCache>
                <c:formatCode>0.00_);[Red]\(0.00\)</c:formatCode>
                <c:ptCount val="3"/>
                <c:pt idx="0">
                  <c:v>0</c:v>
                </c:pt>
                <c:pt idx="1">
                  <c:v>0</c:v>
                </c:pt>
                <c:pt idx="2">
                  <c:v>0</c:v>
                </c:pt>
              </c:numCache>
            </c:numRef>
          </c:val>
        </c:ser>
        <c:ser>
          <c:idx val="0"/>
          <c:order val="3"/>
          <c:tx>
            <c:v>实训软件开发中心</c:v>
          </c:tx>
          <c:invertIfNegative val="0"/>
          <c:cat>
            <c:strRef>
              <c:f>结项项目得分及评价!$M$41:$O$41</c:f>
              <c:strCache>
                <c:ptCount val="3"/>
                <c:pt idx="0">
                  <c:v>NT缺陷率（%）</c:v>
                </c:pt>
                <c:pt idx="1">
                  <c:v>缺陷密度</c:v>
                </c:pt>
                <c:pt idx="2">
                  <c:v>遗留缺陷率（%）</c:v>
                </c:pt>
              </c:strCache>
            </c:strRef>
          </c:cat>
          <c:val>
            <c:numRef>
              <c:f>结项项目得分及评价!$M$45:$O$45</c:f>
            </c:numRef>
          </c:val>
        </c:ser>
        <c:dLbls>
          <c:showLegendKey val="0"/>
          <c:showVal val="0"/>
          <c:showCatName val="0"/>
          <c:showSerName val="0"/>
          <c:showPercent val="0"/>
          <c:showBubbleSize val="0"/>
        </c:dLbls>
        <c:gapWidth val="150"/>
        <c:axId val="98387968"/>
        <c:axId val="351388224"/>
      </c:barChart>
      <c:lineChart>
        <c:grouping val="standard"/>
        <c:varyColors val="0"/>
        <c:ser>
          <c:idx val="12"/>
          <c:order val="4"/>
          <c:tx>
            <c:strRef>
              <c:f>结项项目得分及评价!$B$46</c:f>
              <c:strCache>
                <c:ptCount val="1"/>
                <c:pt idx="0">
                  <c:v>基准线</c:v>
                </c:pt>
              </c:strCache>
            </c:strRef>
          </c:tx>
          <c:marker>
            <c:symbol val="none"/>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结项项目得分及评价!$M$41:$O$41</c:f>
              <c:strCache>
                <c:ptCount val="3"/>
                <c:pt idx="0">
                  <c:v>NT缺陷率（%）</c:v>
                </c:pt>
                <c:pt idx="1">
                  <c:v>缺陷密度</c:v>
                </c:pt>
                <c:pt idx="2">
                  <c:v>遗留缺陷率（%）</c:v>
                </c:pt>
              </c:strCache>
            </c:strRef>
          </c:cat>
          <c:val>
            <c:numRef>
              <c:f>结项项目得分及评价!$M$46:$O$46</c:f>
              <c:numCache>
                <c:formatCode>0_);[Red]\(0\)</c:formatCode>
                <c:ptCount val="3"/>
                <c:pt idx="0">
                  <c:v>1</c:v>
                </c:pt>
                <c:pt idx="1">
                  <c:v>1</c:v>
                </c:pt>
                <c:pt idx="2">
                  <c:v>1</c:v>
                </c:pt>
              </c:numCache>
            </c:numRef>
          </c:val>
          <c:smooth val="0"/>
        </c:ser>
        <c:dLbls>
          <c:showLegendKey val="0"/>
          <c:showVal val="0"/>
          <c:showCatName val="0"/>
          <c:showSerName val="0"/>
          <c:showPercent val="0"/>
          <c:showBubbleSize val="0"/>
        </c:dLbls>
        <c:marker val="1"/>
        <c:smooth val="0"/>
        <c:axId val="98387968"/>
        <c:axId val="351388224"/>
      </c:lineChart>
      <c:catAx>
        <c:axId val="98387968"/>
        <c:scaling>
          <c:orientation val="minMax"/>
        </c:scaling>
        <c:delete val="0"/>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351388224"/>
        <c:crosses val="autoZero"/>
        <c:auto val="1"/>
        <c:lblAlgn val="ctr"/>
        <c:lblOffset val="100"/>
        <c:noMultiLvlLbl val="0"/>
      </c:catAx>
      <c:valAx>
        <c:axId val="351388224"/>
        <c:scaling>
          <c:orientation val="minMax"/>
        </c:scaling>
        <c:delete val="0"/>
        <c:axPos val="l"/>
        <c:numFmt formatCode="0.00_);[Red]\(0.00\)"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8387968"/>
        <c:crosses val="autoZero"/>
        <c:crossBetween val="between"/>
      </c:valAx>
    </c:plotArea>
    <c:legend>
      <c:legendPos val="b"/>
      <c:layout>
        <c:manualLayout>
          <c:xMode val="edge"/>
          <c:yMode val="edge"/>
          <c:x val="0.13097315766763001"/>
          <c:y val="0.86964376749635497"/>
          <c:w val="0.76720722326996904"/>
          <c:h val="6.6052738686627199E-2"/>
        </c:manualLayout>
      </c:layout>
      <c:overlay val="0"/>
      <c:txPr>
        <a:bodyPr rot="0" spcFirstLastPara="0" vertOverflow="ellipsis" vert="horz" wrap="square" anchor="ctr" anchorCtr="1"/>
        <a:lstStyle/>
        <a:p>
          <a:pPr>
            <a:defRPr lang="zh-CN" sz="1100" b="0" i="0" u="none" strike="noStrike" kern="1200" baseline="0">
              <a:solidFill>
                <a:schemeClr val="tx1"/>
              </a:solidFill>
              <a:latin typeface="+mn-lt"/>
              <a:ea typeface="+mn-ea"/>
              <a:cs typeface="+mn-cs"/>
            </a:defRPr>
          </a:pPr>
          <a:endParaRPr lang="zh-CN"/>
        </a:p>
      </c:txPr>
    </c:legend>
    <c:plotVisOnly val="1"/>
    <c:dispBlanksAs val="gap"/>
    <c:showDLblsOverMax val="0"/>
  </c:chart>
  <c:txPr>
    <a:bodyPr/>
    <a:lstStyle/>
    <a:p>
      <a:pPr>
        <a:defRPr lang="zh-CN"/>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28"/>
    </mc:Choice>
    <mc:Fallback>
      <c:style val="28"/>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zh-CN" altLang="zh-CN" sz="1800" b="1" i="0" baseline="0">
                <a:effectLst/>
              </a:rPr>
              <a:t>各研发中心项目平均得分</a:t>
            </a:r>
            <a:endParaRPr lang="zh-CN" altLang="zh-CN">
              <a:effectLst/>
            </a:endParaRPr>
          </a:p>
        </c:rich>
      </c:tx>
      <c:layout/>
      <c:overlay val="0"/>
    </c:title>
    <c:autoTitleDeleted val="0"/>
    <c:plotArea>
      <c:layout>
        <c:manualLayout>
          <c:layoutTarget val="inner"/>
          <c:xMode val="edge"/>
          <c:yMode val="edge"/>
          <c:x val="0.17665020685973601"/>
          <c:y val="0.240409019504532"/>
          <c:w val="0.79047870942172305"/>
          <c:h val="0.59826166710573803"/>
        </c:manualLayout>
      </c:layout>
      <c:barChart>
        <c:barDir val="col"/>
        <c:grouping val="clustered"/>
        <c:varyColors val="0"/>
        <c:ser>
          <c:idx val="0"/>
          <c:order val="0"/>
          <c:tx>
            <c:strRef>
              <c:f>结项项目得分及评价!$C$1</c:f>
              <c:strCache>
                <c:ptCount val="1"/>
                <c:pt idx="0">
                  <c:v>项目平均得分</c:v>
                </c:pt>
              </c:strCache>
            </c:strRef>
          </c:tx>
          <c:invertIfNegative val="0"/>
          <c:dPt>
            <c:idx val="0"/>
            <c:invertIfNegative val="0"/>
            <c:bubble3D val="0"/>
            <c:spPr>
              <a:solidFill>
                <a:schemeClr val="accent2"/>
              </a:solidFill>
            </c:spPr>
          </c:dPt>
          <c:dPt>
            <c:idx val="1"/>
            <c:invertIfNegative val="0"/>
            <c:bubble3D val="0"/>
            <c:spPr>
              <a:solidFill>
                <a:schemeClr val="accent2"/>
              </a:solidFill>
            </c:spPr>
          </c:dPt>
          <c:dPt>
            <c:idx val="2"/>
            <c:invertIfNegative val="0"/>
            <c:bubble3D val="0"/>
            <c:spPr>
              <a:solidFill>
                <a:schemeClr val="accent2"/>
              </a:solidFill>
            </c:spPr>
          </c:dPt>
          <c:cat>
            <c:strRef>
              <c:f>结项项目得分及评价!$B$3:$B$5</c:f>
              <c:strCache>
                <c:ptCount val="3"/>
                <c:pt idx="0">
                  <c:v>智慧校园事业部</c:v>
                </c:pt>
                <c:pt idx="1">
                  <c:v>智慧教学事业部（VR）</c:v>
                </c:pt>
                <c:pt idx="2">
                  <c:v>实训软件开发中心</c:v>
                </c:pt>
              </c:strCache>
            </c:strRef>
          </c:cat>
          <c:val>
            <c:numRef>
              <c:f>结项项目得分及评价!$C$3:$C$5</c:f>
              <c:numCache>
                <c:formatCode>0.00_);[Red]\(0.00\)</c:formatCode>
                <c:ptCount val="3"/>
                <c:pt idx="0">
                  <c:v>84.5</c:v>
                </c:pt>
                <c:pt idx="1">
                  <c:v>83</c:v>
                </c:pt>
                <c:pt idx="2">
                  <c:v>73</c:v>
                </c:pt>
              </c:numCache>
            </c:numRef>
          </c:val>
        </c:ser>
        <c:dLbls>
          <c:showLegendKey val="0"/>
          <c:showVal val="0"/>
          <c:showCatName val="0"/>
          <c:showSerName val="0"/>
          <c:showPercent val="0"/>
          <c:showBubbleSize val="0"/>
        </c:dLbls>
        <c:gapWidth val="150"/>
        <c:axId val="321298944"/>
        <c:axId val="351390528"/>
      </c:barChart>
      <c:catAx>
        <c:axId val="321298944"/>
        <c:scaling>
          <c:orientation val="minMax"/>
        </c:scaling>
        <c:delete val="0"/>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351390528"/>
        <c:crosses val="autoZero"/>
        <c:auto val="1"/>
        <c:lblAlgn val="ctr"/>
        <c:lblOffset val="100"/>
        <c:noMultiLvlLbl val="0"/>
      </c:catAx>
      <c:valAx>
        <c:axId val="351390528"/>
        <c:scaling>
          <c:orientation val="minMax"/>
        </c:scaling>
        <c:delete val="0"/>
        <c:axPos val="l"/>
        <c:majorGridlines/>
        <c:numFmt formatCode="0.00_);[Red]\(0.00\)"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321298944"/>
        <c:crosses val="autoZero"/>
        <c:crossBetween val="between"/>
      </c:valAx>
      <c:dTable>
        <c:showHorzBorder val="1"/>
        <c:showVertBorder val="1"/>
        <c:showOutline val="1"/>
        <c:showKeys val="1"/>
        <c:txPr>
          <a:bodyPr rot="0" spcFirstLastPara="0" vertOverflow="ellipsis" vert="horz" wrap="square" anchor="ctr" anchorCtr="1"/>
          <a:lstStyle/>
          <a:p>
            <a:pPr rtl="0">
              <a:defRPr lang="zh-CN" sz="1000" b="0" i="0" u="none" strike="noStrike" kern="1200" baseline="0">
                <a:solidFill>
                  <a:schemeClr val="tx1"/>
                </a:solidFill>
                <a:latin typeface="+mn-lt"/>
                <a:ea typeface="+mn-ea"/>
                <a:cs typeface="+mn-cs"/>
              </a:defRPr>
            </a:pPr>
            <a:endParaRPr lang="zh-CN"/>
          </a:p>
        </c:txPr>
      </c:dTable>
    </c:plotArea>
    <c:plotVisOnly val="1"/>
    <c:dispBlanksAs val="gap"/>
    <c:showDLblsOverMax val="0"/>
  </c:chart>
  <c:txPr>
    <a:bodyPr/>
    <a:lstStyle/>
    <a:p>
      <a:pPr>
        <a:defRPr lang="zh-CN"/>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zh-CN"/>
              <a:t>缺陷严重程度分布图</a:t>
            </a:r>
          </a:p>
        </c:rich>
      </c:tx>
      <c:layout/>
      <c:overlay val="0"/>
    </c:title>
    <c:autoTitleDeleted val="0"/>
    <c:plotArea>
      <c:layout/>
      <c:barChart>
        <c:barDir val="col"/>
        <c:grouping val="clustered"/>
        <c:varyColors val="0"/>
        <c:ser>
          <c:idx val="1"/>
          <c:order val="0"/>
          <c:tx>
            <c:strRef>
              <c:f>结项项目得分及评价!$B$70</c:f>
              <c:strCache>
                <c:ptCount val="1"/>
                <c:pt idx="0">
                  <c:v>VR事业部</c:v>
                </c:pt>
              </c:strCache>
            </c:strRef>
          </c:tx>
          <c:spPr>
            <a:solidFill>
              <a:schemeClr val="accent2"/>
            </a:solidFill>
          </c:spPr>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结项项目得分及评价!$C$67:$G$67</c:f>
              <c:strCache>
                <c:ptCount val="5"/>
                <c:pt idx="0">
                  <c:v>P1（致命）</c:v>
                </c:pt>
                <c:pt idx="1">
                  <c:v>P2（严重）</c:v>
                </c:pt>
                <c:pt idx="2">
                  <c:v>P3（一般）</c:v>
                </c:pt>
                <c:pt idx="3">
                  <c:v>P4（微小）</c:v>
                </c:pt>
                <c:pt idx="4">
                  <c:v>P5（建议）</c:v>
                </c:pt>
              </c:strCache>
            </c:strRef>
          </c:cat>
          <c:val>
            <c:numRef>
              <c:f>结项项目得分及评价!$C$70:$G$70</c:f>
              <c:numCache>
                <c:formatCode>General</c:formatCode>
                <c:ptCount val="5"/>
                <c:pt idx="0">
                  <c:v>0</c:v>
                </c:pt>
                <c:pt idx="1">
                  <c:v>0</c:v>
                </c:pt>
                <c:pt idx="2">
                  <c:v>0</c:v>
                </c:pt>
                <c:pt idx="3">
                  <c:v>0</c:v>
                </c:pt>
                <c:pt idx="4">
                  <c:v>0</c:v>
                </c:pt>
              </c:numCache>
            </c:numRef>
          </c:val>
        </c:ser>
        <c:ser>
          <c:idx val="2"/>
          <c:order val="1"/>
          <c:tx>
            <c:strRef>
              <c:f>结项项目得分及评价!$B$69</c:f>
              <c:strCache>
                <c:ptCount val="1"/>
                <c:pt idx="0">
                  <c:v>实训软件开发中心</c:v>
                </c:pt>
              </c:strCache>
            </c:strRef>
          </c:tx>
          <c:spPr>
            <a:solidFill>
              <a:schemeClr val="accent6"/>
            </a:solidFill>
          </c:spPr>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结项项目得分及评价!$C$67:$G$67</c:f>
              <c:strCache>
                <c:ptCount val="5"/>
                <c:pt idx="0">
                  <c:v>P1（致命）</c:v>
                </c:pt>
                <c:pt idx="1">
                  <c:v>P2（严重）</c:v>
                </c:pt>
                <c:pt idx="2">
                  <c:v>P3（一般）</c:v>
                </c:pt>
                <c:pt idx="3">
                  <c:v>P4（微小）</c:v>
                </c:pt>
                <c:pt idx="4">
                  <c:v>P5（建议）</c:v>
                </c:pt>
              </c:strCache>
            </c:strRef>
          </c:cat>
          <c:val>
            <c:numRef>
              <c:f>结项项目得分及评价!$C$69:$G$69</c:f>
              <c:numCache>
                <c:formatCode>General</c:formatCode>
                <c:ptCount val="5"/>
                <c:pt idx="0">
                  <c:v>0</c:v>
                </c:pt>
                <c:pt idx="1">
                  <c:v>6</c:v>
                </c:pt>
                <c:pt idx="2">
                  <c:v>71</c:v>
                </c:pt>
                <c:pt idx="3">
                  <c:v>129</c:v>
                </c:pt>
                <c:pt idx="4">
                  <c:v>16</c:v>
                </c:pt>
              </c:numCache>
            </c:numRef>
          </c:val>
        </c:ser>
        <c:ser>
          <c:idx val="3"/>
          <c:order val="2"/>
          <c:tx>
            <c:strRef>
              <c:f>结项项目得分及评价!$B$68</c:f>
              <c:strCache>
                <c:ptCount val="1"/>
                <c:pt idx="0">
                  <c:v>智慧校园事业部</c:v>
                </c:pt>
              </c:strCache>
            </c:strRef>
          </c:tx>
          <c:spPr>
            <a:solidFill>
              <a:schemeClr val="accent3">
                <a:lumMod val="75000"/>
              </a:schemeClr>
            </a:solidFill>
          </c:spPr>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结项项目得分及评价!$C$67:$G$67</c:f>
              <c:strCache>
                <c:ptCount val="5"/>
                <c:pt idx="0">
                  <c:v>P1（致命）</c:v>
                </c:pt>
                <c:pt idx="1">
                  <c:v>P2（严重）</c:v>
                </c:pt>
                <c:pt idx="2">
                  <c:v>P3（一般）</c:v>
                </c:pt>
                <c:pt idx="3">
                  <c:v>P4（微小）</c:v>
                </c:pt>
                <c:pt idx="4">
                  <c:v>P5（建议）</c:v>
                </c:pt>
              </c:strCache>
            </c:strRef>
          </c:cat>
          <c:val>
            <c:numRef>
              <c:f>结项项目得分及评价!$C$68:$G$68</c:f>
              <c:numCache>
                <c:formatCode>General</c:formatCode>
                <c:ptCount val="5"/>
                <c:pt idx="0">
                  <c:v>0</c:v>
                </c:pt>
                <c:pt idx="1">
                  <c:v>1</c:v>
                </c:pt>
                <c:pt idx="2">
                  <c:v>199</c:v>
                </c:pt>
                <c:pt idx="3">
                  <c:v>63</c:v>
                </c:pt>
                <c:pt idx="4">
                  <c:v>18</c:v>
                </c:pt>
              </c:numCache>
            </c:numRef>
          </c:val>
        </c:ser>
        <c:ser>
          <c:idx val="0"/>
          <c:order val="3"/>
          <c:tx>
            <c:v>实训软件开发中心</c:v>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结项项目得分及评价!$C$67:$G$67</c:f>
              <c:strCache>
                <c:ptCount val="5"/>
                <c:pt idx="0">
                  <c:v>P1（致命）</c:v>
                </c:pt>
                <c:pt idx="1">
                  <c:v>P2（严重）</c:v>
                </c:pt>
                <c:pt idx="2">
                  <c:v>P3（一般）</c:v>
                </c:pt>
                <c:pt idx="3">
                  <c:v>P4（微小）</c:v>
                </c:pt>
                <c:pt idx="4">
                  <c:v>P5（建议）</c:v>
                </c:pt>
              </c:strCache>
            </c:strRef>
          </c:cat>
          <c:val>
            <c:numRef>
              <c:f>结项项目得分及评价!$C$71:$G$71</c:f>
            </c:numRef>
          </c:val>
        </c:ser>
        <c:dLbls>
          <c:showLegendKey val="0"/>
          <c:showVal val="1"/>
          <c:showCatName val="0"/>
          <c:showSerName val="0"/>
          <c:showPercent val="0"/>
          <c:showBubbleSize val="0"/>
        </c:dLbls>
        <c:gapWidth val="150"/>
        <c:axId val="322474496"/>
        <c:axId val="351393408"/>
      </c:barChart>
      <c:catAx>
        <c:axId val="322474496"/>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351393408"/>
        <c:crosses val="autoZero"/>
        <c:auto val="1"/>
        <c:lblAlgn val="ctr"/>
        <c:lblOffset val="100"/>
        <c:noMultiLvlLbl val="0"/>
      </c:catAx>
      <c:valAx>
        <c:axId val="351393408"/>
        <c:scaling>
          <c:orientation val="minMax"/>
        </c:scaling>
        <c:delete val="1"/>
        <c:axPos val="l"/>
        <c:numFmt formatCode="General" sourceLinked="1"/>
        <c:majorTickMark val="out"/>
        <c:minorTickMark val="none"/>
        <c:tickLblPos val="nextTo"/>
        <c:crossAx val="32247449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gap"/>
    <c:showDLblsOverMax val="0"/>
  </c:chart>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180564</xdr:colOff>
      <xdr:row>20</xdr:row>
      <xdr:rowOff>123825</xdr:rowOff>
    </xdr:from>
    <xdr:to>
      <xdr:col>18</xdr:col>
      <xdr:colOff>95250</xdr:colOff>
      <xdr:row>39</xdr:row>
      <xdr:rowOff>38100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1111</xdr:colOff>
      <xdr:row>49</xdr:row>
      <xdr:rowOff>7034</xdr:rowOff>
    </xdr:from>
    <xdr:to>
      <xdr:col>13</xdr:col>
      <xdr:colOff>304800</xdr:colOff>
      <xdr:row>63</xdr:row>
      <xdr:rowOff>68949</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175175</xdr:colOff>
      <xdr:row>0</xdr:row>
      <xdr:rowOff>150949</xdr:rowOff>
    </xdr:from>
    <xdr:to>
      <xdr:col>17</xdr:col>
      <xdr:colOff>542925</xdr:colOff>
      <xdr:row>20</xdr:row>
      <xdr:rowOff>19050</xdr:rowOff>
    </xdr:to>
    <xdr:graphicFrame macro="">
      <xdr:nvGraphicFramePr>
        <xdr:cNvPr id="9" name="图表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38099</xdr:colOff>
      <xdr:row>73</xdr:row>
      <xdr:rowOff>66675</xdr:rowOff>
    </xdr:from>
    <xdr:to>
      <xdr:col>11</xdr:col>
      <xdr:colOff>561975</xdr:colOff>
      <xdr:row>84</xdr:row>
      <xdr:rowOff>9525</xdr:rowOff>
    </xdr:to>
    <xdr:graphicFrame macro="">
      <xdr:nvGraphicFramePr>
        <xdr:cNvPr id="11" name="图表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S100"/>
  <sheetViews>
    <sheetView showGridLines="0" tabSelected="1" topLeftCell="A13" workbookViewId="0">
      <selection activeCell="N91" sqref="N91"/>
    </sheetView>
  </sheetViews>
  <sheetFormatPr defaultColWidth="9" defaultRowHeight="13.5"/>
  <cols>
    <col min="1" max="1" width="2.625" customWidth="1"/>
    <col min="2" max="2" width="8.875" style="106" customWidth="1"/>
    <col min="3" max="3" width="19.875" customWidth="1"/>
    <col min="4" max="4" width="12.125" customWidth="1"/>
    <col min="5" max="5" width="9.125" customWidth="1"/>
    <col min="6" max="6" width="11.875" customWidth="1"/>
    <col min="7" max="7" width="11.125" customWidth="1"/>
    <col min="8" max="8" width="7.625" customWidth="1"/>
    <col min="9" max="9" width="2.25" hidden="1" customWidth="1"/>
    <col min="10" max="10" width="6.5" hidden="1" customWidth="1"/>
    <col min="11" max="11" width="9.125" style="64" customWidth="1"/>
    <col min="12" max="12" width="9.375" style="64" customWidth="1"/>
    <col min="13" max="13" width="13" customWidth="1"/>
    <col min="14" max="14" width="7.75" customWidth="1"/>
    <col min="15" max="15" width="8.75" customWidth="1"/>
    <col min="16" max="16" width="10.625" customWidth="1"/>
    <col min="20" max="20" width="11.5" customWidth="1"/>
  </cols>
  <sheetData>
    <row r="1" spans="2:5" ht="16.5">
      <c r="B1" s="107" t="s">
        <v>0</v>
      </c>
      <c r="C1" s="108" t="s">
        <v>1</v>
      </c>
      <c r="E1" s="109"/>
    </row>
    <row r="2" spans="2:5" ht="24" hidden="1">
      <c r="B2" s="110" t="s">
        <v>2</v>
      </c>
      <c r="C2" s="111" t="e">
        <f>AVERAGEIF(研发中心当月结项项目质量评定明细表!C:C,B2,研发中心当月结项项目质量评定明细表!AJ:AJ)</f>
        <v>#DIV/0!</v>
      </c>
      <c r="E2" s="109"/>
    </row>
    <row r="3" spans="2:5" ht="24">
      <c r="B3" s="110" t="s">
        <v>192</v>
      </c>
      <c r="C3" s="111">
        <f>AVERAGEIF(研发中心当月结项项目质量评定明细表!C:C,B3,研发中心当月结项项目质量评定明细表!AJ:AJ)</f>
        <v>84.5</v>
      </c>
      <c r="E3" s="109"/>
    </row>
    <row r="4" spans="2:5" ht="24">
      <c r="B4" s="110" t="s">
        <v>228</v>
      </c>
      <c r="C4" s="111">
        <f>AVERAGEIF(研发中心当月结项项目质量评定明细表!C:C,B4,研发中心当月结项项目质量评定明细表!AJ:AJ)</f>
        <v>83</v>
      </c>
      <c r="E4" s="109"/>
    </row>
    <row r="5" spans="2:5" ht="24">
      <c r="B5" s="110" t="s">
        <v>229</v>
      </c>
      <c r="C5" s="111">
        <f>AVERAGEIF(研发中心当月结项项目质量评定明细表!C:C,B5,研发中心当月结项项目质量评定明细表!AJ:AJ)</f>
        <v>73</v>
      </c>
      <c r="D5" s="112"/>
      <c r="E5" s="113"/>
    </row>
    <row r="6" spans="2:5" ht="14.25">
      <c r="B6" s="156"/>
      <c r="C6" s="115"/>
      <c r="D6" s="112"/>
      <c r="E6" s="113"/>
    </row>
    <row r="7" spans="2:5" ht="14.25">
      <c r="B7" s="156"/>
      <c r="C7" s="115"/>
      <c r="D7" s="112"/>
      <c r="E7" s="113"/>
    </row>
    <row r="8" spans="2:5" ht="14.25">
      <c r="B8" s="156"/>
      <c r="C8" s="115"/>
      <c r="D8" s="112"/>
      <c r="E8" s="113"/>
    </row>
    <row r="9" spans="2:5" ht="14.25">
      <c r="B9" s="156"/>
      <c r="C9" s="115"/>
      <c r="D9" s="112"/>
      <c r="E9" s="113"/>
    </row>
    <row r="10" spans="2:5" ht="14.25">
      <c r="D10" s="112"/>
      <c r="E10" s="113"/>
    </row>
    <row r="11" spans="2:5" ht="12.75" customHeight="1">
      <c r="B11" s="114"/>
      <c r="C11" s="115"/>
      <c r="D11" s="116"/>
      <c r="E11" s="113"/>
    </row>
    <row r="12" spans="2:5" ht="12.75" customHeight="1">
      <c r="B12" s="114"/>
      <c r="C12" s="115"/>
      <c r="D12" s="116"/>
      <c r="E12" s="113"/>
    </row>
    <row r="13" spans="2:5" ht="12.75" customHeight="1">
      <c r="B13" s="114"/>
      <c r="C13" s="115"/>
      <c r="D13" s="116"/>
      <c r="E13" s="113"/>
    </row>
    <row r="14" spans="2:5" ht="12.75" customHeight="1">
      <c r="B14" s="114"/>
      <c r="C14" s="115"/>
      <c r="D14" s="116"/>
      <c r="E14" s="113"/>
    </row>
    <row r="15" spans="2:5" ht="12.75" customHeight="1">
      <c r="B15" s="114"/>
      <c r="C15" s="115"/>
      <c r="D15" s="116"/>
      <c r="E15" s="113"/>
    </row>
    <row r="16" spans="2:5" ht="14.25">
      <c r="B16" s="114"/>
      <c r="C16" s="115"/>
      <c r="D16" s="116"/>
      <c r="E16" s="113"/>
    </row>
    <row r="17" spans="2:12" ht="14.25">
      <c r="B17" s="114"/>
      <c r="C17" s="115"/>
      <c r="D17" s="116"/>
      <c r="E17" s="113"/>
    </row>
    <row r="18" spans="2:12">
      <c r="D18" s="116"/>
      <c r="E18" s="116"/>
    </row>
    <row r="19" spans="2:12">
      <c r="B19" s="117"/>
      <c r="C19" s="116"/>
      <c r="D19" s="116"/>
      <c r="E19" s="116"/>
    </row>
    <row r="20" spans="2:12">
      <c r="B20" s="117"/>
      <c r="C20" s="116"/>
      <c r="D20" s="116"/>
      <c r="E20" s="116"/>
    </row>
    <row r="22" spans="2:12" s="15" customFormat="1" ht="16.5">
      <c r="B22" s="118" t="s">
        <v>3</v>
      </c>
      <c r="C22" s="119" t="s">
        <v>4</v>
      </c>
      <c r="D22" s="25" t="s">
        <v>5</v>
      </c>
      <c r="E22" s="25" t="s">
        <v>6</v>
      </c>
      <c r="F22" s="119" t="s">
        <v>7</v>
      </c>
      <c r="K22" s="142"/>
      <c r="L22" s="142"/>
    </row>
    <row r="23" spans="2:12" s="15" customFormat="1" ht="24">
      <c r="B23" s="120" t="str">
        <f>VLOOKUP(结项项目得分及评价!C23,研发中心当月结项项目质量评定明细表!$B$4:$AJ$12,2,FALSE)</f>
        <v>智慧校园事业部</v>
      </c>
      <c r="C23" s="31" t="s">
        <v>220</v>
      </c>
      <c r="D23" s="73" t="str">
        <f>VLOOKUP(结项项目得分及评价!C23,研发中心当月结项项目质量评定明细表!$B$4:$AJ$12,5,FALSE)</f>
        <v>普通</v>
      </c>
      <c r="E23" s="73" t="str">
        <f>VLOOKUP(结项项目得分及评价!C23,研发中心当月结项项目质量评定明细表!$B$4:$AJ$12,6,FALSE)</f>
        <v>全新项目</v>
      </c>
      <c r="F23" s="73">
        <f>VLOOKUP(结项项目得分及评价!C23,研发中心当月结项项目质量评定明细表!$B$4:$AJ$12,35,FALSE)</f>
        <v>97</v>
      </c>
      <c r="K23" s="142"/>
      <c r="L23" s="142"/>
    </row>
    <row r="24" spans="2:12" s="15" customFormat="1" ht="24">
      <c r="B24" s="120" t="str">
        <f>VLOOKUP(结项项目得分及评价!C24,研发中心当月结项项目质量评定明细表!$B$4:$AJ$12,2,FALSE)</f>
        <v>智慧教学事业部（VR）</v>
      </c>
      <c r="C24" s="31" t="s">
        <v>145</v>
      </c>
      <c r="D24" s="73" t="str">
        <f>VLOOKUP(结项项目得分及评价!C24,研发中心当月结项项目质量评定明细表!$B$4:$AJ$12,5,FALSE)</f>
        <v>普通</v>
      </c>
      <c r="E24" s="73" t="str">
        <f>VLOOKUP(结项项目得分及评价!C24,研发中心当月结项项目质量评定明细表!$B$4:$AJ$12,6,FALSE)</f>
        <v>全新项目</v>
      </c>
      <c r="F24" s="73">
        <f>VLOOKUP(结项项目得分及评价!C24,研发中心当月结项项目质量评定明细表!$B$4:$AJ$12,35,FALSE)</f>
        <v>83</v>
      </c>
      <c r="K24" s="142"/>
      <c r="L24" s="142"/>
    </row>
    <row r="25" spans="2:12" s="15" customFormat="1" ht="24">
      <c r="B25" s="120" t="str">
        <f>VLOOKUP(结项项目得分及评价!C25,研发中心当月结项项目质量评定明细表!$B$4:$AJ$12,2,FALSE)</f>
        <v>实训软件开发中心</v>
      </c>
      <c r="C25" s="31" t="s">
        <v>221</v>
      </c>
      <c r="D25" s="73" t="str">
        <f>VLOOKUP(结项项目得分及评价!C25,研发中心当月结项项目质量评定明细表!$B$4:$AJ$12,5,FALSE)</f>
        <v>普通</v>
      </c>
      <c r="E25" s="73" t="str">
        <f>VLOOKUP(结项项目得分及评价!C25,研发中心当月结项项目质量评定明细表!$B$4:$AJ$12,6,FALSE)</f>
        <v>升级项目</v>
      </c>
      <c r="F25" s="73">
        <f>VLOOKUP(结项项目得分及评价!C25,研发中心当月结项项目质量评定明细表!$B$4:$AJ$12,35,FALSE)</f>
        <v>73</v>
      </c>
      <c r="K25" s="142"/>
      <c r="L25" s="142"/>
    </row>
    <row r="26" spans="2:12" s="15" customFormat="1" ht="19.5" customHeight="1">
      <c r="B26" s="120" t="str">
        <f>VLOOKUP(结项项目得分及评价!C26,研发中心当月结项项目质量评定明细表!$B$4:$AJ$12,2,FALSE)</f>
        <v>智慧校园事业部</v>
      </c>
      <c r="C26" s="31" t="s">
        <v>189</v>
      </c>
      <c r="D26" s="73" t="str">
        <f>VLOOKUP(结项项目得分及评价!C26,研发中心当月结项项目质量评定明细表!$B$4:$AJ$12,5,FALSE)</f>
        <v>普通</v>
      </c>
      <c r="E26" s="73" t="str">
        <f>VLOOKUP(结项项目得分及评价!C26,研发中心当月结项项目质量评定明细表!$B$4:$AJ$12,6,FALSE)</f>
        <v>全新项目</v>
      </c>
      <c r="F26" s="73">
        <f>VLOOKUP(结项项目得分及评价!C26,研发中心当月结项项目质量评定明细表!$B$4:$AJ$12,35,FALSE)</f>
        <v>72</v>
      </c>
      <c r="K26" s="142"/>
      <c r="L26" s="142"/>
    </row>
    <row r="27" spans="2:12" s="15" customFormat="1">
      <c r="B27" s="120" t="e">
        <f>VLOOKUP(结项项目得分及评价!C27,研发中心当月结项项目质量评定明细表!$B$4:$AJ$12,2,FALSE)</f>
        <v>#N/A</v>
      </c>
      <c r="C27" s="158"/>
      <c r="D27" s="73" t="e">
        <f>VLOOKUP(结项项目得分及评价!C27,研发中心当月结项项目质量评定明细表!$B$4:$AJ$12,5,FALSE)</f>
        <v>#N/A</v>
      </c>
      <c r="E27" s="73" t="e">
        <f>VLOOKUP(结项项目得分及评价!C27,研发中心当月结项项目质量评定明细表!$B$4:$AJ$12,6,FALSE)</f>
        <v>#N/A</v>
      </c>
      <c r="F27" s="73" t="e">
        <f>VLOOKUP(结项项目得分及评价!C27,研发中心当月结项项目质量评定明细表!$B$4:$AJ$12,35,FALSE)</f>
        <v>#N/A</v>
      </c>
      <c r="K27" s="142"/>
      <c r="L27" s="142"/>
    </row>
    <row r="28" spans="2:12" s="15" customFormat="1">
      <c r="B28" s="120" t="e">
        <f>VLOOKUP(结项项目得分及评价!C28,研发中心当月结项项目质量评定明细表!$B$4:$AJ$12,2,FALSE)</f>
        <v>#N/A</v>
      </c>
      <c r="C28" s="158"/>
      <c r="D28" s="73" t="e">
        <f>VLOOKUP(结项项目得分及评价!C28,研发中心当月结项项目质量评定明细表!$B$4:$AJ$12,5,FALSE)</f>
        <v>#N/A</v>
      </c>
      <c r="E28" s="73" t="e">
        <f>VLOOKUP(结项项目得分及评价!C28,研发中心当月结项项目质量评定明细表!$B$4:$AJ$12,6,FALSE)</f>
        <v>#N/A</v>
      </c>
      <c r="F28" s="73" t="e">
        <f>VLOOKUP(结项项目得分及评价!C28,研发中心当月结项项目质量评定明细表!$B$4:$AJ$12,35,FALSE)</f>
        <v>#N/A</v>
      </c>
      <c r="K28" s="142"/>
      <c r="L28" s="142"/>
    </row>
    <row r="29" spans="2:12" s="15" customFormat="1">
      <c r="B29" s="120" t="e">
        <f>VLOOKUP(结项项目得分及评价!C29,研发中心当月结项项目质量评定明细表!$B$4:$AJ$12,2,FALSE)</f>
        <v>#N/A</v>
      </c>
      <c r="C29" s="158"/>
      <c r="D29" s="73" t="e">
        <f>VLOOKUP(结项项目得分及评价!C29,研发中心当月结项项目质量评定明细表!$B$4:$AJ$12,5,FALSE)</f>
        <v>#N/A</v>
      </c>
      <c r="E29" s="73" t="e">
        <f>VLOOKUP(结项项目得分及评价!C29,研发中心当月结项项目质量评定明细表!$B$4:$AJ$12,6,FALSE)</f>
        <v>#N/A</v>
      </c>
      <c r="F29" s="73" t="e">
        <f>VLOOKUP(结项项目得分及评价!C29,研发中心当月结项项目质量评定明细表!$B$4:$AJ$12,35,FALSE)</f>
        <v>#N/A</v>
      </c>
      <c r="K29" s="142"/>
      <c r="L29" s="142"/>
    </row>
    <row r="30" spans="2:12" s="15" customFormat="1">
      <c r="B30" s="120" t="e">
        <f>VLOOKUP(结项项目得分及评价!C30,研发中心当月结项项目质量评定明细表!$B$4:$AJ$12,2,FALSE)</f>
        <v>#N/A</v>
      </c>
      <c r="C30" s="158"/>
      <c r="D30" s="73" t="e">
        <f>VLOOKUP(结项项目得分及评价!C30,研发中心当月结项项目质量评定明细表!$B$4:$AJ$12,5,FALSE)</f>
        <v>#N/A</v>
      </c>
      <c r="E30" s="73" t="e">
        <f>VLOOKUP(结项项目得分及评价!C30,研发中心当月结项项目质量评定明细表!$B$4:$AJ$12,6,FALSE)</f>
        <v>#N/A</v>
      </c>
      <c r="F30" s="73" t="e">
        <f>VLOOKUP(结项项目得分及评价!C30,研发中心当月结项项目质量评定明细表!$B$4:$AJ$12,35,FALSE)</f>
        <v>#N/A</v>
      </c>
      <c r="K30" s="142"/>
      <c r="L30" s="142"/>
    </row>
    <row r="31" spans="2:12" s="15" customFormat="1">
      <c r="B31" s="120" t="e">
        <f>VLOOKUP(结项项目得分及评价!C31,研发中心当月结项项目质量评定明细表!$B$4:$AJ$12,2,FALSE)</f>
        <v>#N/A</v>
      </c>
      <c r="C31" s="158"/>
      <c r="D31" s="73" t="e">
        <f>VLOOKUP(结项项目得分及评价!C31,研发中心当月结项项目质量评定明细表!$B$4:$AJ$12,5,FALSE)</f>
        <v>#N/A</v>
      </c>
      <c r="E31" s="73" t="e">
        <f>VLOOKUP(结项项目得分及评价!C31,研发中心当月结项项目质量评定明细表!$B$4:$AJ$12,6,FALSE)</f>
        <v>#N/A</v>
      </c>
      <c r="F31" s="73" t="e">
        <f>VLOOKUP(结项项目得分及评价!C31,研发中心当月结项项目质量评定明细表!$B$4:$AJ$12,35,FALSE)</f>
        <v>#N/A</v>
      </c>
      <c r="K31" s="142"/>
      <c r="L31" s="142"/>
    </row>
    <row r="32" spans="2:12" s="15" customFormat="1">
      <c r="B32" s="121"/>
      <c r="C32" s="154"/>
      <c r="D32" s="123"/>
      <c r="E32" s="123"/>
      <c r="F32" s="123"/>
      <c r="K32" s="142"/>
      <c r="L32" s="142"/>
    </row>
    <row r="33" spans="2:19" s="15" customFormat="1">
      <c r="B33" s="121"/>
      <c r="C33" s="154"/>
      <c r="D33" s="123"/>
      <c r="E33" s="123"/>
      <c r="F33" s="123"/>
      <c r="K33" s="142"/>
      <c r="L33" s="142"/>
    </row>
    <row r="34" spans="2:19" s="15" customFormat="1">
      <c r="B34" s="121"/>
      <c r="C34" s="154"/>
      <c r="D34" s="123"/>
      <c r="E34" s="123"/>
      <c r="F34" s="123"/>
      <c r="K34" s="142"/>
      <c r="L34" s="142"/>
    </row>
    <row r="35" spans="2:19" s="15" customFormat="1">
      <c r="B35" s="121"/>
      <c r="C35" s="154"/>
      <c r="D35" s="123"/>
      <c r="E35" s="123"/>
      <c r="F35" s="123"/>
      <c r="K35" s="142"/>
      <c r="L35" s="142"/>
    </row>
    <row r="36" spans="2:19" s="15" customFormat="1">
      <c r="B36" s="121"/>
      <c r="C36" s="154"/>
      <c r="D36" s="123"/>
      <c r="E36" s="123"/>
      <c r="F36" s="123"/>
      <c r="K36" s="142"/>
      <c r="L36" s="142"/>
    </row>
    <row r="37" spans="2:19" s="15" customFormat="1">
      <c r="B37" s="121"/>
      <c r="C37" s="154"/>
      <c r="D37" s="123"/>
      <c r="E37" s="123"/>
      <c r="F37" s="123"/>
      <c r="K37" s="142"/>
      <c r="L37" s="142"/>
    </row>
    <row r="38" spans="2:19" s="15" customFormat="1" ht="54" customHeight="1">
      <c r="B38" s="121"/>
      <c r="C38" s="122"/>
      <c r="D38" s="123"/>
      <c r="E38" s="123"/>
      <c r="F38" s="123"/>
      <c r="K38" s="142"/>
      <c r="L38" s="142"/>
    </row>
    <row r="39" spans="2:19" ht="24.75" customHeight="1">
      <c r="B39" s="124"/>
      <c r="C39" s="122"/>
      <c r="D39" s="125"/>
      <c r="E39" s="125"/>
      <c r="F39" s="125"/>
      <c r="G39" s="15"/>
      <c r="H39" s="15"/>
      <c r="I39" s="122"/>
    </row>
    <row r="40" spans="2:19" ht="21">
      <c r="B40" s="211" t="s">
        <v>8</v>
      </c>
      <c r="C40" s="211"/>
      <c r="D40" s="15"/>
      <c r="E40" s="15"/>
      <c r="F40" s="15"/>
      <c r="G40" s="15"/>
      <c r="H40" s="15"/>
      <c r="I40" s="15"/>
    </row>
    <row r="41" spans="2:19" s="105" customFormat="1" ht="115.5">
      <c r="B41" s="118" t="s">
        <v>0</v>
      </c>
      <c r="C41" s="119" t="s">
        <v>9</v>
      </c>
      <c r="D41" s="127" t="s">
        <v>10</v>
      </c>
      <c r="E41" s="127" t="s">
        <v>11</v>
      </c>
      <c r="F41" s="127" t="s">
        <v>12</v>
      </c>
      <c r="G41" s="128" t="s">
        <v>13</v>
      </c>
      <c r="H41" s="127" t="s">
        <v>14</v>
      </c>
      <c r="I41" s="127" t="s">
        <v>15</v>
      </c>
      <c r="J41" s="127" t="s">
        <v>16</v>
      </c>
      <c r="K41" s="143" t="s">
        <v>17</v>
      </c>
      <c r="L41" s="143" t="s">
        <v>18</v>
      </c>
      <c r="M41" s="127" t="s">
        <v>19</v>
      </c>
      <c r="N41" s="119" t="s">
        <v>20</v>
      </c>
      <c r="O41" s="127" t="s">
        <v>21</v>
      </c>
    </row>
    <row r="42" spans="2:19" ht="28.5">
      <c r="B42" s="129" t="s">
        <v>192</v>
      </c>
      <c r="C42" s="130">
        <f>COUNTIFS(研发中心当月结项项目质量评定明细表!$C:$C,B42)</f>
        <v>2</v>
      </c>
      <c r="D42" s="130">
        <f>SUMIF(研发中心当月结项项目质量评定明细表!C:C,B42,研发中心当月结项项目质量评定明细表!L:L)</f>
        <v>9</v>
      </c>
      <c r="E42" s="130">
        <f>SUMIF(研发中心当月结项项目质量评定明细表!C:C,B42,研发中心当月结项项目质量评定明细表!M:M)</f>
        <v>10</v>
      </c>
      <c r="F42" s="130">
        <f>SUMIF(研发中心当月结项项目质量评定明细表!C:C,B42,研发中心当月结项项目质量评定明细表!AE:AE)</f>
        <v>2</v>
      </c>
      <c r="G42" s="130">
        <f>SUMIF(研发中心当月结项项目质量评定明细表!C:C,B42,研发中心当月结项项目质量评定明细表!N:N)</f>
        <v>0</v>
      </c>
      <c r="H42" s="130">
        <f>SUMIF(研发中心当月结项项目质量评定明细表!C:C,B42,研发中心当月结项项目质量评定明细表!AB:AB)</f>
        <v>215.4</v>
      </c>
      <c r="I42" s="130">
        <f>SUMIF(研发中心当月结项项目质量评定明细表!C:C,B42,研发中心当月结项项目质量评定明细表!X:X)</f>
        <v>33.1</v>
      </c>
      <c r="J42" s="130">
        <f>SUMIF(研发中心当月结项项目质量评定明细表!C:C,B42,研发中心当月结项项目质量评定明细表!W:W)</f>
        <v>0</v>
      </c>
      <c r="K42" s="144">
        <f t="shared" ref="K42" si="0">E42/C42</f>
        <v>5</v>
      </c>
      <c r="L42" s="144">
        <f t="shared" ref="L42" si="1">G42/E42</f>
        <v>0</v>
      </c>
      <c r="M42" s="145">
        <f t="shared" ref="M42" si="2">I42/H42*100</f>
        <v>15.366759517177345</v>
      </c>
      <c r="N42" s="145">
        <f>SUMIF(研发中心当月结项项目质量评定明细表!C:C,B42,研发中心当月结项项目质量评定明细表!AC:AC)</f>
        <v>1.2051656413107814</v>
      </c>
      <c r="O42" s="145">
        <f t="shared" ref="O42" si="3">J42/H42*100</f>
        <v>0</v>
      </c>
      <c r="P42" s="105"/>
      <c r="Q42" s="105"/>
    </row>
    <row r="43" spans="2:19" ht="28.5">
      <c r="B43" s="131" t="s">
        <v>148</v>
      </c>
      <c r="C43" s="130">
        <f>COUNTIFS(研发中心当月结项项目质量评定明细表!$C:$C,B43)</f>
        <v>1</v>
      </c>
      <c r="D43" s="130">
        <f>SUMIF(研发中心当月结项项目质量评定明细表!C:C,B43,研发中心当月结项项目质量评定明细表!L:L)</f>
        <v>4</v>
      </c>
      <c r="E43" s="130">
        <f>SUMIF(研发中心当月结项项目质量评定明细表!C:C,B43,研发中心当月结项项目质量评定明细表!M:M)</f>
        <v>4</v>
      </c>
      <c r="F43" s="130">
        <f>SUMIF(研发中心当月结项项目质量评定明细表!C:C,B43,研发中心当月结项项目质量评定明细表!AE:AE)</f>
        <v>4</v>
      </c>
      <c r="G43" s="130">
        <f>SUMIF(研发中心当月结项项目质量评定明细表!C:C,B43,研发中心当月结项项目质量评定明细表!N:N)</f>
        <v>0</v>
      </c>
      <c r="H43" s="130">
        <f>SUMIF(研发中心当月结项项目质量评定明细表!C:C,B43,研发中心当月结项项目质量评定明细表!AB:AB)</f>
        <v>110.39999999999999</v>
      </c>
      <c r="I43" s="130">
        <f>SUMIF(研发中心当月结项项目质量评定明细表!C:C,B43,研发中心当月结项项目质量评定明细表!X:X)</f>
        <v>4.2</v>
      </c>
      <c r="J43" s="130">
        <f>SUMIF(研发中心当月结项项目质量评定明细表!C:C,B43,研发中心当月结项项目质量评定明细表!W:W)</f>
        <v>1.7</v>
      </c>
      <c r="K43" s="144">
        <f t="shared" ref="K43:K45" si="4">E43/C43</f>
        <v>4</v>
      </c>
      <c r="L43" s="144">
        <f t="shared" ref="L43:L45" si="5">G43/E43</f>
        <v>0</v>
      </c>
      <c r="M43" s="145">
        <f t="shared" ref="M43:M45" si="6">I43/H43*100</f>
        <v>3.804347826086957</v>
      </c>
      <c r="N43" s="145">
        <f>SUMIF(研发中心当月结项项目质量评定明细表!C:C,B43,研发中心当月结项项目质量评定明细表!AC:AC)</f>
        <v>0.77202797202797202</v>
      </c>
      <c r="O43" s="145">
        <f t="shared" ref="O43:O45" si="7">J43/H43*100</f>
        <v>1.5398550724637683</v>
      </c>
      <c r="P43" s="105"/>
      <c r="Q43" s="105"/>
    </row>
    <row r="44" spans="2:19" ht="16.5">
      <c r="B44" s="131" t="s">
        <v>224</v>
      </c>
      <c r="C44" s="130">
        <f>COUNTIFS(研发中心当月结项项目质量评定明细表!$C:$C,B44)</f>
        <v>0</v>
      </c>
      <c r="D44" s="130">
        <f>SUMIF(研发中心当月结项项目质量评定明细表!C:C,B44,研发中心当月结项项目质量评定明细表!L:L)</f>
        <v>0</v>
      </c>
      <c r="E44" s="130">
        <f>SUMIF(研发中心当月结项项目质量评定明细表!C:C,B44,研发中心当月结项项目质量评定明细表!M:M)</f>
        <v>0</v>
      </c>
      <c r="F44" s="130">
        <f>SUMIF(研发中心当月结项项目质量评定明细表!C:C,B44,研发中心当月结项项目质量评定明细表!AE:AE)</f>
        <v>0</v>
      </c>
      <c r="G44" s="130">
        <f>SUMIF(研发中心当月结项项目质量评定明细表!C:C,B44,研发中心当月结项项目质量评定明细表!N:N)</f>
        <v>0</v>
      </c>
      <c r="H44" s="130">
        <f>SUMIF(研发中心当月结项项目质量评定明细表!C:C,B44,研发中心当月结项项目质量评定明细表!AB:AB)</f>
        <v>0</v>
      </c>
      <c r="I44" s="130">
        <f>SUMIF(研发中心当月结项项目质量评定明细表!C:C,B44,研发中心当月结项项目质量评定明细表!X:X)</f>
        <v>0</v>
      </c>
      <c r="J44" s="130">
        <f>SUMIF(研发中心当月结项项目质量评定明细表!C:C,B44,研发中心当月结项项目质量评定明细表!W:W)</f>
        <v>0</v>
      </c>
      <c r="K44" s="144" t="e">
        <f t="shared" si="4"/>
        <v>#DIV/0!</v>
      </c>
      <c r="L44" s="144" t="e">
        <f t="shared" si="5"/>
        <v>#DIV/0!</v>
      </c>
      <c r="M44" s="145" t="e">
        <f t="shared" si="6"/>
        <v>#DIV/0!</v>
      </c>
      <c r="N44" s="145">
        <f>SUMIF(研发中心当月结项项目质量评定明细表!C:C,B44,研发中心当月结项项目质量评定明细表!AC:AC)</f>
        <v>0</v>
      </c>
      <c r="O44" s="145" t="e">
        <f t="shared" si="7"/>
        <v>#DIV/0!</v>
      </c>
      <c r="Q44" s="105"/>
    </row>
    <row r="45" spans="2:19" ht="28.5" hidden="1">
      <c r="B45" s="131" t="s">
        <v>2</v>
      </c>
      <c r="C45" s="130">
        <f>COUNTIFS(研发中心当月结项项目质量评定明细表!$C:$C,B45)</f>
        <v>0</v>
      </c>
      <c r="D45" s="130">
        <f>SUMIF(研发中心当月结项项目质量评定明细表!C:C,B45,研发中心当月结项项目质量评定明细表!L:L)</f>
        <v>0</v>
      </c>
      <c r="E45" s="130">
        <f>SUMIF(研发中心当月结项项目质量评定明细表!C:C,B45,研发中心当月结项项目质量评定明细表!M:M)</f>
        <v>0</v>
      </c>
      <c r="F45" s="130">
        <f>SUMIF(研发中心当月结项项目质量评定明细表!C:C,B45,研发中心当月结项项目质量评定明细表!AE:AE)</f>
        <v>0</v>
      </c>
      <c r="G45" s="130">
        <f>SUMIF(研发中心当月结项项目质量评定明细表!C:C,B45,研发中心当月结项项目质量评定明细表!N:N)</f>
        <v>0</v>
      </c>
      <c r="H45" s="130">
        <f>SUMIF(研发中心当月结项项目质量评定明细表!C:C,B45,研发中心当月结项项目质量评定明细表!AB:AB)</f>
        <v>0</v>
      </c>
      <c r="I45" s="130">
        <f>SUMIF(研发中心当月结项项目质量评定明细表!C:C,B45,研发中心当月结项项目质量评定明细表!X:X)</f>
        <v>0</v>
      </c>
      <c r="J45" s="130">
        <f>SUMIF(研发中心当月结项项目质量评定明细表!C:C,B45,研发中心当月结项项目质量评定明细表!W:W)</f>
        <v>0</v>
      </c>
      <c r="K45" s="144" t="e">
        <f t="shared" si="4"/>
        <v>#DIV/0!</v>
      </c>
      <c r="L45" s="144" t="e">
        <f t="shared" si="5"/>
        <v>#DIV/0!</v>
      </c>
      <c r="M45" s="145" t="e">
        <f t="shared" si="6"/>
        <v>#DIV/0!</v>
      </c>
      <c r="N45" s="145">
        <f>SUMIF(研发中心当月结项项目质量评定明细表!C:C,B45,研发中心当月结项项目质量评定明细表!AC:AC)</f>
        <v>0</v>
      </c>
      <c r="O45" s="145" t="e">
        <f t="shared" si="7"/>
        <v>#DIV/0!</v>
      </c>
      <c r="P45" s="105"/>
      <c r="Q45" s="105"/>
    </row>
    <row r="46" spans="2:19" ht="14.25">
      <c r="B46" s="132" t="s">
        <v>22</v>
      </c>
      <c r="C46" s="133"/>
      <c r="D46" s="133"/>
      <c r="E46" s="133"/>
      <c r="F46" s="133"/>
      <c r="G46" s="133"/>
      <c r="H46" s="133"/>
      <c r="I46" s="133"/>
      <c r="J46" s="133"/>
      <c r="K46" s="133"/>
      <c r="L46" s="133"/>
      <c r="M46" s="146">
        <v>1</v>
      </c>
      <c r="N46" s="146">
        <v>1</v>
      </c>
      <c r="O46" s="146">
        <v>1</v>
      </c>
      <c r="P46" s="105"/>
      <c r="Q46" s="105"/>
    </row>
    <row r="47" spans="2:19" ht="14.25">
      <c r="B47" s="114"/>
      <c r="C47" s="134"/>
      <c r="D47" s="134"/>
      <c r="E47" s="134"/>
      <c r="F47" s="134"/>
      <c r="G47" s="134"/>
      <c r="H47" s="134"/>
      <c r="I47" s="134"/>
      <c r="J47" s="134"/>
      <c r="K47" s="134"/>
      <c r="L47" s="134"/>
      <c r="M47" s="134"/>
      <c r="N47" s="147"/>
      <c r="O47" s="147"/>
      <c r="P47" s="147"/>
      <c r="Q47" s="109"/>
      <c r="R47" s="109"/>
      <c r="S47" s="109"/>
    </row>
    <row r="48" spans="2:19" ht="87.75" customHeight="1">
      <c r="B48" s="114"/>
      <c r="C48" s="212" t="s">
        <v>246</v>
      </c>
      <c r="D48" s="213"/>
      <c r="E48" s="213"/>
      <c r="F48" s="213"/>
      <c r="G48" s="213"/>
      <c r="H48" s="213"/>
      <c r="I48" s="213"/>
      <c r="J48" s="213"/>
      <c r="K48" s="213"/>
      <c r="L48" s="213"/>
      <c r="M48" s="214"/>
      <c r="N48" s="109"/>
      <c r="O48" s="109"/>
      <c r="P48" s="109"/>
      <c r="Q48" s="109"/>
      <c r="R48" s="109"/>
      <c r="S48" s="109"/>
    </row>
    <row r="49" spans="2:15" ht="27" customHeight="1"/>
    <row r="50" spans="2:15" ht="81.95" customHeight="1">
      <c r="B50" s="135"/>
      <c r="C50" s="136"/>
      <c r="D50" s="136"/>
      <c r="E50" s="136"/>
      <c r="F50" s="136"/>
      <c r="G50" s="136"/>
      <c r="H50" s="136"/>
      <c r="I50" s="136"/>
      <c r="J50" s="136"/>
      <c r="K50" s="148"/>
      <c r="L50" s="148"/>
      <c r="M50" s="149"/>
      <c r="N50" s="149"/>
      <c r="O50" s="149"/>
    </row>
    <row r="51" spans="2:15" ht="16.5">
      <c r="B51" s="135"/>
      <c r="C51" s="136"/>
      <c r="D51" s="136"/>
      <c r="E51" s="136"/>
      <c r="F51" s="137"/>
      <c r="G51" s="137"/>
      <c r="H51" s="137"/>
      <c r="I51" s="137"/>
      <c r="J51" s="137"/>
      <c r="K51" s="150"/>
      <c r="L51" s="150"/>
      <c r="M51" s="151"/>
      <c r="N51" s="151"/>
      <c r="O51" s="151"/>
    </row>
    <row r="52" spans="2:15" ht="16.5">
      <c r="B52" s="135"/>
      <c r="C52" s="136"/>
      <c r="D52" s="136"/>
      <c r="E52" s="136"/>
      <c r="F52" s="137"/>
      <c r="G52" s="137"/>
      <c r="H52" s="137"/>
      <c r="I52" s="137"/>
      <c r="J52" s="137"/>
      <c r="K52" s="150"/>
      <c r="L52" s="150"/>
      <c r="M52" s="151"/>
      <c r="N52" s="151"/>
      <c r="O52" s="151"/>
    </row>
    <row r="53" spans="2:15" ht="16.5">
      <c r="B53" s="135"/>
      <c r="C53" s="136"/>
      <c r="D53" s="136"/>
      <c r="E53" s="136"/>
      <c r="F53" s="137"/>
      <c r="G53" s="137"/>
      <c r="H53" s="137"/>
      <c r="I53" s="137"/>
      <c r="J53" s="137"/>
      <c r="K53" s="150"/>
      <c r="L53" s="150"/>
      <c r="M53" s="151"/>
      <c r="N53" s="151"/>
      <c r="O53" s="151"/>
    </row>
    <row r="54" spans="2:15" ht="16.5">
      <c r="B54" s="135"/>
      <c r="C54" s="136"/>
      <c r="D54" s="136"/>
      <c r="E54" s="136"/>
      <c r="F54" s="137"/>
      <c r="G54" s="137"/>
      <c r="H54" s="137"/>
      <c r="I54" s="137"/>
      <c r="J54" s="137"/>
      <c r="K54" s="150"/>
      <c r="L54" s="150"/>
      <c r="M54" s="151"/>
      <c r="N54" s="151"/>
      <c r="O54" s="151"/>
    </row>
    <row r="55" spans="2:15" ht="16.5">
      <c r="B55" s="135"/>
      <c r="C55" s="136"/>
      <c r="D55" s="136"/>
      <c r="E55" s="136"/>
      <c r="F55" s="137"/>
      <c r="G55" s="137"/>
      <c r="H55" s="137"/>
      <c r="I55" s="137"/>
      <c r="J55" s="137"/>
      <c r="K55" s="150"/>
      <c r="L55" s="150"/>
      <c r="M55" s="151"/>
      <c r="N55" s="151"/>
      <c r="O55" s="151"/>
    </row>
    <row r="56" spans="2:15" ht="16.5">
      <c r="B56" s="135"/>
      <c r="C56" s="136"/>
      <c r="D56" s="136"/>
      <c r="E56" s="136"/>
      <c r="F56" s="137"/>
      <c r="G56" s="137"/>
      <c r="H56" s="137"/>
      <c r="I56" s="137"/>
      <c r="J56" s="137"/>
      <c r="K56" s="150"/>
      <c r="L56" s="150"/>
      <c r="M56" s="151"/>
      <c r="N56" s="151"/>
      <c r="O56" s="151"/>
    </row>
    <row r="57" spans="2:15" ht="16.5">
      <c r="B57" s="135"/>
      <c r="C57" s="136"/>
      <c r="D57" s="136"/>
      <c r="E57" s="136"/>
      <c r="F57" s="137"/>
      <c r="G57" s="137"/>
      <c r="H57" s="137"/>
      <c r="I57" s="137"/>
      <c r="J57" s="137"/>
      <c r="K57" s="150"/>
      <c r="L57" s="150"/>
      <c r="M57" s="151"/>
      <c r="N57" s="151"/>
      <c r="O57" s="151"/>
    </row>
    <row r="58" spans="2:15" ht="16.5">
      <c r="B58" s="135"/>
      <c r="C58" s="136"/>
      <c r="D58" s="136"/>
      <c r="E58" s="136"/>
      <c r="F58" s="137"/>
      <c r="G58" s="137"/>
      <c r="H58" s="137"/>
      <c r="I58" s="137"/>
      <c r="J58" s="137"/>
      <c r="K58" s="150"/>
      <c r="L58" s="150"/>
      <c r="M58" s="151"/>
      <c r="N58" s="151"/>
      <c r="O58" s="151"/>
    </row>
    <row r="59" spans="2:15" ht="16.5">
      <c r="B59" s="135"/>
      <c r="C59" s="136"/>
      <c r="D59" s="136"/>
      <c r="E59" s="136"/>
      <c r="F59" s="137"/>
      <c r="G59" s="137"/>
      <c r="H59" s="137"/>
      <c r="I59" s="137"/>
      <c r="J59" s="137"/>
      <c r="K59" s="150"/>
      <c r="L59" s="150"/>
      <c r="M59" s="151"/>
      <c r="N59" s="151"/>
      <c r="O59" s="151"/>
    </row>
    <row r="60" spans="2:15" ht="16.5">
      <c r="B60" s="135"/>
      <c r="C60" s="136"/>
      <c r="D60" s="136"/>
      <c r="E60" s="136"/>
      <c r="F60" s="137"/>
      <c r="G60" s="137"/>
      <c r="H60" s="137"/>
      <c r="I60" s="137"/>
      <c r="J60" s="137"/>
      <c r="K60" s="150"/>
      <c r="L60" s="150"/>
      <c r="M60" s="151"/>
      <c r="N60" s="151"/>
      <c r="O60" s="151"/>
    </row>
    <row r="64" spans="2:15" ht="50.25" customHeight="1"/>
    <row r="65" spans="2:12" ht="27.75" customHeight="1">
      <c r="B65" s="211" t="s">
        <v>23</v>
      </c>
      <c r="C65" s="211"/>
    </row>
    <row r="66" spans="2:12" ht="13.5" customHeight="1">
      <c r="B66" s="118"/>
      <c r="C66" s="207" t="s">
        <v>24</v>
      </c>
      <c r="D66" s="208"/>
      <c r="E66" s="208"/>
      <c r="F66" s="208"/>
      <c r="G66" s="209"/>
      <c r="K66"/>
      <c r="L66"/>
    </row>
    <row r="67" spans="2:12" ht="13.5" customHeight="1">
      <c r="B67" s="138" t="s">
        <v>0</v>
      </c>
      <c r="C67" s="119" t="s">
        <v>25</v>
      </c>
      <c r="D67" s="119" t="s">
        <v>26</v>
      </c>
      <c r="E67" s="119" t="s">
        <v>27</v>
      </c>
      <c r="F67" s="119" t="s">
        <v>28</v>
      </c>
      <c r="G67" s="119" t="s">
        <v>29</v>
      </c>
      <c r="K67"/>
      <c r="L67"/>
    </row>
    <row r="68" spans="2:12" ht="28.5">
      <c r="B68" s="129" t="s">
        <v>193</v>
      </c>
      <c r="C68" s="130">
        <f>SUMIF(结项项目测试质量及效率!$D:$D,$B$68,结项项目测试质量及效率!W:W)</f>
        <v>0</v>
      </c>
      <c r="D68" s="130">
        <f>SUMIF(结项项目测试质量及效率!$D:$D,$B$68,结项项目测试质量及效率!X:X)</f>
        <v>1</v>
      </c>
      <c r="E68" s="130">
        <f>SUMIF(结项项目测试质量及效率!$D:$D,$B$68,结项项目测试质量及效率!Y:Y)</f>
        <v>199</v>
      </c>
      <c r="F68" s="130">
        <f>SUMIF(结项项目测试质量及效率!$D:$D,$B$68,结项项目测试质量及效率!Z:Z)</f>
        <v>63</v>
      </c>
      <c r="G68" s="130">
        <f>SUMIF(结项项目测试质量及效率!$D:$D,$B$68,结项项目测试质量及效率!AA:AA)</f>
        <v>18</v>
      </c>
      <c r="K68"/>
      <c r="L68"/>
    </row>
    <row r="69" spans="2:12" ht="25.5" customHeight="1">
      <c r="B69" s="131" t="s">
        <v>148</v>
      </c>
      <c r="C69" s="130">
        <f>SUMIF(结项项目测试质量及效率!$D:$D,$B$69,结项项目测试质量及效率!W:W)</f>
        <v>0</v>
      </c>
      <c r="D69" s="130">
        <f>SUMIF(结项项目测试质量及效率!$D:$D,$B$69,结项项目测试质量及效率!X:X)</f>
        <v>6</v>
      </c>
      <c r="E69" s="130">
        <f>SUMIF(结项项目测试质量及效率!$D:$D,$B$69,结项项目测试质量及效率!Y:Y)</f>
        <v>71</v>
      </c>
      <c r="F69" s="130">
        <f>SUMIF(结项项目测试质量及效率!$D:$D,$B$69,结项项目测试质量及效率!Z:Z)</f>
        <v>129</v>
      </c>
      <c r="G69" s="130">
        <f>SUMIF(结项项目测试质量及效率!$D:$D,$B$69,结项项目测试质量及效率!AA:AA)</f>
        <v>16</v>
      </c>
      <c r="K69"/>
      <c r="L69"/>
    </row>
    <row r="70" spans="2:12" ht="25.5" customHeight="1">
      <c r="B70" s="131" t="s">
        <v>225</v>
      </c>
      <c r="C70" s="130">
        <f>SUMIF(结项项目测试质量及效率!$D:$D,$B$70,结项项目测试质量及效率!W:W)</f>
        <v>0</v>
      </c>
      <c r="D70" s="130">
        <f>SUMIF(结项项目测试质量及效率!$D:$D,$B$70,结项项目测试质量及效率!X:X)</f>
        <v>0</v>
      </c>
      <c r="E70" s="130">
        <f>SUMIF(结项项目测试质量及效率!$D:$D,$B$70,结项项目测试质量及效率!Y:Y)</f>
        <v>0</v>
      </c>
      <c r="F70" s="130">
        <f>SUMIF(结项项目测试质量及效率!$D:$D,$B$70,结项项目测试质量及效率!Z:Z)</f>
        <v>0</v>
      </c>
      <c r="G70" s="130">
        <f>SUMIF(结项项目测试质量及效率!$D:$D,$B$70,结项项目测试质量及效率!AA:AA)</f>
        <v>0</v>
      </c>
      <c r="K70"/>
      <c r="L70"/>
    </row>
    <row r="71" spans="2:12" ht="25.5" hidden="1" customHeight="1">
      <c r="B71" s="131" t="s">
        <v>2</v>
      </c>
      <c r="C71" s="130">
        <f>SUMIF(结项项目测试质量及效率!$D:$D,$B$71,结项项目测试质量及效率!W:W)</f>
        <v>0</v>
      </c>
      <c r="D71" s="130">
        <f>SUMIF(结项项目测试质量及效率!$D:$D,$B$71,结项项目测试质量及效率!X:X)</f>
        <v>0</v>
      </c>
      <c r="E71" s="130">
        <f>SUMIF(结项项目测试质量及效率!$D:$D,$B$71,结项项目测试质量及效率!Y:Y)</f>
        <v>0</v>
      </c>
      <c r="F71" s="130">
        <f>SUMIF(结项项目测试质量及效率!$D:$D,$B$71,结项项目测试质量及效率!Z:Z)</f>
        <v>0</v>
      </c>
      <c r="G71" s="130">
        <f>SUMIF(结项项目测试质量及效率!$D:$D,$B$71,结项项目测试质量及效率!AA:AA)</f>
        <v>0</v>
      </c>
      <c r="K71"/>
      <c r="L71"/>
    </row>
    <row r="72" spans="2:12" ht="15.75" customHeight="1">
      <c r="B72" s="139" t="s">
        <v>30</v>
      </c>
      <c r="C72" s="130">
        <f t="shared" ref="C72:G72" si="8">SUM(C68:C70)</f>
        <v>0</v>
      </c>
      <c r="D72" s="130">
        <f t="shared" si="8"/>
        <v>7</v>
      </c>
      <c r="E72" s="130">
        <f t="shared" si="8"/>
        <v>270</v>
      </c>
      <c r="F72" s="130">
        <f t="shared" si="8"/>
        <v>192</v>
      </c>
      <c r="G72" s="130">
        <f t="shared" si="8"/>
        <v>34</v>
      </c>
      <c r="K72"/>
      <c r="L72"/>
    </row>
    <row r="73" spans="2:12" ht="15" customHeight="1">
      <c r="B73" s="140"/>
      <c r="C73" s="141"/>
      <c r="D73" s="141"/>
      <c r="E73" s="141"/>
      <c r="F73" s="141"/>
      <c r="G73" s="141"/>
      <c r="H73" s="141"/>
      <c r="I73" s="141"/>
      <c r="J73" s="141"/>
      <c r="K73"/>
      <c r="L73"/>
    </row>
    <row r="74" spans="2:12" ht="131.25" customHeight="1">
      <c r="K74"/>
      <c r="L74"/>
    </row>
    <row r="77" spans="2:12" ht="21">
      <c r="D77" s="126"/>
      <c r="E77" s="126"/>
    </row>
    <row r="78" spans="2:12" ht="21">
      <c r="D78" s="126"/>
      <c r="E78" s="126"/>
    </row>
    <row r="79" spans="2:12" ht="21">
      <c r="B79" s="152"/>
      <c r="C79" s="126"/>
      <c r="D79" s="126"/>
      <c r="E79" s="126"/>
    </row>
    <row r="81" spans="2:12" ht="21">
      <c r="B81" s="152"/>
      <c r="C81" s="126"/>
      <c r="D81" s="126"/>
      <c r="E81" s="126"/>
      <c r="K81"/>
      <c r="L81"/>
    </row>
    <row r="82" spans="2:12" ht="21">
      <c r="B82" s="152"/>
      <c r="C82" s="126"/>
      <c r="D82" s="126"/>
      <c r="E82" s="126"/>
      <c r="K82"/>
      <c r="L82"/>
    </row>
    <row r="86" spans="2:12" ht="13.5" customHeight="1">
      <c r="B86" s="215" t="s">
        <v>247</v>
      </c>
      <c r="C86" s="216"/>
      <c r="D86" s="216"/>
      <c r="E86" s="216"/>
      <c r="F86" s="216"/>
      <c r="G86" s="216"/>
      <c r="H86" s="216"/>
      <c r="I86" s="216"/>
      <c r="J86" s="216"/>
      <c r="K86" s="216"/>
      <c r="L86" s="217"/>
    </row>
    <row r="87" spans="2:12" ht="21" customHeight="1">
      <c r="B87" s="218"/>
      <c r="C87" s="219"/>
      <c r="D87" s="219"/>
      <c r="E87" s="219"/>
      <c r="F87" s="219"/>
      <c r="G87" s="219"/>
      <c r="H87" s="219"/>
      <c r="I87" s="219"/>
      <c r="J87" s="219"/>
      <c r="K87" s="219"/>
      <c r="L87" s="220"/>
    </row>
    <row r="88" spans="2:12" ht="21" customHeight="1">
      <c r="B88" s="218"/>
      <c r="C88" s="219"/>
      <c r="D88" s="219"/>
      <c r="E88" s="219"/>
      <c r="F88" s="219"/>
      <c r="G88" s="219"/>
      <c r="H88" s="219"/>
      <c r="I88" s="219"/>
      <c r="J88" s="219"/>
      <c r="K88" s="219"/>
      <c r="L88" s="220"/>
    </row>
    <row r="89" spans="2:12" ht="21" customHeight="1">
      <c r="B89" s="218"/>
      <c r="C89" s="219"/>
      <c r="D89" s="219"/>
      <c r="E89" s="219"/>
      <c r="F89" s="219"/>
      <c r="G89" s="219"/>
      <c r="H89" s="219"/>
      <c r="I89" s="219"/>
      <c r="J89" s="219"/>
      <c r="K89" s="219"/>
      <c r="L89" s="220"/>
    </row>
    <row r="90" spans="2:12">
      <c r="B90" s="218"/>
      <c r="C90" s="219"/>
      <c r="D90" s="219"/>
      <c r="E90" s="219"/>
      <c r="F90" s="219"/>
      <c r="G90" s="219"/>
      <c r="H90" s="219"/>
      <c r="I90" s="219"/>
      <c r="J90" s="219"/>
      <c r="K90" s="219"/>
      <c r="L90" s="220"/>
    </row>
    <row r="91" spans="2:12" ht="21" customHeight="1">
      <c r="B91" s="218"/>
      <c r="C91" s="219"/>
      <c r="D91" s="219"/>
      <c r="E91" s="219"/>
      <c r="F91" s="219"/>
      <c r="G91" s="219"/>
      <c r="H91" s="219"/>
      <c r="I91" s="219"/>
      <c r="J91" s="219"/>
      <c r="K91" s="219"/>
      <c r="L91" s="220"/>
    </row>
    <row r="92" spans="2:12" ht="15.75" customHeight="1">
      <c r="B92" s="221"/>
      <c r="C92" s="222"/>
      <c r="D92" s="222"/>
      <c r="E92" s="222"/>
      <c r="F92" s="222"/>
      <c r="G92" s="222"/>
      <c r="H92" s="222"/>
      <c r="I92" s="222"/>
      <c r="J92" s="222"/>
      <c r="K92" s="222"/>
      <c r="L92" s="223"/>
    </row>
    <row r="96" spans="2:12" ht="31.5" customHeight="1">
      <c r="B96" s="211" t="s">
        <v>31</v>
      </c>
      <c r="C96" s="211"/>
      <c r="D96" s="126"/>
      <c r="E96" s="126"/>
    </row>
    <row r="97" spans="2:15" ht="27.75" customHeight="1">
      <c r="B97" s="118" t="s">
        <v>0</v>
      </c>
      <c r="C97" s="207" t="s">
        <v>32</v>
      </c>
      <c r="D97" s="208"/>
      <c r="E97" s="208"/>
      <c r="F97" s="208"/>
      <c r="G97" s="208"/>
      <c r="H97" s="208"/>
      <c r="I97" s="208"/>
      <c r="J97" s="208"/>
      <c r="K97" s="209"/>
      <c r="L97" s="210" t="s">
        <v>33</v>
      </c>
      <c r="M97" s="210"/>
      <c r="N97" s="210"/>
      <c r="O97" s="210"/>
    </row>
    <row r="98" spans="2:15" ht="220.5" customHeight="1">
      <c r="B98" s="153" t="s">
        <v>155</v>
      </c>
      <c r="C98" s="202" t="s">
        <v>226</v>
      </c>
      <c r="D98" s="203"/>
      <c r="E98" s="203"/>
      <c r="F98" s="203"/>
      <c r="G98" s="203"/>
      <c r="H98" s="203"/>
      <c r="I98" s="203"/>
      <c r="J98" s="203"/>
      <c r="K98" s="204"/>
      <c r="L98" s="205" t="s">
        <v>209</v>
      </c>
      <c r="M98" s="206"/>
      <c r="N98" s="206"/>
      <c r="O98" s="206"/>
    </row>
    <row r="99" spans="2:15" ht="63" customHeight="1">
      <c r="B99" s="153" t="s">
        <v>193</v>
      </c>
      <c r="C99" s="202" t="s">
        <v>195</v>
      </c>
      <c r="D99" s="203"/>
      <c r="E99" s="203"/>
      <c r="F99" s="203"/>
      <c r="G99" s="203"/>
      <c r="H99" s="203"/>
      <c r="I99" s="203"/>
      <c r="J99" s="203"/>
      <c r="K99" s="204"/>
      <c r="L99" s="205" t="s">
        <v>194</v>
      </c>
      <c r="M99" s="206"/>
      <c r="N99" s="206"/>
      <c r="O99" s="206"/>
    </row>
    <row r="100" spans="2:15" ht="16.5">
      <c r="B100" s="153"/>
      <c r="C100" s="202"/>
      <c r="D100" s="203"/>
      <c r="E100" s="203"/>
      <c r="F100" s="203"/>
      <c r="G100" s="203"/>
      <c r="H100" s="203"/>
      <c r="I100" s="203"/>
      <c r="J100" s="203"/>
      <c r="K100" s="204"/>
      <c r="L100" s="205"/>
      <c r="M100" s="206"/>
      <c r="N100" s="206"/>
      <c r="O100" s="206"/>
    </row>
  </sheetData>
  <sortState ref="B23:F26">
    <sortCondition descending="1" ref="B1"/>
  </sortState>
  <mergeCells count="14">
    <mergeCell ref="B40:C40"/>
    <mergeCell ref="C48:M48"/>
    <mergeCell ref="B65:C65"/>
    <mergeCell ref="C66:G66"/>
    <mergeCell ref="B96:C96"/>
    <mergeCell ref="B86:L92"/>
    <mergeCell ref="C100:K100"/>
    <mergeCell ref="L100:O100"/>
    <mergeCell ref="C99:K99"/>
    <mergeCell ref="L99:O99"/>
    <mergeCell ref="C97:K97"/>
    <mergeCell ref="L97:O97"/>
    <mergeCell ref="C98:K98"/>
    <mergeCell ref="L98:O98"/>
  </mergeCells>
  <phoneticPr fontId="47" type="noConversion"/>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outlinePr summaryBelow="0"/>
  </sheetPr>
  <dimension ref="A1:AM7"/>
  <sheetViews>
    <sheetView showGridLines="0" workbookViewId="0">
      <pane ySplit="3" topLeftCell="A4" activePane="bottomLeft" state="frozen"/>
      <selection pane="bottomLeft" activeCell="E7" sqref="E7"/>
    </sheetView>
  </sheetViews>
  <sheetFormatPr defaultColWidth="9" defaultRowHeight="13.5"/>
  <cols>
    <col min="1" max="1" width="4.375" customWidth="1"/>
    <col min="2" max="2" width="17.625" style="32" customWidth="1"/>
    <col min="3" max="3" width="13.375" style="32" customWidth="1"/>
    <col min="4" max="4" width="16.875" style="32" customWidth="1"/>
    <col min="5" max="5" width="8.75" style="62" customWidth="1"/>
    <col min="6" max="6" width="9" style="16" customWidth="1"/>
    <col min="7" max="7" width="9" customWidth="1"/>
    <col min="8" max="8" width="7.625" style="16" customWidth="1"/>
    <col min="9" max="9" width="11.5" customWidth="1"/>
    <col min="10" max="10" width="11.125" customWidth="1"/>
    <col min="11" max="11" width="9" customWidth="1"/>
    <col min="12" max="12" width="9" style="16" customWidth="1"/>
    <col min="13" max="13" width="6.875" style="63" customWidth="1"/>
    <col min="14" max="15" width="8.875" customWidth="1"/>
    <col min="16" max="16" width="9" customWidth="1"/>
    <col min="18" max="18" width="9" style="64" customWidth="1"/>
    <col min="19" max="20" width="9" customWidth="1"/>
    <col min="24" max="24" width="9" style="65"/>
    <col min="26" max="26" width="13.375" customWidth="1"/>
    <col min="27" max="27" width="9" customWidth="1"/>
    <col min="28" max="28" width="8" customWidth="1"/>
    <col min="29" max="29" width="9" style="64" customWidth="1"/>
    <col min="30" max="30" width="11.25" customWidth="1"/>
    <col min="31" max="31" width="9" style="16" customWidth="1"/>
    <col min="32" max="32" width="9.125" style="65" customWidth="1"/>
    <col min="33" max="33" width="9.125" customWidth="1"/>
    <col min="34" max="34" width="8" style="16" customWidth="1"/>
    <col min="35" max="35" width="9" customWidth="1"/>
    <col min="36" max="36" width="11.875" customWidth="1"/>
    <col min="37" max="38" width="9" hidden="1" customWidth="1"/>
    <col min="39" max="39" width="41.875" customWidth="1"/>
  </cols>
  <sheetData>
    <row r="1" spans="1:39" s="59" customFormat="1" ht="19.5" customHeight="1">
      <c r="A1" s="224"/>
      <c r="B1" s="66" t="s">
        <v>34</v>
      </c>
      <c r="C1" s="66"/>
      <c r="D1" s="66"/>
      <c r="E1" s="67"/>
      <c r="F1" s="67"/>
      <c r="G1" s="66"/>
      <c r="H1" s="67"/>
      <c r="I1" s="66"/>
      <c r="J1" s="66"/>
      <c r="K1" s="66"/>
      <c r="L1" s="66"/>
      <c r="M1" s="66"/>
      <c r="N1" s="66"/>
      <c r="O1" s="66"/>
      <c r="P1" s="66"/>
      <c r="Q1" s="66"/>
      <c r="R1" s="80"/>
      <c r="S1" s="66"/>
      <c r="T1" s="66"/>
      <c r="U1" s="66"/>
      <c r="V1" s="66"/>
      <c r="W1" s="66"/>
      <c r="X1" s="81"/>
      <c r="Y1" s="66"/>
      <c r="Z1" s="66"/>
      <c r="AA1" s="66"/>
      <c r="AB1" s="66"/>
      <c r="AC1" s="80"/>
      <c r="AD1" s="66"/>
      <c r="AE1" s="67"/>
      <c r="AF1" s="81"/>
      <c r="AG1" s="66"/>
      <c r="AH1" s="67"/>
      <c r="AI1" s="100"/>
      <c r="AJ1" s="230" t="s">
        <v>35</v>
      </c>
      <c r="AK1" s="101"/>
      <c r="AL1" s="101"/>
      <c r="AM1" s="224" t="s">
        <v>36</v>
      </c>
    </row>
    <row r="2" spans="1:39" s="59" customFormat="1" ht="23.25" customHeight="1">
      <c r="A2" s="224"/>
      <c r="B2" s="231"/>
      <c r="C2" s="231"/>
      <c r="D2" s="231"/>
      <c r="E2" s="231"/>
      <c r="F2" s="231"/>
      <c r="G2" s="231"/>
      <c r="H2" s="231"/>
      <c r="I2" s="231"/>
      <c r="J2" s="231"/>
      <c r="K2" s="229"/>
      <c r="L2" s="232" t="s">
        <v>37</v>
      </c>
      <c r="M2" s="233"/>
      <c r="N2" s="228" t="s">
        <v>38</v>
      </c>
      <c r="O2" s="231"/>
      <c r="P2" s="231"/>
      <c r="Q2" s="231"/>
      <c r="R2" s="234"/>
      <c r="S2" s="231"/>
      <c r="T2" s="229"/>
      <c r="U2" s="228" t="s">
        <v>39</v>
      </c>
      <c r="V2" s="231"/>
      <c r="W2" s="231"/>
      <c r="X2" s="231"/>
      <c r="Y2" s="231"/>
      <c r="Z2" s="231"/>
      <c r="AA2" s="229"/>
      <c r="AB2" s="228" t="s">
        <v>20</v>
      </c>
      <c r="AC2" s="234"/>
      <c r="AD2" s="229"/>
      <c r="AE2" s="225" t="s">
        <v>40</v>
      </c>
      <c r="AF2" s="226"/>
      <c r="AG2" s="227"/>
      <c r="AH2" s="228" t="s">
        <v>41</v>
      </c>
      <c r="AI2" s="229"/>
      <c r="AJ2" s="230"/>
      <c r="AK2" s="228" t="s">
        <v>42</v>
      </c>
      <c r="AL2" s="229"/>
      <c r="AM2" s="224"/>
    </row>
    <row r="3" spans="1:39" s="60" customFormat="1" ht="72.75" customHeight="1">
      <c r="A3" s="68" t="s">
        <v>43</v>
      </c>
      <c r="B3" s="69" t="s">
        <v>44</v>
      </c>
      <c r="C3" s="70" t="s">
        <v>0</v>
      </c>
      <c r="D3" s="70" t="s">
        <v>3</v>
      </c>
      <c r="E3" s="69" t="s">
        <v>45</v>
      </c>
      <c r="F3" s="70" t="s">
        <v>231</v>
      </c>
      <c r="G3" s="71" t="s">
        <v>235</v>
      </c>
      <c r="H3" s="70" t="s">
        <v>46</v>
      </c>
      <c r="I3" s="74" t="s">
        <v>47</v>
      </c>
      <c r="J3" s="74" t="s">
        <v>48</v>
      </c>
      <c r="K3" s="74" t="s">
        <v>49</v>
      </c>
      <c r="L3" s="75" t="s">
        <v>50</v>
      </c>
      <c r="M3" s="75" t="s">
        <v>51</v>
      </c>
      <c r="N3" s="74" t="s">
        <v>52</v>
      </c>
      <c r="O3" s="71" t="s">
        <v>53</v>
      </c>
      <c r="P3" s="74" t="s">
        <v>54</v>
      </c>
      <c r="Q3" s="74" t="s">
        <v>55</v>
      </c>
      <c r="R3" s="82" t="s">
        <v>56</v>
      </c>
      <c r="S3" s="71" t="s">
        <v>57</v>
      </c>
      <c r="T3" s="83" t="s">
        <v>58</v>
      </c>
      <c r="U3" s="70" t="s">
        <v>59</v>
      </c>
      <c r="V3" s="69" t="s">
        <v>60</v>
      </c>
      <c r="W3" s="69" t="s">
        <v>16</v>
      </c>
      <c r="X3" s="84" t="s">
        <v>61</v>
      </c>
      <c r="Y3" s="74" t="s">
        <v>62</v>
      </c>
      <c r="Z3" s="70" t="s">
        <v>63</v>
      </c>
      <c r="AA3" s="91" t="s">
        <v>64</v>
      </c>
      <c r="AB3" s="92" t="s">
        <v>14</v>
      </c>
      <c r="AC3" s="93" t="s">
        <v>65</v>
      </c>
      <c r="AD3" s="94" t="s">
        <v>66</v>
      </c>
      <c r="AE3" s="95" t="s">
        <v>12</v>
      </c>
      <c r="AF3" s="96" t="s">
        <v>67</v>
      </c>
      <c r="AG3" s="94" t="s">
        <v>68</v>
      </c>
      <c r="AH3" s="95" t="s">
        <v>69</v>
      </c>
      <c r="AI3" s="94" t="s">
        <v>70</v>
      </c>
      <c r="AJ3" s="230"/>
      <c r="AK3" s="102" t="s">
        <v>71</v>
      </c>
      <c r="AL3" s="102" t="s">
        <v>72</v>
      </c>
      <c r="AM3" s="224"/>
    </row>
    <row r="4" spans="1:39" s="61" customFormat="1" ht="68.25" customHeight="1">
      <c r="A4" s="54">
        <v>1</v>
      </c>
      <c r="B4" s="31" t="s">
        <v>166</v>
      </c>
      <c r="C4" s="72" t="str">
        <f>VLOOKUP(研发中心当月结项项目质量评定明细表!B4,结项项目测试质量及效率!$C$3:$AB$10,2,FALSE)</f>
        <v>智慧教学事业部（VR）</v>
      </c>
      <c r="D4" s="72" t="str">
        <f>VLOOKUP(研发中心当月结项项目质量评定明细表!B4,结项项目测试质量及效率!$C$3:$AB$10,3,FALSE)</f>
        <v>理工医疗开发部</v>
      </c>
      <c r="E4" s="73" t="s">
        <v>173</v>
      </c>
      <c r="F4" s="35" t="str">
        <f>VLOOKUP(研发中心当月结项项目质量评定明细表!B4,结项项目测试质量及效率!$C$3:$AB$10,4,FALSE)</f>
        <v>普通</v>
      </c>
      <c r="G4" s="35" t="str">
        <f>VLOOKUP(研发中心当月结项项目质量评定明细表!B4,结项项目测试质量及效率!$C$3:$AB$10,5,FALSE)</f>
        <v>全新项目</v>
      </c>
      <c r="H4" s="35">
        <f>VLOOKUP(研发中心当月结项项目质量评定明细表!B4,结项项目测试质量及效率!$C$3:$AB$10,8,FALSE)</f>
        <v>178.4</v>
      </c>
      <c r="I4" s="23">
        <v>43536</v>
      </c>
      <c r="J4" s="23">
        <v>43585</v>
      </c>
      <c r="K4" s="76">
        <v>1</v>
      </c>
      <c r="L4" s="77">
        <v>4</v>
      </c>
      <c r="M4" s="77">
        <v>3</v>
      </c>
      <c r="N4" s="77">
        <v>1</v>
      </c>
      <c r="O4" s="78">
        <f t="shared" ref="O4:O6" si="0">CHOOSE(IF(N4=0,1,IF(AND(N4=1),2,IF(AND(N4=2),3,IF(AND(N4=3),4,IF(AND(N4=4),5))))),0,5,10,15,20)</f>
        <v>5</v>
      </c>
      <c r="P4" s="79">
        <v>0</v>
      </c>
      <c r="Q4" s="79">
        <v>64</v>
      </c>
      <c r="R4" s="85">
        <f t="shared" ref="R4:R7" si="1">(Q4-P4)/Q4*100</f>
        <v>100</v>
      </c>
      <c r="S4" s="78">
        <f t="shared" ref="S4:S6" si="2">CHOOSE(IF(R4=100,1,IF(AND(R4&lt;100,R4&gt;=99),2,IF(AND(R4&lt;99,R4&gt;=98),3,IF(AND(R4&lt;98,R4&gt;=97),4,IF(AND(R4&lt;97,R4&gt;=96),5,IF(AND(R4&lt;96,R4&gt;=95),6,IF(AND(R4&lt;95,R4&gt;=94),7,IF(AND(R4&lt;94,R4&gt;=93),8,IF(AND(R4&lt;93,R4&gt;=92),9,IF(AND(R4&lt;92,R4&gt;=91),10,IF(AND(R4&lt;91,R4&gt;=90),11,IF(AND(R4&lt;90,R4&gt;=89),12,IF(AND(R4&lt;89,R4&gt;=88),13,IF(AND(R4&lt;88,R4&gt;=87),14,IF(AND(R4&lt;87,R4&gt;=86),15,IF(AND(R4&lt;86,R4&gt;=85),16,IF(AND(R4&lt;85,R4&gt;=84),17,IF(AND(R4&lt;84,R4&gt;=83),18,IF(AND(R4&lt;83,R4&gt;=82),19,IF(AND(R4&lt;82,R4&gt;=81),20,21)))))))))))))))))))),20,19,18,17,16,15,14,13,12,11,10,9,8,7,6,5,4,3,2,1,0)</f>
        <v>20</v>
      </c>
      <c r="T4" s="86">
        <f t="shared" ref="T4:T6" si="3">IF(S4-O4&gt;0,S4-O4,0)</f>
        <v>15</v>
      </c>
      <c r="U4" s="87">
        <f>VLOOKUP(研发中心当月结项项目质量评定明细表!B4,结项项目测试质量及效率!$C$3:$AC$10,26,FALSE)</f>
        <v>30</v>
      </c>
      <c r="V4" s="88">
        <v>0</v>
      </c>
      <c r="W4" s="89">
        <v>0</v>
      </c>
      <c r="X4" s="90">
        <v>0</v>
      </c>
      <c r="Y4" s="99">
        <v>0</v>
      </c>
      <c r="Z4" s="97">
        <f>X4/AB4*100</f>
        <v>0</v>
      </c>
      <c r="AA4" s="86">
        <f t="shared" ref="AA4:AA6" si="4">CHOOSE(IF(Z4=0,1,IF(AND(Z4&gt;0,Z4&lt;=1),2,IF(AND(Z4&gt;1,Z4&lt;=2),3,IF(AND(Z4&gt;2,Z4&lt;=3),4,IF(AND(Z4&gt;3,Z4&lt;=4),5,IF(AND(Z4&gt;4,Z4&lt;=5),6,IF(AND(Z4&gt;5,Z4&lt;=6),7,IF(AND(Z4&gt;6,Z4&lt;=7),8,IF(AND(Z4&gt;7,Z4&lt;=8),9,IF(AND(Z4&gt;8,Z4&lt;=9),10,IF(AND(Z4&gt;9,Z4&lt;=10),11,IF(AND(Z4&gt;10,Z4&lt;=11),12,IF(AND(Z4&gt;11,Z4&lt;=12),13,IF(AND(Z4&gt;12,Z4&lt;=13),14,IF(AND(Z4&gt;13,Z4&lt;=14),15,IF(AND(Z4&gt;14,Z4&lt;=15),16,IF(AND(Z4&gt;15,Z4&lt;=16),17,IF(AND(Z4&gt;16,Z4&lt;=17),18,IF(AND(Z4&gt;17,Z4&lt;=18),19,IF(AND(Z4&gt;18,Z4&lt;=19),20,21)))))))))))))))))))),20,19,18,17,16,15,14,13,12,11,10,9,8,7,6,5,4,3,2,1,0)</f>
        <v>20</v>
      </c>
      <c r="AB4" s="78">
        <f>VLOOKUP(研发中心当月结项项目质量评定明细表!B4,结项项目测试质量及效率!$C$3:$AC$10,27,FALSE)</f>
        <v>23.5</v>
      </c>
      <c r="AC4" s="85">
        <f>AB4/H4</f>
        <v>0.13172645739910313</v>
      </c>
      <c r="AD4" s="86">
        <f t="shared" ref="AD4:AD6" si="5">CHOOSE(IF(AC4&lt;0.4,1,IF(AND(AC4&lt;0.8,AC4&gt;=0.4),2,IF(AND(AC4&lt;1.2,AC4&gt;=0.8),3,IF(AND(AC4&lt;1.6,AC4&gt;=1.2),4,IF(AND(AC4&lt;2,AC4&gt;=1.6),5,IF(AND(AC4&lt;2.2,AC4&gt;=2),6,IF(AND(AC4&lt;2.4,AC4&gt;=2.2),7,IF(AND(AC4&lt;2.6,AC4&gt;=2.4),8,IF(AND(AC4&lt;2.8,AC4&gt;=2.6),9,IF(AND(AC4&lt;3,AC4&gt;=2.8),10,IF(AND(AC4&lt;3.2,AC4&gt;=3),11,IF(AND(AC4&lt;3.4,AC4&gt;=3.2),12,IF(AND(AC4&lt;3.6,AC4&gt;=3.4),13,IF(AND(AC4&lt;3.8,AC4&gt;=3.6),14,IF(AND(AC4&lt;4,AC4&gt;=3.8),15,IF(AND(AC4&lt;4.2,AC4&gt;=4),16,IF(AND(AC4&lt;4.4,AC4&gt;=4.2),17,IF(AND(AC4&lt;4.6,AC4&gt;=4.4),18,IF(AND(AC4&lt;4.8,AC4&gt;=4.6),19,IF(AND(AC4&lt;=5,AC4&gt;=4.8),20,21)))))))))))))))))))),20,19,18,17,16,15,14,13,12,11,10,9,8,7,6,5,4,3,2,1,0)</f>
        <v>20</v>
      </c>
      <c r="AE4" s="163">
        <v>2</v>
      </c>
      <c r="AF4" s="98">
        <f t="shared" ref="AF4:AF6" si="6">AE4/M4</f>
        <v>0.66666666666666663</v>
      </c>
      <c r="AG4" s="86">
        <f t="shared" ref="AG4:AG6" si="7">CHOOSE(IF(AF4=0,1,IF(AND(AF4&lt;0.1,AF4&gt;0),2,IF(AND(AF4&lt;0.2,AF4&gt;=0.1),3,IF(AND(AF4&lt;0.3,AF4&gt;=0.2),4,IF(AND(AF4&lt;0.4,AF4&gt;=0.3),5,IF(AND(AF4&lt;0.5,AF4&gt;=0.4),6,IF(AND(AF4&lt;0.6,AF4&gt;=0.5),7,IF(AND(AF4&lt;0.7,AF4&gt;=0.6),8,IF(AND(AF4&lt;0.8,AF4&gt;=0.7),9,IF(AND(AF4&lt;0.9,AF4&gt;=0.8),10,IF(AND(AF4&lt;1,AF4&gt;=0.9),11,IF(AND(AF4=1),12)))))))))))),20,18,16,14,12,10,10,8,6,4,2,0)</f>
        <v>8</v>
      </c>
      <c r="AH4" s="77">
        <v>0</v>
      </c>
      <c r="AI4" s="86">
        <f t="shared" ref="AI4:AI6" si="8">CHOOSE(IF(AH4=0,1,IF(AH4=1,2,IF(AH4=2,3,IF(AH4=3,4,5)))),20,15,10,5,0)</f>
        <v>20</v>
      </c>
      <c r="AJ4" s="103">
        <f t="shared" ref="AJ4:AJ6" si="9">AG4+AA4+T4+AD4+AI4</f>
        <v>83</v>
      </c>
      <c r="AK4" s="104"/>
      <c r="AL4" s="104"/>
      <c r="AM4" s="55"/>
    </row>
    <row r="5" spans="1:39" ht="24">
      <c r="A5" s="54">
        <v>2</v>
      </c>
      <c r="B5" s="31" t="s">
        <v>189</v>
      </c>
      <c r="C5" s="72" t="str">
        <f>VLOOKUP(研发中心当月结项项目质量评定明细表!B5,结项项目测试质量及效率!$C$3:$AB$10,2,FALSE)</f>
        <v>智慧校园事业部</v>
      </c>
      <c r="D5" s="72" t="str">
        <f>VLOOKUP(研发中心当月结项项目质量评定明细表!B5,结项项目测试质量及效率!$C$3:$AB$10,3,FALSE)</f>
        <v>应用研发部</v>
      </c>
      <c r="E5" s="73" t="s">
        <v>248</v>
      </c>
      <c r="F5" s="35" t="str">
        <f>VLOOKUP(研发中心当月结项项目质量评定明细表!B5,结项项目测试质量及效率!$C$3:$AB$10,4,FALSE)</f>
        <v>普通</v>
      </c>
      <c r="G5" s="35" t="str">
        <f>VLOOKUP(研发中心当月结项项目质量评定明细表!B5,结项项目测试质量及效率!$C$3:$AB$10,5,FALSE)</f>
        <v>全新项目</v>
      </c>
      <c r="H5" s="35">
        <f>VLOOKUP(研发中心当月结项项目质量评定明细表!B5,结项项目测试质量及效率!$C$3:$AB$10,8,FALSE)</f>
        <v>219.5</v>
      </c>
      <c r="I5" s="23">
        <v>43507</v>
      </c>
      <c r="J5" s="23">
        <v>43584</v>
      </c>
      <c r="K5" s="76">
        <v>1</v>
      </c>
      <c r="L5" s="77">
        <v>6</v>
      </c>
      <c r="M5" s="77">
        <v>6</v>
      </c>
      <c r="N5" s="77">
        <v>0</v>
      </c>
      <c r="O5" s="181">
        <f t="shared" si="0"/>
        <v>0</v>
      </c>
      <c r="P5" s="79">
        <v>6</v>
      </c>
      <c r="Q5" s="79">
        <v>1968</v>
      </c>
      <c r="R5" s="85">
        <f t="shared" si="1"/>
        <v>99.695121951219505</v>
      </c>
      <c r="S5" s="181">
        <f t="shared" si="2"/>
        <v>19</v>
      </c>
      <c r="T5" s="182">
        <f t="shared" si="3"/>
        <v>19</v>
      </c>
      <c r="U5" s="87">
        <f>VLOOKUP(研发中心当月结项项目质量评定明细表!B5,结项项目测试质量及效率!$C$3:$AC$10,26,FALSE)</f>
        <v>241</v>
      </c>
      <c r="V5" s="88">
        <v>0</v>
      </c>
      <c r="W5" s="89">
        <v>0</v>
      </c>
      <c r="X5" s="90">
        <v>32.700000000000003</v>
      </c>
      <c r="Y5" s="99">
        <v>18</v>
      </c>
      <c r="Z5" s="97">
        <f t="shared" ref="Z5:Z7" si="10">X5/AB5*100</f>
        <v>16.734902763561927</v>
      </c>
      <c r="AA5" s="182">
        <f t="shared" si="4"/>
        <v>3</v>
      </c>
      <c r="AB5" s="78">
        <f>VLOOKUP(研发中心当月结项项目质量评定明细表!B5,结项项目测试质量及效率!$C$3:$AC$10,27,FALSE)</f>
        <v>195.4</v>
      </c>
      <c r="AC5" s="85">
        <f t="shared" ref="AC5:AC7" si="11">AB5/H5</f>
        <v>0.89020501138952168</v>
      </c>
      <c r="AD5" s="182">
        <f t="shared" si="5"/>
        <v>18</v>
      </c>
      <c r="AE5" s="179">
        <v>2</v>
      </c>
      <c r="AF5" s="183">
        <f t="shared" si="6"/>
        <v>0.33333333333333331</v>
      </c>
      <c r="AG5" s="182">
        <f t="shared" si="7"/>
        <v>12</v>
      </c>
      <c r="AH5" s="77">
        <v>0</v>
      </c>
      <c r="AI5" s="182">
        <f t="shared" si="8"/>
        <v>20</v>
      </c>
      <c r="AJ5" s="184">
        <f t="shared" si="9"/>
        <v>72</v>
      </c>
      <c r="AK5" s="165"/>
      <c r="AL5" s="165"/>
      <c r="AM5" s="165"/>
    </row>
    <row r="6" spans="1:39" ht="24">
      <c r="A6" s="54">
        <v>3</v>
      </c>
      <c r="B6" s="31" t="s">
        <v>220</v>
      </c>
      <c r="C6" s="72" t="str">
        <f>VLOOKUP(研发中心当月结项项目质量评定明细表!B6,结项项目测试质量及效率!$C$3:$AB$10,2,FALSE)</f>
        <v>智慧校园事业部</v>
      </c>
      <c r="D6" s="72" t="str">
        <f>VLOOKUP(研发中心当月结项项目质量评定明细表!B6,结项项目测试质量及效率!$C$3:$AB$10,3,FALSE)</f>
        <v>平台研发部</v>
      </c>
      <c r="E6" s="73" t="s">
        <v>249</v>
      </c>
      <c r="F6" s="35" t="str">
        <f>VLOOKUP(研发中心当月结项项目质量评定明细表!B6,结项项目测试质量及效率!$C$3:$AB$10,4,FALSE)</f>
        <v>普通</v>
      </c>
      <c r="G6" s="35" t="str">
        <f>VLOOKUP(研发中心当月结项项目质量评定明细表!B6,结项项目测试质量及效率!$C$3:$AB$10,5,FALSE)</f>
        <v>全新项目</v>
      </c>
      <c r="H6" s="35">
        <f>VLOOKUP(研发中心当月结项项目质量评定明细表!B6,结项项目测试质量及效率!$C$3:$AB$10,8,FALSE)</f>
        <v>63.5</v>
      </c>
      <c r="I6" s="23">
        <v>43514</v>
      </c>
      <c r="J6" s="23">
        <v>43581</v>
      </c>
      <c r="K6" s="76">
        <v>1</v>
      </c>
      <c r="L6" s="77">
        <v>3</v>
      </c>
      <c r="M6" s="77">
        <v>4</v>
      </c>
      <c r="N6" s="77">
        <v>0</v>
      </c>
      <c r="O6" s="181">
        <f t="shared" si="0"/>
        <v>0</v>
      </c>
      <c r="P6" s="79">
        <v>2</v>
      </c>
      <c r="Q6" s="79">
        <v>220</v>
      </c>
      <c r="R6" s="85">
        <f t="shared" si="1"/>
        <v>99.090909090909093</v>
      </c>
      <c r="S6" s="181">
        <f t="shared" si="2"/>
        <v>19</v>
      </c>
      <c r="T6" s="182">
        <f t="shared" si="3"/>
        <v>19</v>
      </c>
      <c r="U6" s="87">
        <f>VLOOKUP(研发中心当月结项项目质量评定明细表!B6,结项项目测试质量及效率!$C$3:$AC$10,26,FALSE)</f>
        <v>40</v>
      </c>
      <c r="V6" s="88">
        <v>0</v>
      </c>
      <c r="W6" s="89">
        <v>0</v>
      </c>
      <c r="X6" s="90">
        <v>0.4</v>
      </c>
      <c r="Y6" s="99">
        <v>2</v>
      </c>
      <c r="Z6" s="97">
        <f t="shared" si="10"/>
        <v>2</v>
      </c>
      <c r="AA6" s="182">
        <f t="shared" si="4"/>
        <v>18</v>
      </c>
      <c r="AB6" s="78">
        <f>VLOOKUP(研发中心当月结项项目质量评定明细表!B6,结项项目测试质量及效率!$C$3:$AC$10,27,FALSE)</f>
        <v>20</v>
      </c>
      <c r="AC6" s="85">
        <f t="shared" si="11"/>
        <v>0.31496062992125984</v>
      </c>
      <c r="AD6" s="182">
        <f t="shared" si="5"/>
        <v>20</v>
      </c>
      <c r="AE6" s="179">
        <v>0</v>
      </c>
      <c r="AF6" s="183">
        <f t="shared" si="6"/>
        <v>0</v>
      </c>
      <c r="AG6" s="182">
        <f t="shared" si="7"/>
        <v>20</v>
      </c>
      <c r="AH6" s="77">
        <v>0</v>
      </c>
      <c r="AI6" s="182">
        <f t="shared" si="8"/>
        <v>20</v>
      </c>
      <c r="AJ6" s="184">
        <f t="shared" si="9"/>
        <v>97</v>
      </c>
      <c r="AK6" s="165"/>
      <c r="AL6" s="165"/>
      <c r="AM6" s="165"/>
    </row>
    <row r="7" spans="1:39" ht="24">
      <c r="A7" s="54">
        <v>4</v>
      </c>
      <c r="B7" s="31" t="s">
        <v>221</v>
      </c>
      <c r="C7" s="72" t="str">
        <f>VLOOKUP(研发中心当月结项项目质量评定明细表!B7,结项项目测试质量及效率!$C$3:$AB$10,2,FALSE)</f>
        <v>实训软件开发中心</v>
      </c>
      <c r="D7" s="72" t="str">
        <f>VLOOKUP(研发中心当月结项项目质量评定明细表!B7,结项项目测试质量及效率!$C$3:$AB$10,3,FALSE)</f>
        <v>银行开发部</v>
      </c>
      <c r="E7" s="73" t="s">
        <v>250</v>
      </c>
      <c r="F7" s="35" t="str">
        <f>VLOOKUP(研发中心当月结项项目质量评定明细表!B7,结项项目测试质量及效率!$C$3:$AB$10,4,FALSE)</f>
        <v>普通</v>
      </c>
      <c r="G7" s="35" t="str">
        <f>VLOOKUP(研发中心当月结项项目质量评定明细表!B7,结项项目测试质量及效率!$C$3:$AB$10,5,FALSE)</f>
        <v>升级项目</v>
      </c>
      <c r="H7" s="35">
        <f>VLOOKUP(研发中心当月结项项目质量评定明细表!B7,结项项目测试质量及效率!$C$3:$AB$10,8,FALSE)</f>
        <v>143</v>
      </c>
      <c r="I7" s="23">
        <v>43389</v>
      </c>
      <c r="J7" s="23">
        <v>43564</v>
      </c>
      <c r="K7" s="76">
        <v>1</v>
      </c>
      <c r="L7" s="77">
        <v>4</v>
      </c>
      <c r="M7" s="77">
        <v>4</v>
      </c>
      <c r="N7" s="77">
        <v>0</v>
      </c>
      <c r="O7" s="181">
        <f t="shared" ref="O7" si="12">CHOOSE(IF(N7=0,1,IF(AND(N7=1),2,IF(AND(N7=2),3,IF(AND(N7=3),4,IF(AND(N7=4),5))))),0,5,10,15,20)</f>
        <v>0</v>
      </c>
      <c r="P7" s="160">
        <v>11</v>
      </c>
      <c r="Q7" s="160">
        <v>616</v>
      </c>
      <c r="R7" s="85">
        <f t="shared" si="1"/>
        <v>98.214285714285708</v>
      </c>
      <c r="S7" s="181">
        <f t="shared" ref="S7" si="13">CHOOSE(IF(R7=100,1,IF(AND(R7&lt;100,R7&gt;=99),2,IF(AND(R7&lt;99,R7&gt;=98),3,IF(AND(R7&lt;98,R7&gt;=97),4,IF(AND(R7&lt;97,R7&gt;=96),5,IF(AND(R7&lt;96,R7&gt;=95),6,IF(AND(R7&lt;95,R7&gt;=94),7,IF(AND(R7&lt;94,R7&gt;=93),8,IF(AND(R7&lt;93,R7&gt;=92),9,IF(AND(R7&lt;92,R7&gt;=91),10,IF(AND(R7&lt;91,R7&gt;=90),11,IF(AND(R7&lt;90,R7&gt;=89),12,IF(AND(R7&lt;89,R7&gt;=88),13,IF(AND(R7&lt;88,R7&gt;=87),14,IF(AND(R7&lt;87,R7&gt;=86),15,IF(AND(R7&lt;86,R7&gt;=85),16,IF(AND(R7&lt;85,R7&gt;=84),17,IF(AND(R7&lt;84,R7&gt;=83),18,IF(AND(R7&lt;83,R7&gt;=82),19,IF(AND(R7&lt;82,R7&gt;=81),20,21)))))))))))))))))))),20,19,18,17,16,15,14,13,12,11,10,9,8,7,6,5,4,3,2,1,0)</f>
        <v>18</v>
      </c>
      <c r="T7" s="182">
        <f t="shared" ref="T7" si="14">IF(S7-O7&gt;0,S7-O7,0)</f>
        <v>18</v>
      </c>
      <c r="U7" s="87">
        <f>VLOOKUP(研发中心当月结项项目质量评定明细表!B7,结项项目测试质量及效率!$C$3:$AC$10,26,FALSE)</f>
        <v>222</v>
      </c>
      <c r="V7" s="88">
        <v>5</v>
      </c>
      <c r="W7" s="89">
        <v>1.7</v>
      </c>
      <c r="X7" s="90">
        <v>4.2</v>
      </c>
      <c r="Y7" s="99">
        <v>5</v>
      </c>
      <c r="Z7" s="97">
        <f t="shared" si="10"/>
        <v>3.804347826086957</v>
      </c>
      <c r="AA7" s="182">
        <f t="shared" ref="AA7" si="15">CHOOSE(IF(Z7=0,1,IF(AND(Z7&gt;0,Z7&lt;=1),2,IF(AND(Z7&gt;1,Z7&lt;=2),3,IF(AND(Z7&gt;2,Z7&lt;=3),4,IF(AND(Z7&gt;3,Z7&lt;=4),5,IF(AND(Z7&gt;4,Z7&lt;=5),6,IF(AND(Z7&gt;5,Z7&lt;=6),7,IF(AND(Z7&gt;6,Z7&lt;=7),8,IF(AND(Z7&gt;7,Z7&lt;=8),9,IF(AND(Z7&gt;8,Z7&lt;=9),10,IF(AND(Z7&gt;9,Z7&lt;=10),11,IF(AND(Z7&gt;10,Z7&lt;=11),12,IF(AND(Z7&gt;11,Z7&lt;=12),13,IF(AND(Z7&gt;12,Z7&lt;=13),14,IF(AND(Z7&gt;13,Z7&lt;=14),15,IF(AND(Z7&gt;14,Z7&lt;=15),16,IF(AND(Z7&gt;15,Z7&lt;=16),17,IF(AND(Z7&gt;16,Z7&lt;=17),18,IF(AND(Z7&gt;17,Z7&lt;=18),19,IF(AND(Z7&gt;18,Z7&lt;=19),20,21)))))))))))))))))))),20,19,18,17,16,15,14,13,12,11,10,9,8,7,6,5,4,3,2,1,0)</f>
        <v>16</v>
      </c>
      <c r="AB7" s="78">
        <f>VLOOKUP(研发中心当月结项项目质量评定明细表!B7,结项项目测试质量及效率!$C$3:$AC$10,27,FALSE)</f>
        <v>110.39999999999999</v>
      </c>
      <c r="AC7" s="85">
        <f t="shared" si="11"/>
        <v>0.77202797202797202</v>
      </c>
      <c r="AD7" s="182">
        <f t="shared" ref="AD7" si="16">CHOOSE(IF(AC7&lt;0.4,1,IF(AND(AC7&lt;0.8,AC7&gt;=0.4),2,IF(AND(AC7&lt;1.2,AC7&gt;=0.8),3,IF(AND(AC7&lt;1.6,AC7&gt;=1.2),4,IF(AND(AC7&lt;2,AC7&gt;=1.6),5,IF(AND(AC7&lt;2.2,AC7&gt;=2),6,IF(AND(AC7&lt;2.4,AC7&gt;=2.2),7,IF(AND(AC7&lt;2.6,AC7&gt;=2.4),8,IF(AND(AC7&lt;2.8,AC7&gt;=2.6),9,IF(AND(AC7&lt;3,AC7&gt;=2.8),10,IF(AND(AC7&lt;3.2,AC7&gt;=3),11,IF(AND(AC7&lt;3.4,AC7&gt;=3.2),12,IF(AND(AC7&lt;3.6,AC7&gt;=3.4),13,IF(AND(AC7&lt;3.8,AC7&gt;=3.6),14,IF(AND(AC7&lt;4,AC7&gt;=3.8),15,IF(AND(AC7&lt;4.2,AC7&gt;=4),16,IF(AND(AC7&lt;4.4,AC7&gt;=4.2),17,IF(AND(AC7&lt;4.6,AC7&gt;=4.4),18,IF(AND(AC7&lt;4.8,AC7&gt;=4.6),19,IF(AND(AC7&lt;=5,AC7&gt;=4.8),20,21)))))))))))))))))))),20,19,18,17,16,15,14,13,12,11,10,9,8,7,6,5,4,3,2,1,0)</f>
        <v>19</v>
      </c>
      <c r="AE7" s="185">
        <v>4</v>
      </c>
      <c r="AF7" s="183">
        <f t="shared" ref="AF7" si="17">AE7/M7</f>
        <v>1</v>
      </c>
      <c r="AG7" s="182">
        <f t="shared" ref="AG7" si="18">CHOOSE(IF(AF7=0,1,IF(AND(AF7&lt;0.1,AF7&gt;0),2,IF(AND(AF7&lt;0.2,AF7&gt;=0.1),3,IF(AND(AF7&lt;0.3,AF7&gt;=0.2),4,IF(AND(AF7&lt;0.4,AF7&gt;=0.3),5,IF(AND(AF7&lt;0.5,AF7&gt;=0.4),6,IF(AND(AF7&lt;0.6,AF7&gt;=0.5),7,IF(AND(AF7&lt;0.7,AF7&gt;=0.6),8,IF(AND(AF7&lt;0.8,AF7&gt;=0.7),9,IF(AND(AF7&lt;0.9,AF7&gt;=0.8),10,IF(AND(AF7&lt;1,AF7&gt;=0.9),11,IF(AND(AF7=1),12)))))))))))),20,18,16,14,12,10,10,8,6,4,2,0)</f>
        <v>0</v>
      </c>
      <c r="AH7" s="77">
        <v>2</v>
      </c>
      <c r="AI7" s="182">
        <v>20</v>
      </c>
      <c r="AJ7" s="184">
        <f t="shared" ref="AJ7" si="19">AG7+AA7+T7+AD7+AI7</f>
        <v>73</v>
      </c>
      <c r="AK7" s="165"/>
      <c r="AL7" s="165"/>
      <c r="AM7" s="165"/>
    </row>
  </sheetData>
  <mergeCells count="11">
    <mergeCell ref="AM1:AM3"/>
    <mergeCell ref="AE2:AG2"/>
    <mergeCell ref="AH2:AI2"/>
    <mergeCell ref="AK2:AL2"/>
    <mergeCell ref="A1:A2"/>
    <mergeCell ref="AJ1:AJ3"/>
    <mergeCell ref="B2:K2"/>
    <mergeCell ref="L2:M2"/>
    <mergeCell ref="N2:T2"/>
    <mergeCell ref="U2:AA2"/>
    <mergeCell ref="AB2:AD2"/>
  </mergeCells>
  <phoneticPr fontId="47"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15"/>
  <sheetViews>
    <sheetView workbookViewId="0">
      <selection activeCell="G18" sqref="G18"/>
    </sheetView>
  </sheetViews>
  <sheetFormatPr defaultColWidth="9" defaultRowHeight="13.5"/>
  <cols>
    <col min="2" max="2" width="7.5" customWidth="1"/>
    <col min="3" max="3" width="28.625" customWidth="1"/>
    <col min="4" max="4" width="14.625" customWidth="1"/>
    <col min="5" max="5" width="12.75" customWidth="1"/>
    <col min="6" max="6" width="8.125" customWidth="1"/>
    <col min="7" max="8" width="8.25" customWidth="1"/>
    <col min="9" max="9" width="11" customWidth="1"/>
    <col min="10" max="10" width="10.625" customWidth="1"/>
    <col min="11" max="11" width="10.875" customWidth="1"/>
    <col min="12" max="12" width="10.375" customWidth="1"/>
    <col min="13" max="13" width="13.625" style="46" customWidth="1"/>
    <col min="16" max="16" width="47.375" customWidth="1"/>
  </cols>
  <sheetData>
    <row r="1" spans="1:16" ht="13.5" customHeight="1">
      <c r="A1" s="235"/>
      <c r="B1" s="47"/>
      <c r="C1" s="48" t="s">
        <v>34</v>
      </c>
      <c r="D1" s="48"/>
      <c r="E1" s="48"/>
      <c r="F1" s="49"/>
      <c r="G1" s="49"/>
      <c r="H1" s="48"/>
      <c r="I1" s="49"/>
      <c r="J1" s="49"/>
      <c r="K1" s="48"/>
      <c r="L1" s="48"/>
      <c r="M1" s="56"/>
      <c r="N1" s="57"/>
      <c r="O1" s="57"/>
    </row>
    <row r="2" spans="1:16" ht="13.5" customHeight="1">
      <c r="A2" s="235"/>
      <c r="B2" s="47"/>
      <c r="C2" s="50"/>
      <c r="D2" s="50"/>
      <c r="E2" s="50"/>
      <c r="F2" s="51"/>
      <c r="G2" s="51"/>
      <c r="H2" s="50"/>
      <c r="I2" s="51"/>
      <c r="J2" s="51"/>
      <c r="K2" s="50"/>
      <c r="L2" s="50"/>
      <c r="M2" s="57"/>
    </row>
    <row r="3" spans="1:16" ht="38.25" customHeight="1">
      <c r="A3" s="235"/>
      <c r="B3" s="52" t="s">
        <v>43</v>
      </c>
      <c r="C3" s="52" t="s">
        <v>44</v>
      </c>
      <c r="D3" s="52" t="s">
        <v>0</v>
      </c>
      <c r="E3" s="52" t="s">
        <v>3</v>
      </c>
      <c r="F3" s="52" t="s">
        <v>45</v>
      </c>
      <c r="G3" s="52" t="s">
        <v>5</v>
      </c>
      <c r="H3" s="53" t="s">
        <v>6</v>
      </c>
      <c r="I3" s="52" t="s">
        <v>73</v>
      </c>
      <c r="J3" s="52" t="s">
        <v>74</v>
      </c>
      <c r="K3" s="53" t="s">
        <v>47</v>
      </c>
      <c r="L3" s="53" t="s">
        <v>48</v>
      </c>
      <c r="M3" s="58" t="s">
        <v>75</v>
      </c>
    </row>
    <row r="4" spans="1:16" ht="59.25" customHeight="1">
      <c r="A4" s="235"/>
      <c r="B4" s="173">
        <v>1</v>
      </c>
      <c r="C4" s="158"/>
      <c r="D4" s="171"/>
      <c r="E4" s="55"/>
      <c r="F4" s="172"/>
      <c r="G4" s="171"/>
      <c r="H4" s="171"/>
      <c r="I4" s="174"/>
      <c r="J4" s="174"/>
      <c r="K4" s="174"/>
      <c r="L4" s="174"/>
      <c r="M4" s="175" t="e">
        <f t="shared" ref="M4:M6" si="0">(NETWORKDAYS(K4,L4)-NETWORKDAYS(I4,J4))/NETWORKDAYS(I4,J4)</f>
        <v>#DIV/0!</v>
      </c>
    </row>
    <row r="5" spans="1:16" ht="60" customHeight="1">
      <c r="A5" s="235"/>
      <c r="B5" s="173">
        <v>2</v>
      </c>
      <c r="C5" s="158"/>
      <c r="D5" s="171"/>
      <c r="E5" s="55"/>
      <c r="F5" s="172"/>
      <c r="G5" s="171"/>
      <c r="H5" s="171"/>
      <c r="I5" s="174"/>
      <c r="J5" s="174"/>
      <c r="K5" s="174"/>
      <c r="L5" s="174"/>
      <c r="M5" s="175" t="e">
        <f t="shared" si="0"/>
        <v>#DIV/0!</v>
      </c>
      <c r="P5" t="s">
        <v>76</v>
      </c>
    </row>
    <row r="6" spans="1:16" ht="54.75" customHeight="1">
      <c r="B6" s="173">
        <v>3</v>
      </c>
      <c r="C6" s="158"/>
      <c r="D6" s="171"/>
      <c r="E6" s="55"/>
      <c r="F6" s="172"/>
      <c r="G6" s="171"/>
      <c r="H6" s="171"/>
      <c r="I6" s="174"/>
      <c r="J6" s="174"/>
      <c r="K6" s="174"/>
      <c r="L6" s="174"/>
      <c r="M6" s="175" t="e">
        <f t="shared" si="0"/>
        <v>#DIV/0!</v>
      </c>
    </row>
    <row r="12" spans="1:16">
      <c r="N12" s="57"/>
      <c r="O12" s="57"/>
    </row>
    <row r="15" spans="1:16">
      <c r="K15" s="46"/>
      <c r="M15"/>
    </row>
  </sheetData>
  <mergeCells count="1">
    <mergeCell ref="A1:A5"/>
  </mergeCells>
  <phoneticPr fontId="47" type="noConversion"/>
  <dataValidations count="2">
    <dataValidation type="list" allowBlank="1" showInputMessage="1" showErrorMessage="1" sqref="G4:G6">
      <formula1>"请选择,运维型,任务型,微型,普通型,大型"</formula1>
    </dataValidation>
    <dataValidation type="list" allowBlank="1" showInputMessage="1" showErrorMessage="1" sqref="H4:H6">
      <formula1>"全新项目,升级项目,测试任务,收购修复"</formula1>
    </dataValidation>
  </dataValidations>
  <pageMargins left="0.69930555555555596" right="0.69930555555555596" top="0.75" bottom="0.75" header="0.3" footer="0.3"/>
  <pageSetup paperSize="9" orientation="portrait" horizontalDpi="150" verticalDpi="15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FG6"/>
  <sheetViews>
    <sheetView showGridLines="0" workbookViewId="0">
      <pane ySplit="2" topLeftCell="A3" activePane="bottomLeft" state="frozen"/>
      <selection pane="bottomLeft" activeCell="E8" sqref="E8"/>
    </sheetView>
  </sheetViews>
  <sheetFormatPr defaultColWidth="9" defaultRowHeight="13.5"/>
  <cols>
    <col min="1" max="1" width="5.125" customWidth="1"/>
    <col min="2" max="2" width="11.375" style="16" customWidth="1"/>
    <col min="3" max="3" width="23.5" customWidth="1"/>
    <col min="4" max="4" width="12.25" customWidth="1"/>
    <col min="5" max="5" width="15.375" customWidth="1"/>
    <col min="6" max="6" width="9" style="16" customWidth="1"/>
    <col min="7" max="7" width="13.25" style="16" customWidth="1"/>
    <col min="8" max="8" width="9" customWidth="1"/>
    <col min="9" max="9" width="11.875" customWidth="1"/>
    <col min="10" max="10" width="9.125" customWidth="1"/>
    <col min="11" max="16" width="9" customWidth="1"/>
    <col min="17" max="27" width="9" style="16" customWidth="1"/>
    <col min="28" max="31" width="9" customWidth="1"/>
    <col min="34" max="34" width="9" style="16"/>
    <col min="36" max="36" width="7.75" customWidth="1"/>
    <col min="37" max="37" width="6.125" customWidth="1"/>
    <col min="38" max="38" width="9.75" customWidth="1"/>
    <col min="40" max="42" width="11.25" customWidth="1"/>
    <col min="43" max="43" width="11.25" style="16" customWidth="1"/>
    <col min="44" max="44" width="56.125" style="32" customWidth="1"/>
  </cols>
  <sheetData>
    <row r="1" spans="1:163" s="16" customFormat="1" ht="45" customHeight="1">
      <c r="A1" s="240" t="s">
        <v>77</v>
      </c>
      <c r="B1" s="238" t="s">
        <v>78</v>
      </c>
      <c r="C1" s="238" t="s">
        <v>79</v>
      </c>
      <c r="D1" s="240" t="s">
        <v>0</v>
      </c>
      <c r="E1" s="240" t="s">
        <v>3</v>
      </c>
      <c r="F1" s="238" t="s">
        <v>230</v>
      </c>
      <c r="G1" s="238" t="s">
        <v>234</v>
      </c>
      <c r="H1" s="240" t="s">
        <v>80</v>
      </c>
      <c r="I1" s="240" t="s">
        <v>81</v>
      </c>
      <c r="J1" s="240" t="s">
        <v>82</v>
      </c>
      <c r="K1" s="236" t="s">
        <v>83</v>
      </c>
      <c r="L1" s="236" t="s">
        <v>84</v>
      </c>
      <c r="M1" s="243" t="s">
        <v>85</v>
      </c>
      <c r="N1" s="243" t="s">
        <v>86</v>
      </c>
      <c r="O1" s="243"/>
      <c r="P1" s="236" t="s">
        <v>87</v>
      </c>
      <c r="Q1" s="243" t="s">
        <v>88</v>
      </c>
      <c r="R1" s="243"/>
      <c r="S1" s="243"/>
      <c r="T1" s="243"/>
      <c r="U1" s="243"/>
      <c r="V1" s="243"/>
      <c r="W1" s="243" t="s">
        <v>24</v>
      </c>
      <c r="X1" s="243"/>
      <c r="Y1" s="243"/>
      <c r="Z1" s="243"/>
      <c r="AA1" s="243"/>
      <c r="AB1" s="243"/>
      <c r="AC1" s="243"/>
      <c r="AD1" s="243"/>
      <c r="AE1" s="243"/>
      <c r="AF1" s="244" t="s">
        <v>89</v>
      </c>
      <c r="AG1" s="244" t="s">
        <v>90</v>
      </c>
      <c r="AH1" s="244" t="s">
        <v>91</v>
      </c>
      <c r="AI1" s="244" t="s">
        <v>92</v>
      </c>
      <c r="AJ1" s="244" t="s">
        <v>93</v>
      </c>
      <c r="AK1" s="244"/>
      <c r="AL1" s="245" t="s">
        <v>94</v>
      </c>
      <c r="AM1" s="245"/>
      <c r="AN1" s="246" t="s">
        <v>95</v>
      </c>
      <c r="AO1" s="244" t="s">
        <v>96</v>
      </c>
      <c r="AP1" s="244" t="s">
        <v>97</v>
      </c>
      <c r="AQ1" s="245" t="s">
        <v>98</v>
      </c>
      <c r="AR1" s="245" t="s">
        <v>99</v>
      </c>
    </row>
    <row r="2" spans="1:163" s="16" customFormat="1" ht="24">
      <c r="A2" s="242"/>
      <c r="B2" s="239"/>
      <c r="C2" s="239"/>
      <c r="D2" s="241"/>
      <c r="E2" s="241"/>
      <c r="F2" s="239" t="s">
        <v>5</v>
      </c>
      <c r="G2" s="239" t="s">
        <v>6</v>
      </c>
      <c r="H2" s="241"/>
      <c r="I2" s="241"/>
      <c r="J2" s="241"/>
      <c r="K2" s="237"/>
      <c r="L2" s="237"/>
      <c r="M2" s="243"/>
      <c r="N2" s="33" t="s">
        <v>100</v>
      </c>
      <c r="O2" s="33" t="s">
        <v>101</v>
      </c>
      <c r="P2" s="237"/>
      <c r="Q2" s="33" t="s">
        <v>102</v>
      </c>
      <c r="R2" s="33" t="s">
        <v>103</v>
      </c>
      <c r="S2" s="33" t="s">
        <v>104</v>
      </c>
      <c r="T2" s="33" t="s">
        <v>105</v>
      </c>
      <c r="U2" s="33" t="s">
        <v>106</v>
      </c>
      <c r="V2" s="33" t="s">
        <v>107</v>
      </c>
      <c r="W2" s="33" t="s">
        <v>25</v>
      </c>
      <c r="X2" s="33" t="s">
        <v>26</v>
      </c>
      <c r="Y2" s="33" t="s">
        <v>27</v>
      </c>
      <c r="Z2" s="33" t="s">
        <v>28</v>
      </c>
      <c r="AA2" s="33" t="s">
        <v>29</v>
      </c>
      <c r="AB2" s="35" t="s">
        <v>108</v>
      </c>
      <c r="AC2" s="35" t="s">
        <v>109</v>
      </c>
      <c r="AD2" s="33" t="s">
        <v>110</v>
      </c>
      <c r="AE2" s="33" t="s">
        <v>111</v>
      </c>
      <c r="AF2" s="244"/>
      <c r="AG2" s="244"/>
      <c r="AH2" s="244"/>
      <c r="AI2" s="244"/>
      <c r="AJ2" s="244"/>
      <c r="AK2" s="244"/>
      <c r="AL2" s="34" t="s">
        <v>112</v>
      </c>
      <c r="AM2" s="34" t="s">
        <v>113</v>
      </c>
      <c r="AN2" s="247"/>
      <c r="AO2" s="244"/>
      <c r="AP2" s="244"/>
      <c r="AQ2" s="245"/>
      <c r="AR2" s="245"/>
    </row>
    <row r="3" spans="1:163" ht="57" customHeight="1">
      <c r="A3" s="185">
        <v>1</v>
      </c>
      <c r="B3" s="157" t="s">
        <v>168</v>
      </c>
      <c r="C3" s="31" t="s">
        <v>167</v>
      </c>
      <c r="D3" s="157" t="s">
        <v>245</v>
      </c>
      <c r="E3" s="157" t="s">
        <v>172</v>
      </c>
      <c r="F3" s="189" t="s">
        <v>122</v>
      </c>
      <c r="G3" s="157" t="s">
        <v>171</v>
      </c>
      <c r="H3" s="158" t="s">
        <v>170</v>
      </c>
      <c r="I3" s="159"/>
      <c r="J3" s="177">
        <v>178.4</v>
      </c>
      <c r="K3" s="177"/>
      <c r="L3" s="177">
        <v>715</v>
      </c>
      <c r="M3" s="177">
        <v>6435</v>
      </c>
      <c r="N3" s="162" t="s">
        <v>147</v>
      </c>
      <c r="O3" s="160">
        <v>99</v>
      </c>
      <c r="P3" s="161">
        <v>0</v>
      </c>
      <c r="Q3" s="160">
        <v>86</v>
      </c>
      <c r="R3" s="160">
        <v>128</v>
      </c>
      <c r="S3" s="160"/>
      <c r="T3" s="160">
        <v>24</v>
      </c>
      <c r="U3" s="160">
        <v>55</v>
      </c>
      <c r="V3" s="160">
        <v>0</v>
      </c>
      <c r="W3" s="160">
        <v>0</v>
      </c>
      <c r="X3" s="160">
        <v>0</v>
      </c>
      <c r="Y3" s="160">
        <v>22</v>
      </c>
      <c r="Z3" s="160">
        <v>7</v>
      </c>
      <c r="AA3" s="160">
        <v>1</v>
      </c>
      <c r="AB3" s="36">
        <f t="shared" ref="AB3:AB5" si="0">SUM(W3:AA3)</f>
        <v>30</v>
      </c>
      <c r="AC3" s="36">
        <f t="shared" ref="AC3:AC5" si="1">W3*3+X3*2+Y3*1+Z3*0.2+AA3*0.1</f>
        <v>23.5</v>
      </c>
      <c r="AD3" s="176">
        <v>0</v>
      </c>
      <c r="AE3" s="176">
        <v>0</v>
      </c>
      <c r="AF3" s="37">
        <f t="shared" ref="AF3:AF5" si="2">(AB3-AD3)/AB3</f>
        <v>1</v>
      </c>
      <c r="AG3" s="38" t="e">
        <f t="shared" ref="AG3:AG5" si="3">K3/S3*8</f>
        <v>#DIV/0!</v>
      </c>
      <c r="AH3" s="38">
        <f t="shared" ref="AH3:AH5" si="4">L3/T3*8</f>
        <v>238.33333333333334</v>
      </c>
      <c r="AI3" s="38">
        <f t="shared" ref="AI3:AI5" si="5">M3/U3*8</f>
        <v>936</v>
      </c>
      <c r="AJ3" s="38">
        <f t="shared" ref="AJ3" si="6">IF(V3=0,(S3+T3+U3),(S3+T3+U3)/V3)</f>
        <v>79</v>
      </c>
      <c r="AK3" s="39" t="str">
        <f t="shared" ref="AK3" si="7">IF(V3=0,"：0","：1")</f>
        <v>：0</v>
      </c>
      <c r="AL3" s="40">
        <v>10</v>
      </c>
      <c r="AM3" s="40">
        <v>1</v>
      </c>
      <c r="AN3" s="41">
        <f t="shared" ref="AN3:AN5" si="8">L3/J3</f>
        <v>4.0078475336322867</v>
      </c>
      <c r="AO3" s="42">
        <f t="shared" ref="AO3:AO5" si="9">P3/L3</f>
        <v>0</v>
      </c>
      <c r="AP3" s="43">
        <f t="shared" ref="AP3:AP5" si="10">AC3/M3</f>
        <v>3.6519036519036519E-3</v>
      </c>
      <c r="AQ3" s="44" t="s">
        <v>169</v>
      </c>
      <c r="AR3" s="45"/>
    </row>
    <row r="4" spans="1:163" s="163" customFormat="1" ht="45">
      <c r="A4" s="185">
        <v>2</v>
      </c>
      <c r="B4" s="179" t="s">
        <v>191</v>
      </c>
      <c r="C4" s="31" t="s">
        <v>190</v>
      </c>
      <c r="D4" s="179" t="s">
        <v>180</v>
      </c>
      <c r="E4" s="179" t="s">
        <v>181</v>
      </c>
      <c r="F4" s="189" t="s">
        <v>122</v>
      </c>
      <c r="G4" s="179" t="s">
        <v>171</v>
      </c>
      <c r="H4" s="55" t="s">
        <v>182</v>
      </c>
      <c r="I4" s="55" t="s">
        <v>183</v>
      </c>
      <c r="J4" s="179">
        <v>219.5</v>
      </c>
      <c r="K4" s="179">
        <v>2251</v>
      </c>
      <c r="L4" s="179">
        <v>2381</v>
      </c>
      <c r="M4" s="179">
        <v>14490</v>
      </c>
      <c r="N4" s="162" t="s">
        <v>184</v>
      </c>
      <c r="O4" s="160">
        <v>17</v>
      </c>
      <c r="P4" s="161">
        <v>16</v>
      </c>
      <c r="Q4" s="164">
        <v>539</v>
      </c>
      <c r="R4" s="164">
        <v>539</v>
      </c>
      <c r="S4" s="164">
        <v>51</v>
      </c>
      <c r="T4" s="164">
        <v>124</v>
      </c>
      <c r="U4" s="164">
        <v>320</v>
      </c>
      <c r="V4" s="164">
        <v>64</v>
      </c>
      <c r="W4" s="164">
        <v>0</v>
      </c>
      <c r="X4" s="164">
        <v>1</v>
      </c>
      <c r="Y4" s="164">
        <v>184</v>
      </c>
      <c r="Z4" s="164">
        <v>38</v>
      </c>
      <c r="AA4" s="164">
        <v>18</v>
      </c>
      <c r="AB4" s="36">
        <f t="shared" si="0"/>
        <v>241</v>
      </c>
      <c r="AC4" s="36">
        <f t="shared" si="1"/>
        <v>195.4</v>
      </c>
      <c r="AD4" s="180">
        <v>6</v>
      </c>
      <c r="AE4" s="180">
        <v>0</v>
      </c>
      <c r="AF4" s="37">
        <f t="shared" si="2"/>
        <v>0.975103734439834</v>
      </c>
      <c r="AG4" s="38">
        <f t="shared" si="3"/>
        <v>353.0980392156863</v>
      </c>
      <c r="AH4" s="38">
        <f t="shared" si="4"/>
        <v>153.61290322580646</v>
      </c>
      <c r="AI4" s="38">
        <f t="shared" si="5"/>
        <v>362.25</v>
      </c>
      <c r="AJ4" s="38">
        <f t="shared" ref="AJ4" si="11">IF(V4=0,(S4+T4+U4),(S4+T4+U4)/V4)</f>
        <v>7.734375</v>
      </c>
      <c r="AK4" s="39" t="str">
        <f t="shared" ref="AK4" si="12">IF(V4=0,"：0","：1")</f>
        <v>：1</v>
      </c>
      <c r="AL4" s="40">
        <v>8</v>
      </c>
      <c r="AM4" s="40">
        <v>2</v>
      </c>
      <c r="AN4" s="41">
        <f t="shared" si="8"/>
        <v>10.84738041002278</v>
      </c>
      <c r="AO4" s="42">
        <f t="shared" si="9"/>
        <v>6.7198656026879466E-3</v>
      </c>
      <c r="AP4" s="43">
        <f t="shared" si="10"/>
        <v>1.3485162180814355E-2</v>
      </c>
      <c r="AQ4" s="44" t="s">
        <v>188</v>
      </c>
      <c r="AR4" s="179"/>
      <c r="AS4" s="167"/>
      <c r="AT4" s="167"/>
      <c r="AU4" s="167"/>
      <c r="AV4" s="167"/>
      <c r="AW4" s="167"/>
      <c r="AX4" s="167"/>
      <c r="AY4" s="167"/>
      <c r="AZ4" s="167"/>
      <c r="BA4" s="167"/>
      <c r="BB4" s="167"/>
      <c r="BC4" s="167"/>
      <c r="BD4" s="167"/>
      <c r="BE4" s="167"/>
      <c r="BF4" s="167"/>
      <c r="BG4" s="167"/>
      <c r="BH4" s="167"/>
      <c r="BI4" s="167"/>
      <c r="BJ4" s="167"/>
      <c r="BK4" s="167"/>
      <c r="BL4" s="167"/>
      <c r="BM4" s="167"/>
      <c r="BN4" s="167"/>
      <c r="BO4" s="167"/>
      <c r="BP4" s="167"/>
      <c r="BQ4" s="167"/>
      <c r="BR4" s="167"/>
      <c r="BS4" s="167"/>
      <c r="BT4" s="167"/>
      <c r="BU4" s="167"/>
      <c r="BV4" s="167"/>
      <c r="BW4" s="167"/>
      <c r="BX4" s="167"/>
      <c r="BY4" s="167"/>
      <c r="BZ4" s="167"/>
      <c r="CA4" s="167"/>
      <c r="CB4" s="167"/>
      <c r="CC4" s="167"/>
      <c r="CD4" s="167"/>
      <c r="CE4" s="167"/>
      <c r="CF4" s="167"/>
      <c r="CG4" s="167"/>
      <c r="CH4" s="167"/>
      <c r="CI4" s="167"/>
      <c r="CJ4" s="167"/>
      <c r="CK4" s="167"/>
      <c r="CL4" s="167"/>
      <c r="CM4" s="167"/>
      <c r="CN4" s="167"/>
      <c r="CO4" s="167"/>
      <c r="CP4" s="167"/>
      <c r="CQ4" s="167"/>
      <c r="CR4" s="167"/>
      <c r="CS4" s="167"/>
      <c r="CT4" s="167"/>
      <c r="CU4" s="167"/>
      <c r="CV4" s="167"/>
      <c r="CW4" s="167"/>
      <c r="CX4" s="167"/>
      <c r="CY4" s="167"/>
      <c r="CZ4" s="167"/>
      <c r="DA4" s="167"/>
      <c r="DB4" s="167"/>
      <c r="DC4" s="167"/>
      <c r="DD4" s="167"/>
      <c r="DE4" s="167"/>
      <c r="DF4" s="167"/>
      <c r="DG4" s="167"/>
      <c r="DH4" s="167"/>
      <c r="DI4" s="167"/>
      <c r="DJ4" s="167"/>
      <c r="DK4" s="167"/>
      <c r="DL4" s="167"/>
      <c r="DM4" s="167"/>
      <c r="DN4" s="167"/>
      <c r="DO4" s="167"/>
      <c r="DP4" s="167"/>
      <c r="DQ4" s="167"/>
      <c r="DR4" s="167"/>
      <c r="DS4" s="167"/>
      <c r="DT4" s="167"/>
      <c r="DU4" s="167"/>
      <c r="DV4" s="167"/>
      <c r="DW4" s="167"/>
      <c r="DX4" s="167"/>
      <c r="DY4" s="167"/>
      <c r="DZ4" s="167"/>
      <c r="EA4" s="167"/>
      <c r="EB4" s="167"/>
      <c r="EC4" s="167"/>
      <c r="ED4" s="167"/>
      <c r="EE4" s="167"/>
      <c r="EF4" s="167"/>
      <c r="EG4" s="167"/>
      <c r="EH4" s="167"/>
      <c r="EI4" s="167"/>
      <c r="EJ4" s="167"/>
      <c r="EK4" s="167"/>
      <c r="EL4" s="167"/>
      <c r="EM4" s="167"/>
      <c r="EN4" s="167"/>
      <c r="EO4" s="167"/>
      <c r="EP4" s="167"/>
      <c r="EQ4" s="167"/>
      <c r="ER4" s="167"/>
      <c r="ES4" s="167"/>
      <c r="ET4" s="167"/>
      <c r="EU4" s="167"/>
      <c r="EV4" s="167"/>
      <c r="EW4" s="167"/>
      <c r="EX4" s="167"/>
      <c r="EY4" s="167"/>
      <c r="EZ4" s="167"/>
      <c r="FA4" s="167"/>
      <c r="FB4" s="167"/>
      <c r="FC4" s="167"/>
      <c r="FD4" s="167"/>
      <c r="FE4" s="167"/>
      <c r="FF4" s="167"/>
      <c r="FG4" s="166"/>
    </row>
    <row r="5" spans="1:163" ht="45">
      <c r="A5" s="164">
        <v>3</v>
      </c>
      <c r="B5" s="179" t="s">
        <v>191</v>
      </c>
      <c r="C5" s="31" t="s">
        <v>208</v>
      </c>
      <c r="D5" s="179" t="s">
        <v>180</v>
      </c>
      <c r="E5" s="179" t="s">
        <v>185</v>
      </c>
      <c r="F5" s="189" t="s">
        <v>122</v>
      </c>
      <c r="G5" s="179" t="s">
        <v>171</v>
      </c>
      <c r="H5" s="158" t="s">
        <v>186</v>
      </c>
      <c r="I5" s="159" t="s">
        <v>186</v>
      </c>
      <c r="J5" s="179">
        <v>63.5</v>
      </c>
      <c r="K5" s="179">
        <v>0</v>
      </c>
      <c r="L5" s="179">
        <v>605</v>
      </c>
      <c r="M5" s="179">
        <v>2444</v>
      </c>
      <c r="N5" s="162" t="s">
        <v>187</v>
      </c>
      <c r="O5" s="160">
        <v>6</v>
      </c>
      <c r="P5" s="161">
        <v>10</v>
      </c>
      <c r="Q5" s="160">
        <v>157</v>
      </c>
      <c r="R5" s="160">
        <v>157</v>
      </c>
      <c r="S5" s="160">
        <v>0</v>
      </c>
      <c r="T5" s="160">
        <v>20</v>
      </c>
      <c r="U5" s="160">
        <v>45</v>
      </c>
      <c r="V5" s="160">
        <v>0</v>
      </c>
      <c r="W5" s="160">
        <v>0</v>
      </c>
      <c r="X5" s="160">
        <v>0</v>
      </c>
      <c r="Y5" s="160">
        <v>15</v>
      </c>
      <c r="Z5" s="160">
        <v>25</v>
      </c>
      <c r="AA5" s="160">
        <v>0</v>
      </c>
      <c r="AB5" s="36">
        <f t="shared" si="0"/>
        <v>40</v>
      </c>
      <c r="AC5" s="36">
        <f t="shared" si="1"/>
        <v>20</v>
      </c>
      <c r="AD5" s="180">
        <v>0</v>
      </c>
      <c r="AE5" s="180">
        <v>0</v>
      </c>
      <c r="AF5" s="37">
        <f t="shared" si="2"/>
        <v>1</v>
      </c>
      <c r="AG5" s="38" t="e">
        <f t="shared" si="3"/>
        <v>#DIV/0!</v>
      </c>
      <c r="AH5" s="38">
        <f t="shared" si="4"/>
        <v>242</v>
      </c>
      <c r="AI5" s="38">
        <f t="shared" si="5"/>
        <v>434.48888888888888</v>
      </c>
      <c r="AJ5" s="38">
        <f t="shared" ref="AJ5" si="13">IF(V5=0,(S5+T5+U5),(S5+T5+U5)/V5)</f>
        <v>65</v>
      </c>
      <c r="AK5" s="39" t="str">
        <f t="shared" ref="AK5" si="14">IF(V5=0,"：0","：1")</f>
        <v>：0</v>
      </c>
      <c r="AL5" s="40">
        <v>8</v>
      </c>
      <c r="AM5" s="40">
        <v>4</v>
      </c>
      <c r="AN5" s="41">
        <f t="shared" si="8"/>
        <v>9.5275590551181111</v>
      </c>
      <c r="AO5" s="42">
        <f t="shared" si="9"/>
        <v>1.6528925619834711E-2</v>
      </c>
      <c r="AP5" s="43">
        <f t="shared" si="10"/>
        <v>8.1833060556464818E-3</v>
      </c>
      <c r="AQ5" s="44" t="s">
        <v>188</v>
      </c>
      <c r="AR5" s="45"/>
    </row>
    <row r="6" spans="1:163" ht="48">
      <c r="A6" s="164">
        <v>4</v>
      </c>
      <c r="B6" s="185" t="s">
        <v>200</v>
      </c>
      <c r="C6" s="31" t="s">
        <v>201</v>
      </c>
      <c r="D6" s="185" t="s">
        <v>202</v>
      </c>
      <c r="E6" s="185" t="s">
        <v>203</v>
      </c>
      <c r="F6" s="189" t="s">
        <v>122</v>
      </c>
      <c r="G6" s="185" t="s">
        <v>204</v>
      </c>
      <c r="H6" s="186" t="s">
        <v>205</v>
      </c>
      <c r="I6" s="186" t="s">
        <v>206</v>
      </c>
      <c r="J6" s="185">
        <v>143</v>
      </c>
      <c r="K6" s="185">
        <v>0</v>
      </c>
      <c r="L6" s="185">
        <v>1005</v>
      </c>
      <c r="M6" s="185">
        <v>19196</v>
      </c>
      <c r="N6" s="162" t="s">
        <v>207</v>
      </c>
      <c r="O6" s="160">
        <v>2232</v>
      </c>
      <c r="P6" s="161">
        <v>16</v>
      </c>
      <c r="Q6" s="187">
        <v>613.1</v>
      </c>
      <c r="R6" s="187">
        <v>652.5</v>
      </c>
      <c r="S6" s="160">
        <v>0</v>
      </c>
      <c r="T6" s="161">
        <v>55</v>
      </c>
      <c r="U6" s="161">
        <v>432</v>
      </c>
      <c r="V6" s="160">
        <v>36</v>
      </c>
      <c r="W6" s="161">
        <v>0</v>
      </c>
      <c r="X6" s="161">
        <v>6</v>
      </c>
      <c r="Y6" s="161">
        <v>71</v>
      </c>
      <c r="Z6" s="161">
        <v>129</v>
      </c>
      <c r="AA6" s="161">
        <v>16</v>
      </c>
      <c r="AB6" s="36">
        <f t="shared" ref="AB6" si="15">SUM(W6:AA6)</f>
        <v>222</v>
      </c>
      <c r="AC6" s="36">
        <f t="shared" ref="AC6" si="16">W6*3+X6*2+Y6*1+Z6*0.2+AA6*0.1</f>
        <v>110.39999999999999</v>
      </c>
      <c r="AD6" s="180">
        <v>0</v>
      </c>
      <c r="AE6" s="180">
        <v>0</v>
      </c>
      <c r="AF6" s="37">
        <f t="shared" ref="AF6" si="17">(AB6-AD6)/AB6</f>
        <v>1</v>
      </c>
      <c r="AG6" s="38" t="e">
        <f t="shared" ref="AG6" si="18">K6/S6*8</f>
        <v>#DIV/0!</v>
      </c>
      <c r="AH6" s="38">
        <f t="shared" ref="AH6" si="19">L6/T6*8</f>
        <v>146.18181818181819</v>
      </c>
      <c r="AI6" s="38">
        <f t="shared" ref="AI6" si="20">M6/U6*8</f>
        <v>355.48148148148147</v>
      </c>
      <c r="AJ6" s="38">
        <f t="shared" ref="AJ6" si="21">IF(V6=0,(S6+T6+U6),(S6+T6+U6)/V6)</f>
        <v>13.527777777777779</v>
      </c>
      <c r="AK6" s="39" t="str">
        <f t="shared" ref="AK6" si="22">IF(V6=0,"：0","：1")</f>
        <v>：1</v>
      </c>
      <c r="AL6" s="40">
        <v>8</v>
      </c>
      <c r="AM6" s="40">
        <v>4</v>
      </c>
      <c r="AN6" s="41">
        <f t="shared" ref="AN6" si="23">L6/J6</f>
        <v>7.0279720279720284</v>
      </c>
      <c r="AO6" s="42">
        <f t="shared" ref="AO6" si="24">P6/L6</f>
        <v>1.5920398009950248E-2</v>
      </c>
      <c r="AP6" s="43">
        <f t="shared" ref="AP6" si="25">AC6/M6</f>
        <v>5.7511981662846422E-3</v>
      </c>
      <c r="AQ6" s="44" t="s">
        <v>188</v>
      </c>
      <c r="AR6" s="45"/>
    </row>
  </sheetData>
  <mergeCells count="28">
    <mergeCell ref="AR1:AR2"/>
    <mergeCell ref="AJ1:AK2"/>
    <mergeCell ref="AI1:AI2"/>
    <mergeCell ref="AN1:AN2"/>
    <mergeCell ref="AO1:AO2"/>
    <mergeCell ref="AP1:AP2"/>
    <mergeCell ref="AQ1:AQ2"/>
    <mergeCell ref="AL1:AM1"/>
    <mergeCell ref="M1:M2"/>
    <mergeCell ref="P1:P2"/>
    <mergeCell ref="AF1:AF2"/>
    <mergeCell ref="AG1:AG2"/>
    <mergeCell ref="AH1:AH2"/>
    <mergeCell ref="N1:O1"/>
    <mergeCell ref="Q1:V1"/>
    <mergeCell ref="W1:AE1"/>
    <mergeCell ref="A1:A2"/>
    <mergeCell ref="B1:B2"/>
    <mergeCell ref="C1:C2"/>
    <mergeCell ref="D1:D2"/>
    <mergeCell ref="E1:E2"/>
    <mergeCell ref="K1:K2"/>
    <mergeCell ref="L1:L2"/>
    <mergeCell ref="F1:F2"/>
    <mergeCell ref="G1:G2"/>
    <mergeCell ref="H1:H2"/>
    <mergeCell ref="I1:I2"/>
    <mergeCell ref="J1:J2"/>
  </mergeCells>
  <phoneticPr fontId="47" type="noConversion"/>
  <conditionalFormatting sqref="A1">
    <cfRule type="expression" dxfId="29" priority="572" stopIfTrue="1">
      <formula>MOD(ROW(),2)=1</formula>
    </cfRule>
  </conditionalFormatting>
  <conditionalFormatting sqref="B1">
    <cfRule type="expression" dxfId="28" priority="575" stopIfTrue="1">
      <formula>MOD(ROW(),2)=1</formula>
    </cfRule>
  </conditionalFormatting>
  <conditionalFormatting sqref="D1">
    <cfRule type="expression" dxfId="27" priority="469" stopIfTrue="1">
      <formula>MOD(ROW(),2)=1</formula>
    </cfRule>
  </conditionalFormatting>
  <conditionalFormatting sqref="E1">
    <cfRule type="expression" dxfId="26" priority="585" stopIfTrue="1">
      <formula>MOD(ROW(),2)=1</formula>
    </cfRule>
  </conditionalFormatting>
  <conditionalFormatting sqref="F1">
    <cfRule type="expression" dxfId="25" priority="549" stopIfTrue="1">
      <formula>MOD(ROW(),2)=1</formula>
    </cfRule>
  </conditionalFormatting>
  <conditionalFormatting sqref="G1">
    <cfRule type="expression" dxfId="24" priority="548" stopIfTrue="1">
      <formula>MOD(ROW(),2)=1</formula>
    </cfRule>
  </conditionalFormatting>
  <conditionalFormatting sqref="J1">
    <cfRule type="expression" dxfId="23" priority="573" stopIfTrue="1">
      <formula>MOD(ROW(),2)=1</formula>
    </cfRule>
  </conditionalFormatting>
  <conditionalFormatting sqref="C1 H1:I1">
    <cfRule type="expression" dxfId="22" priority="584" stopIfTrue="1">
      <formula>MOD(ROW(),2)=1</formula>
    </cfRule>
  </conditionalFormatting>
  <conditionalFormatting sqref="AF3:AF5">
    <cfRule type="cellIs" dxfId="21" priority="21" operator="lessThan">
      <formula>0.9</formula>
    </cfRule>
  </conditionalFormatting>
  <conditionalFormatting sqref="AH3:AH5">
    <cfRule type="cellIs" dxfId="20" priority="15" operator="greaterThan">
      <formula>300</formula>
    </cfRule>
    <cfRule type="cellIs" dxfId="19" priority="16" operator="lessThan">
      <formula>200</formula>
    </cfRule>
    <cfRule type="cellIs" dxfId="18" priority="17" operator="lessThan">
      <formula>150</formula>
    </cfRule>
  </conditionalFormatting>
  <conditionalFormatting sqref="AI3:AI5">
    <cfRule type="cellIs" dxfId="17" priority="18" operator="greaterThan">
      <formula>500</formula>
    </cfRule>
    <cfRule type="cellIs" dxfId="16" priority="19" operator="lessThan">
      <formula>400</formula>
    </cfRule>
    <cfRule type="cellIs" dxfId="15" priority="20" operator="lessThan">
      <formula>300</formula>
    </cfRule>
  </conditionalFormatting>
  <conditionalFormatting sqref="AL3:AM3">
    <cfRule type="cellIs" dxfId="14" priority="22" operator="notBetween">
      <formula>0.8531</formula>
      <formula>27.1469</formula>
    </cfRule>
  </conditionalFormatting>
  <conditionalFormatting sqref="AN3:AN5">
    <cfRule type="cellIs" dxfId="13" priority="14" operator="notBetween">
      <formula>0.8531</formula>
      <formula>27.1469</formula>
    </cfRule>
  </conditionalFormatting>
  <conditionalFormatting sqref="AO3:AO5">
    <cfRule type="cellIs" dxfId="12" priority="13" operator="greaterThan">
      <formula>0.0879</formula>
    </cfRule>
  </conditionalFormatting>
  <conditionalFormatting sqref="AL4:AM4">
    <cfRule type="cellIs" dxfId="11" priority="12" operator="notBetween">
      <formula>0.8531</formula>
      <formula>27.1469</formula>
    </cfRule>
  </conditionalFormatting>
  <conditionalFormatting sqref="AL5:AM5">
    <cfRule type="cellIs" dxfId="10" priority="11" operator="notBetween">
      <formula>0.8531</formula>
      <formula>27.1469</formula>
    </cfRule>
  </conditionalFormatting>
  <conditionalFormatting sqref="AF6">
    <cfRule type="cellIs" dxfId="9" priority="10" operator="lessThan">
      <formula>0.9</formula>
    </cfRule>
  </conditionalFormatting>
  <conditionalFormatting sqref="AH6">
    <cfRule type="cellIs" dxfId="8" priority="4" operator="greaterThan">
      <formula>300</formula>
    </cfRule>
    <cfRule type="cellIs" dxfId="7" priority="5" operator="lessThan">
      <formula>200</formula>
    </cfRule>
    <cfRule type="cellIs" dxfId="6" priority="6" operator="lessThan">
      <formula>150</formula>
    </cfRule>
  </conditionalFormatting>
  <conditionalFormatting sqref="AI6">
    <cfRule type="cellIs" dxfId="5" priority="7" operator="greaterThan">
      <formula>500</formula>
    </cfRule>
    <cfRule type="cellIs" dxfId="4" priority="8" operator="lessThan">
      <formula>400</formula>
    </cfRule>
    <cfRule type="cellIs" dxfId="3" priority="9" operator="lessThan">
      <formula>300</formula>
    </cfRule>
  </conditionalFormatting>
  <conditionalFormatting sqref="AN6">
    <cfRule type="cellIs" dxfId="2" priority="3" operator="notBetween">
      <formula>0.8531</formula>
      <formula>27.1469</formula>
    </cfRule>
  </conditionalFormatting>
  <conditionalFormatting sqref="AO6">
    <cfRule type="cellIs" dxfId="1" priority="2" operator="greaterThan">
      <formula>0.0879</formula>
    </cfRule>
  </conditionalFormatting>
  <conditionalFormatting sqref="AL6:AM6">
    <cfRule type="cellIs" dxfId="0" priority="1" operator="notBetween">
      <formula>0.8531</formula>
      <formula>27.1469</formula>
    </cfRule>
  </conditionalFormatting>
  <dataValidations count="3">
    <dataValidation type="list" allowBlank="1" showInputMessage="1" showErrorMessage="1" sqref="AQ3:AQ6">
      <formula1>"Y,N"</formula1>
    </dataValidation>
    <dataValidation type="list" allowBlank="1" showInputMessage="1" showErrorMessage="1" sqref="G3:G6">
      <formula1>"全新项目,升级项目,测试任务,收购修复"</formula1>
    </dataValidation>
    <dataValidation type="list" allowBlank="1" showInputMessage="1" showErrorMessage="1" sqref="F3:F6">
      <formula1>"大型,普通,微型,任务型,运维型,'--"</formula1>
    </dataValidation>
  </dataValidations>
  <pageMargins left="0.69930555555555596" right="0.69930555555555596"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
  <sheetViews>
    <sheetView showGridLines="0" workbookViewId="0">
      <selection activeCell="B5" sqref="B5"/>
    </sheetView>
  </sheetViews>
  <sheetFormatPr defaultColWidth="9" defaultRowHeight="13.5"/>
  <cols>
    <col min="1" max="1" width="3" customWidth="1"/>
    <col min="2" max="2" width="14.375" customWidth="1"/>
    <col min="3" max="3" width="22.75" customWidth="1"/>
    <col min="4" max="5" width="12" customWidth="1"/>
    <col min="6" max="6" width="21" customWidth="1"/>
    <col min="8" max="8" width="20.125" customWidth="1"/>
  </cols>
  <sheetData>
    <row r="2" spans="2:8" ht="21">
      <c r="B2" s="248" t="s">
        <v>114</v>
      </c>
      <c r="C2" s="248"/>
      <c r="D2" s="248"/>
      <c r="E2" s="248"/>
      <c r="F2" s="248"/>
      <c r="G2" s="248"/>
      <c r="H2" s="248"/>
    </row>
    <row r="3" spans="2:8" ht="30.75" customHeight="1">
      <c r="B3" s="25" t="s">
        <v>0</v>
      </c>
      <c r="C3" s="25" t="s">
        <v>44</v>
      </c>
      <c r="D3" s="25" t="s">
        <v>230</v>
      </c>
      <c r="E3" s="25" t="s">
        <v>234</v>
      </c>
      <c r="F3" s="26" t="s">
        <v>3</v>
      </c>
      <c r="G3" s="25" t="s">
        <v>7</v>
      </c>
      <c r="H3" s="25" t="s">
        <v>45</v>
      </c>
    </row>
    <row r="4" spans="2:8" ht="30" customHeight="1">
      <c r="B4" s="27" t="str">
        <f>VLOOKUP(C4,研发中心当月结项项目质量评定明细表!$B$4:$AJ$14,2,FALSE)</f>
        <v>智慧校园事业部</v>
      </c>
      <c r="C4" s="158" t="s">
        <v>220</v>
      </c>
      <c r="D4" s="27" t="str">
        <f>VLOOKUP(C4,研发中心当月结项项目质量评定明细表!$B$4:$AJ$14,5,FALSE)</f>
        <v>普通</v>
      </c>
      <c r="E4" s="27" t="str">
        <f>VLOOKUP(C4,研发中心当月结项项目质量评定明细表!$B$4:$AJ$14,6,FALSE)</f>
        <v>全新项目</v>
      </c>
      <c r="F4" s="27" t="str">
        <f>VLOOKUP(C4,研发中心当月结项项目质量评定明细表!$B$4:$AJ$14,3,FALSE)</f>
        <v>平台研发部</v>
      </c>
      <c r="G4" s="27">
        <f>VLOOKUP(C4,研发中心当月结项项目质量评定明细表!$B$4:$AJ$14,35,FALSE)</f>
        <v>97</v>
      </c>
      <c r="H4" s="27" t="str">
        <f>VLOOKUP(C4,研发中心当月结项项目质量评定明细表!$B$4:$AJ$14,4,FALSE)</f>
        <v>程露</v>
      </c>
    </row>
    <row r="5" spans="2:8" ht="30" customHeight="1">
      <c r="B5" s="28"/>
      <c r="C5" s="28"/>
      <c r="D5" s="28"/>
      <c r="E5" s="28"/>
      <c r="F5" s="28"/>
      <c r="G5" s="28"/>
      <c r="H5" s="28"/>
    </row>
    <row r="7" spans="2:8" ht="21">
      <c r="B7" s="249" t="s">
        <v>115</v>
      </c>
      <c r="C7" s="249"/>
      <c r="D7" s="249"/>
      <c r="E7" s="249"/>
      <c r="F7" s="249"/>
      <c r="G7" s="249"/>
      <c r="H7" s="249"/>
    </row>
    <row r="8" spans="2:8" ht="28.5" customHeight="1">
      <c r="B8" s="25" t="s">
        <v>0</v>
      </c>
      <c r="C8" s="29" t="s">
        <v>44</v>
      </c>
      <c r="D8" s="25" t="s">
        <v>230</v>
      </c>
      <c r="E8" s="25" t="s">
        <v>234</v>
      </c>
      <c r="F8" s="30" t="s">
        <v>3</v>
      </c>
      <c r="G8" s="29" t="s">
        <v>7</v>
      </c>
      <c r="H8" s="29" t="s">
        <v>45</v>
      </c>
    </row>
    <row r="9" spans="2:8" ht="28.5" customHeight="1">
      <c r="B9" s="27" t="str">
        <f>VLOOKUP(C9,研发中心当月结项项目质量评定明细表!$B$4:$AJ$14,2,FALSE)</f>
        <v>实训软件开发中心</v>
      </c>
      <c r="C9" s="158" t="s">
        <v>223</v>
      </c>
      <c r="D9" s="27" t="str">
        <f>VLOOKUP(C9,研发中心当月结项项目质量评定明细表!$B$4:$AJ$14,5,FALSE)</f>
        <v>普通</v>
      </c>
      <c r="E9" s="27" t="str">
        <f>VLOOKUP(C9,研发中心当月结项项目质量评定明细表!$B$4:$AJ$14,6,FALSE)</f>
        <v>升级项目</v>
      </c>
      <c r="F9" s="27" t="str">
        <f>VLOOKUP(C9,研发中心当月结项项目质量评定明细表!$B$4:$AJ$14,3,FALSE)</f>
        <v>银行开发部</v>
      </c>
      <c r="G9" s="27">
        <f>VLOOKUP(C9,研发中心当月结项项目质量评定明细表!$B$4:$AJ$14,35,FALSE)</f>
        <v>73</v>
      </c>
      <c r="H9" s="27" t="str">
        <f>VLOOKUP(C9,研发中心当月结项项目质量评定明细表!$B$4:$AJ$14,4,FALSE)</f>
        <v>邓建博</v>
      </c>
    </row>
    <row r="10" spans="2:8" ht="36.75" customHeight="1">
      <c r="B10" s="27" t="str">
        <f>VLOOKUP(C10,研发中心当月结项项目质量评定明细表!$B$4:$AJ$14,2,FALSE)</f>
        <v>智慧校园事业部</v>
      </c>
      <c r="C10" s="158" t="s">
        <v>222</v>
      </c>
      <c r="D10" s="27" t="str">
        <f>VLOOKUP(C10,研发中心当月结项项目质量评定明细表!$B$4:$AJ$14,5,FALSE)</f>
        <v>普通</v>
      </c>
      <c r="E10" s="27" t="str">
        <f>VLOOKUP(C10,研发中心当月结项项目质量评定明细表!$B$4:$AJ$14,6,FALSE)</f>
        <v>全新项目</v>
      </c>
      <c r="F10" s="27" t="str">
        <f>VLOOKUP(C10,研发中心当月结项项目质量评定明细表!$B$4:$AJ$14,3,FALSE)</f>
        <v>应用研发部</v>
      </c>
      <c r="G10" s="27">
        <f>VLOOKUP(C10,研发中心当月结项项目质量评定明细表!$B$4:$AJ$14,35,FALSE)</f>
        <v>72</v>
      </c>
      <c r="H10" s="27" t="str">
        <f>VLOOKUP(C10,研发中心当月结项项目质量评定明细表!$B$4:$AJ$14,4,FALSE)</f>
        <v>王平刚</v>
      </c>
    </row>
  </sheetData>
  <mergeCells count="2">
    <mergeCell ref="B2:H2"/>
    <mergeCell ref="B7:H7"/>
  </mergeCells>
  <phoneticPr fontId="47"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7"/>
  <sheetViews>
    <sheetView showGridLines="0" topLeftCell="A4" workbookViewId="0">
      <selection activeCell="B26" sqref="B26:B28"/>
    </sheetView>
  </sheetViews>
  <sheetFormatPr defaultColWidth="9" defaultRowHeight="13.5"/>
  <cols>
    <col min="2" max="2" width="20.625" customWidth="1"/>
    <col min="3" max="3" width="13.625" customWidth="1"/>
    <col min="4" max="4" width="49.375" customWidth="1"/>
    <col min="5" max="5" width="9.375" customWidth="1"/>
    <col min="6" max="6" width="13.875" style="16" customWidth="1"/>
    <col min="7" max="7" width="13.625" style="16" customWidth="1"/>
    <col min="8" max="8" width="17.875" customWidth="1"/>
  </cols>
  <sheetData>
    <row r="2" spans="2:7" ht="21" customHeight="1">
      <c r="B2" s="17" t="s">
        <v>116</v>
      </c>
      <c r="C2" s="17" t="s">
        <v>117</v>
      </c>
      <c r="D2" s="17" t="s">
        <v>44</v>
      </c>
      <c r="E2" s="17" t="s">
        <v>6</v>
      </c>
      <c r="F2" s="17" t="s">
        <v>118</v>
      </c>
      <c r="G2" s="17" t="s">
        <v>119</v>
      </c>
    </row>
    <row r="3" spans="2:7" ht="15.75" customHeight="1">
      <c r="B3" s="250" t="s">
        <v>227</v>
      </c>
      <c r="C3" s="250">
        <v>11</v>
      </c>
      <c r="D3" s="18" t="s">
        <v>156</v>
      </c>
      <c r="E3" s="189" t="s">
        <v>120</v>
      </c>
      <c r="F3" s="19">
        <v>43467</v>
      </c>
      <c r="G3" s="19">
        <v>43707</v>
      </c>
    </row>
    <row r="4" spans="2:7" ht="15.75" customHeight="1">
      <c r="B4" s="251"/>
      <c r="C4" s="251"/>
      <c r="D4" s="155" t="s">
        <v>146</v>
      </c>
      <c r="E4" s="189" t="s">
        <v>120</v>
      </c>
      <c r="F4" s="19">
        <v>43480</v>
      </c>
      <c r="G4" s="19">
        <v>43598</v>
      </c>
    </row>
    <row r="5" spans="2:7" ht="15.75" customHeight="1">
      <c r="B5" s="251"/>
      <c r="C5" s="251"/>
      <c r="D5" s="190" t="s">
        <v>145</v>
      </c>
      <c r="E5" s="189" t="s">
        <v>120</v>
      </c>
      <c r="F5" s="178">
        <v>43536</v>
      </c>
      <c r="G5" s="178">
        <v>43585</v>
      </c>
    </row>
    <row r="6" spans="2:7" ht="15.75" customHeight="1">
      <c r="B6" s="252"/>
      <c r="C6" s="252"/>
      <c r="D6" s="18" t="s">
        <v>163</v>
      </c>
      <c r="E6" s="189" t="s">
        <v>232</v>
      </c>
      <c r="F6" s="19">
        <v>43549</v>
      </c>
      <c r="G6" s="19">
        <v>43556</v>
      </c>
    </row>
    <row r="7" spans="2:7" ht="15.75" customHeight="1">
      <c r="B7" s="252"/>
      <c r="C7" s="252"/>
      <c r="D7" s="18" t="s">
        <v>164</v>
      </c>
      <c r="E7" s="189" t="s">
        <v>232</v>
      </c>
      <c r="F7" s="19">
        <v>43552</v>
      </c>
      <c r="G7" s="19">
        <v>43557</v>
      </c>
    </row>
    <row r="8" spans="2:7" ht="15.75" customHeight="1">
      <c r="B8" s="252"/>
      <c r="C8" s="252"/>
      <c r="D8" s="155" t="s">
        <v>165</v>
      </c>
      <c r="E8" s="189" t="s">
        <v>232</v>
      </c>
      <c r="F8" s="19">
        <v>43556</v>
      </c>
      <c r="G8" s="19">
        <v>43558</v>
      </c>
    </row>
    <row r="9" spans="2:7" ht="15.75" customHeight="1">
      <c r="B9" s="252"/>
      <c r="C9" s="252"/>
      <c r="D9" s="155" t="s">
        <v>175</v>
      </c>
      <c r="E9" s="189" t="s">
        <v>232</v>
      </c>
      <c r="F9" s="19">
        <v>43584</v>
      </c>
      <c r="G9" s="19">
        <v>43585</v>
      </c>
    </row>
    <row r="10" spans="2:7" ht="15.75" customHeight="1">
      <c r="B10" s="251"/>
      <c r="C10" s="251"/>
      <c r="D10" s="194" t="s">
        <v>176</v>
      </c>
      <c r="E10" s="189" t="s">
        <v>120</v>
      </c>
      <c r="F10" s="195">
        <v>43571</v>
      </c>
      <c r="G10" s="195">
        <v>43616</v>
      </c>
    </row>
    <row r="11" spans="2:7" ht="15.75" customHeight="1">
      <c r="B11" s="251"/>
      <c r="C11" s="251"/>
      <c r="D11" s="155" t="s">
        <v>177</v>
      </c>
      <c r="E11" s="189" t="s">
        <v>120</v>
      </c>
      <c r="F11" s="178">
        <v>43556</v>
      </c>
      <c r="G11" s="178">
        <v>43600</v>
      </c>
    </row>
    <row r="12" spans="2:7" ht="15.75" customHeight="1">
      <c r="B12" s="251"/>
      <c r="C12" s="251"/>
      <c r="D12" s="155" t="s">
        <v>178</v>
      </c>
      <c r="E12" s="189" t="s">
        <v>120</v>
      </c>
      <c r="F12" s="178">
        <v>43570</v>
      </c>
      <c r="G12" s="178">
        <v>43600</v>
      </c>
    </row>
    <row r="13" spans="2:7" ht="15.75" customHeight="1">
      <c r="B13" s="251"/>
      <c r="C13" s="251"/>
      <c r="D13" s="168" t="s">
        <v>174</v>
      </c>
      <c r="E13" s="189" t="s">
        <v>120</v>
      </c>
      <c r="F13" s="19">
        <v>43467</v>
      </c>
      <c r="G13" s="19" t="s">
        <v>157</v>
      </c>
    </row>
    <row r="14" spans="2:7" ht="15.75" customHeight="1">
      <c r="B14" s="252" t="s">
        <v>242</v>
      </c>
      <c r="C14" s="252">
        <v>4</v>
      </c>
      <c r="D14" s="18" t="s">
        <v>212</v>
      </c>
      <c r="E14" s="189" t="s">
        <v>122</v>
      </c>
      <c r="F14" s="23">
        <v>43438</v>
      </c>
      <c r="G14" s="23" t="s">
        <v>144</v>
      </c>
    </row>
    <row r="15" spans="2:7" ht="15.75" customHeight="1">
      <c r="B15" s="250"/>
      <c r="C15" s="250"/>
      <c r="D15" s="190" t="s">
        <v>211</v>
      </c>
      <c r="E15" s="189" t="s">
        <v>122</v>
      </c>
      <c r="F15" s="191">
        <v>43573</v>
      </c>
      <c r="G15" s="191">
        <v>43644</v>
      </c>
    </row>
    <row r="16" spans="2:7" ht="15.75" customHeight="1">
      <c r="B16" s="252"/>
      <c r="C16" s="252"/>
      <c r="D16" s="18" t="s">
        <v>210</v>
      </c>
      <c r="E16" s="189" t="s">
        <v>232</v>
      </c>
      <c r="F16" s="23">
        <v>43570</v>
      </c>
      <c r="G16" s="23">
        <v>43577</v>
      </c>
    </row>
    <row r="17" spans="2:7" ht="15.75" customHeight="1">
      <c r="B17" s="254"/>
      <c r="C17" s="254"/>
      <c r="D17" s="196" t="s">
        <v>150</v>
      </c>
      <c r="E17" s="189" t="s">
        <v>122</v>
      </c>
      <c r="F17" s="197">
        <v>43460</v>
      </c>
      <c r="G17" s="197">
        <v>43553</v>
      </c>
    </row>
    <row r="18" spans="2:7">
      <c r="B18" s="169" t="s">
        <v>162</v>
      </c>
      <c r="C18" s="170">
        <v>1</v>
      </c>
      <c r="D18" s="18" t="s">
        <v>179</v>
      </c>
      <c r="E18" s="189" t="s">
        <v>120</v>
      </c>
      <c r="F18" s="21">
        <v>43564</v>
      </c>
      <c r="G18" s="21">
        <v>43608</v>
      </c>
    </row>
    <row r="19" spans="2:7">
      <c r="B19" s="250" t="s">
        <v>152</v>
      </c>
      <c r="C19" s="250">
        <v>7</v>
      </c>
      <c r="D19" s="22" t="s">
        <v>125</v>
      </c>
      <c r="E19" s="189" t="s">
        <v>233</v>
      </c>
      <c r="F19" s="21">
        <v>43353</v>
      </c>
      <c r="G19" s="23">
        <v>43560</v>
      </c>
    </row>
    <row r="20" spans="2:7">
      <c r="B20" s="251"/>
      <c r="C20" s="251"/>
      <c r="D20" s="192" t="s">
        <v>213</v>
      </c>
      <c r="E20" s="189" t="s">
        <v>233</v>
      </c>
      <c r="F20" s="193">
        <v>43552</v>
      </c>
      <c r="G20" s="191">
        <v>43672</v>
      </c>
    </row>
    <row r="21" spans="2:7">
      <c r="B21" s="252"/>
      <c r="C21" s="252"/>
      <c r="D21" s="22" t="s">
        <v>215</v>
      </c>
      <c r="E21" s="189" t="s">
        <v>232</v>
      </c>
      <c r="F21" s="21">
        <v>43572</v>
      </c>
      <c r="G21" s="23">
        <v>43590</v>
      </c>
    </row>
    <row r="22" spans="2:7">
      <c r="B22" s="251"/>
      <c r="C22" s="251"/>
      <c r="D22" s="198" t="s">
        <v>149</v>
      </c>
      <c r="E22" s="189" t="s">
        <v>120</v>
      </c>
      <c r="F22" s="199">
        <v>43550</v>
      </c>
      <c r="G22" s="199">
        <v>43584</v>
      </c>
    </row>
    <row r="23" spans="2:7">
      <c r="B23" s="251"/>
      <c r="C23" s="251"/>
      <c r="D23" s="192" t="s">
        <v>126</v>
      </c>
      <c r="E23" s="189" t="s">
        <v>233</v>
      </c>
      <c r="F23" s="191">
        <v>43293</v>
      </c>
      <c r="G23" s="191" t="s">
        <v>144</v>
      </c>
    </row>
    <row r="24" spans="2:7">
      <c r="B24" s="252"/>
      <c r="C24" s="252"/>
      <c r="D24" s="22" t="s">
        <v>219</v>
      </c>
      <c r="E24" s="189" t="s">
        <v>232</v>
      </c>
      <c r="F24" s="21">
        <v>43556</v>
      </c>
      <c r="G24" s="23">
        <v>43567</v>
      </c>
    </row>
    <row r="25" spans="2:7">
      <c r="B25" s="251"/>
      <c r="C25" s="251"/>
      <c r="D25" s="196" t="s">
        <v>214</v>
      </c>
      <c r="E25" s="189" t="s">
        <v>122</v>
      </c>
      <c r="F25" s="199">
        <v>43405</v>
      </c>
      <c r="G25" s="199">
        <v>43615</v>
      </c>
    </row>
    <row r="26" spans="2:7">
      <c r="B26" s="250" t="s">
        <v>244</v>
      </c>
      <c r="C26" s="252">
        <v>3</v>
      </c>
      <c r="D26" s="20" t="s">
        <v>121</v>
      </c>
      <c r="E26" s="189" t="s">
        <v>122</v>
      </c>
      <c r="F26" s="21">
        <v>43339</v>
      </c>
      <c r="G26" s="21">
        <v>43626</v>
      </c>
    </row>
    <row r="27" spans="2:7">
      <c r="B27" s="251"/>
      <c r="C27" s="250"/>
      <c r="D27" s="190" t="s">
        <v>123</v>
      </c>
      <c r="E27" s="189" t="s">
        <v>122</v>
      </c>
      <c r="F27" s="178">
        <v>43322</v>
      </c>
      <c r="G27" s="178">
        <v>43676</v>
      </c>
    </row>
    <row r="28" spans="2:7">
      <c r="B28" s="252"/>
      <c r="C28" s="252"/>
      <c r="D28" s="22" t="s">
        <v>218</v>
      </c>
      <c r="E28" s="189" t="s">
        <v>232</v>
      </c>
      <c r="F28" s="23">
        <v>43557</v>
      </c>
      <c r="G28" s="23">
        <v>43563</v>
      </c>
    </row>
    <row r="29" spans="2:7">
      <c r="B29" s="188" t="s">
        <v>151</v>
      </c>
      <c r="C29" s="188">
        <v>1</v>
      </c>
      <c r="D29" s="200" t="s">
        <v>124</v>
      </c>
      <c r="E29" s="189" t="s">
        <v>233</v>
      </c>
      <c r="F29" s="201">
        <v>43409</v>
      </c>
      <c r="G29" s="201" t="s">
        <v>153</v>
      </c>
    </row>
    <row r="30" spans="2:7">
      <c r="B30" s="252" t="s">
        <v>199</v>
      </c>
      <c r="C30" s="252">
        <v>6</v>
      </c>
      <c r="D30" s="18" t="s">
        <v>161</v>
      </c>
      <c r="E30" s="189" t="s">
        <v>122</v>
      </c>
      <c r="F30" s="19">
        <v>43427</v>
      </c>
      <c r="G30" s="19" t="s">
        <v>127</v>
      </c>
    </row>
    <row r="31" spans="2:7">
      <c r="B31" s="252"/>
      <c r="C31" s="252"/>
      <c r="D31" s="18" t="s">
        <v>196</v>
      </c>
      <c r="E31" s="189" t="s">
        <v>122</v>
      </c>
      <c r="F31" s="19">
        <v>43560</v>
      </c>
      <c r="G31" s="19">
        <v>43646</v>
      </c>
    </row>
    <row r="32" spans="2:7">
      <c r="B32" s="252"/>
      <c r="C32" s="252"/>
      <c r="D32" s="18" t="s">
        <v>197</v>
      </c>
      <c r="E32" s="189" t="s">
        <v>122</v>
      </c>
      <c r="F32" s="19">
        <v>43590</v>
      </c>
      <c r="G32" s="19" t="s">
        <v>127</v>
      </c>
    </row>
    <row r="33" spans="2:7">
      <c r="B33" s="252"/>
      <c r="C33" s="252"/>
      <c r="D33" s="18" t="s">
        <v>198</v>
      </c>
      <c r="E33" s="189" t="s">
        <v>122</v>
      </c>
      <c r="F33" s="19">
        <v>43585</v>
      </c>
      <c r="G33" s="19" t="s">
        <v>127</v>
      </c>
    </row>
    <row r="34" spans="2:7">
      <c r="B34" s="252"/>
      <c r="C34" s="252"/>
      <c r="D34" s="18" t="s">
        <v>158</v>
      </c>
      <c r="E34" s="189" t="s">
        <v>122</v>
      </c>
      <c r="F34" s="19">
        <v>43523</v>
      </c>
      <c r="G34" s="19" t="s">
        <v>159</v>
      </c>
    </row>
    <row r="35" spans="2:7">
      <c r="B35" s="252"/>
      <c r="C35" s="252"/>
      <c r="D35" s="18" t="s">
        <v>160</v>
      </c>
      <c r="E35" s="189" t="s">
        <v>122</v>
      </c>
      <c r="F35" s="19">
        <v>43524</v>
      </c>
      <c r="G35" s="19" t="s">
        <v>159</v>
      </c>
    </row>
    <row r="36" spans="2:7">
      <c r="B36" s="252" t="s">
        <v>217</v>
      </c>
      <c r="C36" s="253">
        <v>2</v>
      </c>
      <c r="D36" s="24" t="s">
        <v>154</v>
      </c>
      <c r="E36" s="189" t="s">
        <v>122</v>
      </c>
      <c r="F36" s="21">
        <v>43424</v>
      </c>
      <c r="G36" s="21">
        <v>43637</v>
      </c>
    </row>
    <row r="37" spans="2:7">
      <c r="B37" s="252"/>
      <c r="C37" s="253"/>
      <c r="D37" s="24" t="s">
        <v>216</v>
      </c>
      <c r="E37" s="189" t="s">
        <v>120</v>
      </c>
      <c r="F37" s="23">
        <v>43572</v>
      </c>
      <c r="G37" s="23">
        <v>43595</v>
      </c>
    </row>
  </sheetData>
  <autoFilter ref="B2:G37"/>
  <mergeCells count="12">
    <mergeCell ref="C3:C13"/>
    <mergeCell ref="C26:C28"/>
    <mergeCell ref="C36:C37"/>
    <mergeCell ref="B3:B13"/>
    <mergeCell ref="B26:B28"/>
    <mergeCell ref="C30:C35"/>
    <mergeCell ref="B30:B35"/>
    <mergeCell ref="B14:B17"/>
    <mergeCell ref="C14:C17"/>
    <mergeCell ref="B36:B37"/>
    <mergeCell ref="B19:B25"/>
    <mergeCell ref="C19:C25"/>
  </mergeCells>
  <phoneticPr fontId="47" type="noConversion"/>
  <dataValidations count="4">
    <dataValidation showInputMessage="1" showErrorMessage="1" sqref="F10:G13 F3:G5"/>
    <dataValidation type="list" allowBlank="1" showInputMessage="1" showErrorMessage="1" sqref="B3:B30">
      <formula1>"金融教育事业部,专业建设事业部,智慧教育事业部,K12事业部,智慧教学事业部（赛名师）,智慧教学事业部（诊改）,智慧教学事业部（VR）,产教融合创新事业部"</formula1>
    </dataValidation>
    <dataValidation type="list" allowBlank="1" showInputMessage="1" showErrorMessage="1" sqref="B36:B37">
      <formula1>"金融教育事业部,专业建设事业部,智慧教育事业部,K12事业部,智慧教学事业部（赛名师）,智慧教学事业部（诊改）,智慧教学事业部（VR）,产教融合创新事业部,国素教育"</formula1>
    </dataValidation>
    <dataValidation type="list" allowBlank="1" showInputMessage="1" showErrorMessage="1" sqref="E3:E37">
      <formula1>"大型,普通,微型,任务型,运维型,'--"</formula1>
    </dataValidation>
  </dataValidations>
  <pageMargins left="0.69930555555555596" right="0.69930555555555596" top="0.75" bottom="0.75" header="0.3" footer="0.3"/>
  <pageSetup paperSize="9" orientation="portrait" horizontalDpi="180" verticalDpi="18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showGridLines="0" workbookViewId="0">
      <selection activeCell="F20" sqref="F20"/>
    </sheetView>
  </sheetViews>
  <sheetFormatPr defaultRowHeight="13.5"/>
  <cols>
    <col min="2" max="2" width="18.375" customWidth="1"/>
    <col min="3" max="3" width="40.625" customWidth="1"/>
    <col min="4" max="4" width="14.875" customWidth="1"/>
  </cols>
  <sheetData>
    <row r="2" spans="2:4" ht="16.5">
      <c r="B2" s="25" t="s">
        <v>241</v>
      </c>
      <c r="C2" s="25" t="s">
        <v>44</v>
      </c>
      <c r="D2" s="25" t="s">
        <v>236</v>
      </c>
    </row>
    <row r="3" spans="2:4">
      <c r="B3" s="18" t="s">
        <v>240</v>
      </c>
      <c r="C3" s="18" t="s">
        <v>163</v>
      </c>
      <c r="D3" s="18" t="s">
        <v>239</v>
      </c>
    </row>
    <row r="4" spans="2:4">
      <c r="B4" s="18" t="s">
        <v>240</v>
      </c>
      <c r="C4" s="18" t="s">
        <v>164</v>
      </c>
      <c r="D4" s="18" t="s">
        <v>239</v>
      </c>
    </row>
    <row r="5" spans="2:4">
      <c r="B5" s="18" t="s">
        <v>240</v>
      </c>
      <c r="C5" s="155" t="s">
        <v>165</v>
      </c>
      <c r="D5" s="18" t="s">
        <v>237</v>
      </c>
    </row>
    <row r="6" spans="2:4">
      <c r="B6" s="18" t="s">
        <v>240</v>
      </c>
      <c r="C6" s="18" t="s">
        <v>175</v>
      </c>
      <c r="D6" s="18" t="s">
        <v>238</v>
      </c>
    </row>
    <row r="7" spans="2:4">
      <c r="B7" s="18" t="s">
        <v>242</v>
      </c>
      <c r="C7" s="18" t="s">
        <v>210</v>
      </c>
      <c r="D7" s="18" t="s">
        <v>239</v>
      </c>
    </row>
    <row r="8" spans="2:4">
      <c r="B8" s="18" t="s">
        <v>243</v>
      </c>
      <c r="C8" s="18" t="s">
        <v>219</v>
      </c>
      <c r="D8" s="18" t="s">
        <v>239</v>
      </c>
    </row>
    <row r="9" spans="2:4">
      <c r="B9" s="18" t="s">
        <v>244</v>
      </c>
      <c r="C9" s="18" t="s">
        <v>218</v>
      </c>
      <c r="D9" s="18" t="s">
        <v>239</v>
      </c>
    </row>
  </sheetData>
  <phoneticPr fontId="47" type="noConversion"/>
  <dataValidations count="1">
    <dataValidation type="list" allowBlank="1" showInputMessage="1" showErrorMessage="1" sqref="D3:D9">
      <formula1>"产品设计缺陷,取错代码包,安装部署问题,客户环境问题,操作不当问题,数据问题,账号问题,软件遗留缺陷,配置问题,需求"</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7" workbookViewId="0">
      <selection activeCell="D25" sqref="D25"/>
    </sheetView>
  </sheetViews>
  <sheetFormatPr defaultColWidth="9" defaultRowHeight="13.5"/>
  <cols>
    <col min="1" max="1" width="22.75" customWidth="1"/>
    <col min="2" max="2" width="78.25" customWidth="1"/>
    <col min="3" max="3" width="20.375" customWidth="1"/>
    <col min="4" max="4" width="14.75" customWidth="1"/>
  </cols>
  <sheetData>
    <row r="1" spans="1:4" ht="21">
      <c r="A1" s="255" t="s">
        <v>128</v>
      </c>
      <c r="B1" s="256"/>
      <c r="C1" s="256"/>
      <c r="D1" s="257"/>
    </row>
    <row r="2" spans="1:4" ht="14.25">
      <c r="A2" s="1" t="s">
        <v>129</v>
      </c>
      <c r="B2" s="2">
        <v>0</v>
      </c>
      <c r="C2" s="3" t="s">
        <v>130</v>
      </c>
      <c r="D2" s="4" t="s">
        <v>99</v>
      </c>
    </row>
    <row r="3" spans="1:4" ht="128.25">
      <c r="A3" s="5" t="s">
        <v>131</v>
      </c>
      <c r="B3" s="6" t="s">
        <v>132</v>
      </c>
      <c r="C3" s="7" t="s">
        <v>133</v>
      </c>
      <c r="D3" s="8"/>
    </row>
    <row r="4" spans="1:4" ht="185.25">
      <c r="A4" s="5" t="s">
        <v>134</v>
      </c>
      <c r="B4" s="6" t="s">
        <v>135</v>
      </c>
      <c r="C4" s="7"/>
      <c r="D4" s="8"/>
    </row>
    <row r="5" spans="1:4" ht="71.25">
      <c r="A5" s="5" t="s">
        <v>136</v>
      </c>
      <c r="B5" s="6" t="s">
        <v>137</v>
      </c>
      <c r="C5" s="7"/>
      <c r="D5" s="8"/>
    </row>
    <row r="6" spans="1:4" ht="114" customHeight="1">
      <c r="A6" s="5" t="s">
        <v>138</v>
      </c>
      <c r="B6" s="9" t="s">
        <v>139</v>
      </c>
      <c r="C6" s="7"/>
      <c r="D6" s="8"/>
    </row>
    <row r="7" spans="1:4" ht="60.75" customHeight="1">
      <c r="A7" s="5" t="s">
        <v>140</v>
      </c>
      <c r="B7" s="6" t="s">
        <v>141</v>
      </c>
      <c r="C7" s="6"/>
      <c r="D7" s="6"/>
    </row>
    <row r="8" spans="1:4" ht="34.5" customHeight="1">
      <c r="A8" s="10" t="s">
        <v>142</v>
      </c>
      <c r="B8" s="6" t="s">
        <v>143</v>
      </c>
      <c r="C8" s="6"/>
      <c r="D8" s="6"/>
    </row>
    <row r="9" spans="1:4">
      <c r="A9" s="258"/>
      <c r="B9" s="259"/>
      <c r="C9" s="259"/>
      <c r="D9" s="259"/>
    </row>
    <row r="10" spans="1:4">
      <c r="A10" s="11"/>
      <c r="B10" s="260"/>
      <c r="C10" s="260"/>
      <c r="D10" s="260"/>
    </row>
    <row r="11" spans="1:4">
      <c r="A11" s="11"/>
      <c r="B11" s="260"/>
      <c r="C11" s="260"/>
      <c r="D11" s="260"/>
    </row>
    <row r="12" spans="1:4">
      <c r="A12" s="11"/>
      <c r="B12" s="260"/>
      <c r="C12" s="260"/>
      <c r="D12" s="260"/>
    </row>
    <row r="13" spans="1:4" ht="13.5" customHeight="1">
      <c r="A13" s="11"/>
      <c r="B13" s="12"/>
      <c r="C13" s="13"/>
      <c r="D13" s="13"/>
    </row>
    <row r="14" spans="1:4">
      <c r="A14" s="14"/>
      <c r="B14" s="15"/>
      <c r="C14" s="15"/>
      <c r="D14" s="15"/>
    </row>
  </sheetData>
  <mergeCells count="5">
    <mergeCell ref="A1:D1"/>
    <mergeCell ref="A9:D9"/>
    <mergeCell ref="B10:D10"/>
    <mergeCell ref="B11:D11"/>
    <mergeCell ref="B12:D12"/>
  </mergeCells>
  <phoneticPr fontId="47" type="noConversion"/>
  <pageMargins left="0.69930555555555596" right="0.69930555555555596" top="0.75" bottom="0.75" header="0.3" footer="0.3"/>
  <pageSetup paperSize="9" orientation="portrait" horizont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结项项目得分及评价</vt:lpstr>
      <vt:lpstr>研发中心当月结项项目质量评定明细表</vt:lpstr>
      <vt:lpstr>研发中心当月结项项目质量评定明细表（敏捷项目）</vt:lpstr>
      <vt:lpstr>结项项目测试质量及效率</vt:lpstr>
      <vt:lpstr>结项项目红黑榜</vt:lpstr>
      <vt:lpstr>测试当月对接在研项目明细表</vt:lpstr>
      <vt:lpstr>测试当月结项运维项目明细表</vt:lpstr>
      <vt:lpstr>评分标准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2015-06-04T09:45:00Z</dcterms:created>
  <dcterms:modified xsi:type="dcterms:W3CDTF">2019-05-06T07:03:12Z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