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I218" i="1" l="1"/>
  <c r="R218" i="1"/>
  <c r="E218" i="1"/>
  <c r="F218" i="1" s="1"/>
  <c r="L218" i="1"/>
  <c r="N218" i="1" l="1"/>
  <c r="O218" i="1" s="1"/>
  <c r="T218" i="1" s="1"/>
  <c r="R214" i="1"/>
  <c r="I214" i="1"/>
  <c r="E214" i="1"/>
  <c r="F214" i="1" s="1"/>
  <c r="R213" i="1"/>
  <c r="I213" i="1"/>
  <c r="E213" i="1"/>
  <c r="F213" i="1" s="1"/>
  <c r="R212" i="1"/>
  <c r="I212" i="1"/>
  <c r="E212" i="1"/>
  <c r="F212" i="1" s="1"/>
  <c r="U218" i="1"/>
  <c r="P212" i="1"/>
  <c r="V218" i="1"/>
  <c r="P213" i="1"/>
  <c r="P214" i="1"/>
  <c r="G213" i="1" l="1"/>
  <c r="G214" i="1"/>
  <c r="G212" i="1"/>
  <c r="N213" i="1"/>
  <c r="N214" i="1"/>
  <c r="N212" i="1"/>
  <c r="R210" i="1"/>
  <c r="I210" i="1"/>
  <c r="E210" i="1"/>
  <c r="F210" i="1" s="1"/>
  <c r="R209" i="1"/>
  <c r="I209" i="1"/>
  <c r="E209" i="1"/>
  <c r="F209" i="1" s="1"/>
  <c r="U212" i="1"/>
  <c r="L212" i="1"/>
  <c r="L213" i="1"/>
  <c r="P210" i="1"/>
  <c r="U214" i="1"/>
  <c r="L214" i="1"/>
  <c r="V212" i="1"/>
  <c r="U213" i="1"/>
  <c r="V213" i="1"/>
  <c r="P209" i="1"/>
  <c r="V214" i="1"/>
  <c r="O213" i="1" l="1"/>
  <c r="T213" i="1" s="1"/>
  <c r="O212" i="1"/>
  <c r="T212" i="1" s="1"/>
  <c r="O214" i="1"/>
  <c r="T214" i="1" s="1"/>
  <c r="G209" i="1"/>
  <c r="G210" i="1"/>
  <c r="N210" i="1"/>
  <c r="N209" i="1"/>
  <c r="R207" i="1"/>
  <c r="I207" i="1"/>
  <c r="E207" i="1"/>
  <c r="F207" i="1" s="1"/>
  <c r="R206" i="1"/>
  <c r="I206" i="1"/>
  <c r="E206" i="1"/>
  <c r="F206" i="1" s="1"/>
  <c r="R205" i="1"/>
  <c r="I205" i="1"/>
  <c r="E205" i="1"/>
  <c r="F205" i="1" s="1"/>
  <c r="U209" i="1"/>
  <c r="L209" i="1"/>
  <c r="V209" i="1"/>
  <c r="V210" i="1"/>
  <c r="U210" i="1"/>
  <c r="L210" i="1"/>
  <c r="L206" i="1"/>
  <c r="L207" i="1"/>
  <c r="V205" i="1"/>
  <c r="O210" i="1" l="1"/>
  <c r="T210" i="1" s="1"/>
  <c r="O209" i="1"/>
  <c r="T209" i="1" s="1"/>
  <c r="N207" i="1"/>
  <c r="O207" i="1" s="1"/>
  <c r="T207" i="1" s="1"/>
  <c r="N206" i="1"/>
  <c r="O206" i="1" s="1"/>
  <c r="T206" i="1" s="1"/>
  <c r="N205" i="1"/>
  <c r="R203" i="1"/>
  <c r="I203" i="1"/>
  <c r="E203" i="1"/>
  <c r="F203" i="1" s="1"/>
  <c r="U205" i="1"/>
  <c r="V207" i="1"/>
  <c r="U206" i="1"/>
  <c r="L205" i="1"/>
  <c r="U207" i="1"/>
  <c r="V206" i="1"/>
  <c r="U203" i="1"/>
  <c r="O205" i="1" l="1"/>
  <c r="T205" i="1" s="1"/>
  <c r="N203" i="1"/>
  <c r="L203" i="1"/>
  <c r="V203" i="1"/>
  <c r="O203" i="1" l="1"/>
  <c r="T203" i="1" s="1"/>
  <c r="N95" i="2"/>
  <c r="I95" i="2"/>
  <c r="P112" i="9"/>
  <c r="P113" i="9"/>
  <c r="E201" i="1" l="1"/>
  <c r="F201" i="1" s="1"/>
  <c r="R201" i="1"/>
  <c r="I201" i="1"/>
  <c r="S97" i="2"/>
  <c r="S95" i="2"/>
  <c r="P189" i="1"/>
  <c r="L201" i="1"/>
  <c r="N201" i="1" l="1"/>
  <c r="O201" i="1" s="1"/>
  <c r="T201" i="1" s="1"/>
  <c r="R199" i="1"/>
  <c r="I199" i="1"/>
  <c r="F199" i="1"/>
  <c r="F198" i="1"/>
  <c r="F197" i="1"/>
  <c r="R198" i="1"/>
  <c r="I198" i="1"/>
  <c r="R197" i="1"/>
  <c r="I197" i="1"/>
  <c r="R196" i="1"/>
  <c r="I196" i="1"/>
  <c r="F196" i="1"/>
  <c r="R194" i="1"/>
  <c r="I194" i="1"/>
  <c r="E194" i="1"/>
  <c r="F194" i="1" s="1"/>
  <c r="P198" i="1"/>
  <c r="U201" i="1"/>
  <c r="P196" i="1"/>
  <c r="P199" i="1"/>
  <c r="V201" i="1"/>
  <c r="V194" i="1"/>
  <c r="P197" i="1"/>
  <c r="L198" i="1"/>
  <c r="G199" i="1" l="1"/>
  <c r="N199" i="1"/>
  <c r="N198" i="1"/>
  <c r="O198" i="1" s="1"/>
  <c r="T198" i="1" s="1"/>
  <c r="N196" i="1"/>
  <c r="N197" i="1"/>
  <c r="N194" i="1"/>
  <c r="R192" i="1"/>
  <c r="I192" i="1"/>
  <c r="N192" i="1" s="1"/>
  <c r="E192" i="1"/>
  <c r="F192" i="1" s="1"/>
  <c r="R191" i="1"/>
  <c r="I191" i="1"/>
  <c r="N191" i="1" s="1"/>
  <c r="E191" i="1"/>
  <c r="F191" i="1" s="1"/>
  <c r="U196" i="1"/>
  <c r="V197" i="1"/>
  <c r="L197" i="1"/>
  <c r="V198" i="1"/>
  <c r="U197" i="1"/>
  <c r="L196" i="1"/>
  <c r="V196" i="1"/>
  <c r="U199" i="1"/>
  <c r="V199" i="1"/>
  <c r="L199" i="1"/>
  <c r="U194" i="1"/>
  <c r="U198" i="1"/>
  <c r="L194" i="1"/>
  <c r="L191" i="1"/>
  <c r="L192" i="1"/>
  <c r="O197" i="1" l="1"/>
  <c r="T197" i="1" s="1"/>
  <c r="O196" i="1"/>
  <c r="T196" i="1" s="1"/>
  <c r="O199" i="1"/>
  <c r="T199" i="1" s="1"/>
  <c r="O194" i="1"/>
  <c r="T194" i="1" s="1"/>
  <c r="O191" i="1"/>
  <c r="T191" i="1" s="1"/>
  <c r="O192" i="1"/>
  <c r="T192" i="1" s="1"/>
  <c r="R189" i="1"/>
  <c r="I189" i="1"/>
  <c r="N189" i="1" s="1"/>
  <c r="E189" i="1"/>
  <c r="F189" i="1" s="1"/>
  <c r="V191" i="1"/>
  <c r="U191" i="1"/>
  <c r="U192" i="1"/>
  <c r="V192" i="1"/>
  <c r="U189" i="1"/>
  <c r="R188" i="1" l="1"/>
  <c r="I188" i="1"/>
  <c r="N188" i="1" s="1"/>
  <c r="E188" i="1"/>
  <c r="F188" i="1" s="1"/>
  <c r="R186" i="1"/>
  <c r="I186" i="1"/>
  <c r="N186" i="1" s="1"/>
  <c r="E186" i="1"/>
  <c r="F186" i="1" s="1"/>
  <c r="R184" i="1"/>
  <c r="I184" i="1"/>
  <c r="E184" i="1"/>
  <c r="F184" i="1" s="1"/>
  <c r="R183" i="1"/>
  <c r="I183" i="1"/>
  <c r="E183" i="1"/>
  <c r="F183" i="1" s="1"/>
  <c r="I181" i="1"/>
  <c r="I180" i="1"/>
  <c r="R181" i="1"/>
  <c r="E181" i="1"/>
  <c r="F181" i="1" s="1"/>
  <c r="R180" i="1"/>
  <c r="E180" i="1"/>
  <c r="F180" i="1" s="1"/>
  <c r="P183" i="1"/>
  <c r="V188" i="1"/>
  <c r="V189" i="1"/>
  <c r="V186" i="1"/>
  <c r="P184" i="1"/>
  <c r="P180" i="1"/>
  <c r="L189" i="1"/>
  <c r="P181" i="1"/>
  <c r="V181" i="1"/>
  <c r="O189" i="1" l="1"/>
  <c r="T189" i="1" s="1"/>
  <c r="G184" i="1"/>
  <c r="N184" i="1"/>
  <c r="N183" i="1"/>
  <c r="N181" i="1"/>
  <c r="N180" i="1"/>
  <c r="U183" i="1"/>
  <c r="L183" i="1"/>
  <c r="L186" i="1"/>
  <c r="U186" i="1"/>
  <c r="U184" i="1"/>
  <c r="U181" i="1"/>
  <c r="V180" i="1"/>
  <c r="V184" i="1"/>
  <c r="V183" i="1"/>
  <c r="L181" i="1"/>
  <c r="U188" i="1"/>
  <c r="U180" i="1"/>
  <c r="L184" i="1"/>
  <c r="L180" i="1"/>
  <c r="L188" i="1"/>
  <c r="O180" i="1" l="1"/>
  <c r="T180" i="1" s="1"/>
  <c r="O188" i="1"/>
  <c r="T188" i="1" s="1"/>
  <c r="O186" i="1"/>
  <c r="T186" i="1" s="1"/>
  <c r="O184" i="1"/>
  <c r="T184" i="1" s="1"/>
  <c r="O183" i="1"/>
  <c r="T183" i="1" s="1"/>
  <c r="O181" i="1"/>
  <c r="T181" i="1" s="1"/>
  <c r="I178" i="1" l="1"/>
  <c r="N178" i="1" s="1"/>
  <c r="R178" i="1"/>
  <c r="E178" i="1"/>
  <c r="F178" i="1" s="1"/>
  <c r="L178" i="1"/>
  <c r="O178" i="1" l="1"/>
  <c r="T178" i="1" s="1"/>
  <c r="R176" i="1"/>
  <c r="I176" i="1"/>
  <c r="N176" i="1" s="1"/>
  <c r="E176" i="1"/>
  <c r="F176" i="1" s="1"/>
  <c r="R175" i="1"/>
  <c r="I175" i="1"/>
  <c r="N175" i="1" s="1"/>
  <c r="E175" i="1"/>
  <c r="F175" i="1" s="1"/>
  <c r="R174" i="1"/>
  <c r="I174" i="1"/>
  <c r="N174" i="1" s="1"/>
  <c r="E174" i="1"/>
  <c r="F174" i="1" s="1"/>
  <c r="R173" i="1"/>
  <c r="I173" i="1"/>
  <c r="N173" i="1" s="1"/>
  <c r="E173" i="1"/>
  <c r="F173" i="1" s="1"/>
  <c r="U178" i="1"/>
  <c r="V178" i="1"/>
  <c r="V176" i="1"/>
  <c r="U173" i="1"/>
  <c r="L173" i="1"/>
  <c r="U174" i="1"/>
  <c r="L175" i="1"/>
  <c r="O175" i="1" l="1"/>
  <c r="T175" i="1" s="1"/>
  <c r="O173" i="1"/>
  <c r="T173" i="1" s="1"/>
  <c r="E112" i="9"/>
  <c r="E113" i="9" s="1"/>
  <c r="E114" i="9" s="1"/>
  <c r="E108" i="9"/>
  <c r="F108" i="9" s="1"/>
  <c r="F109" i="9" s="1"/>
  <c r="F110" i="9" s="1"/>
  <c r="E104" i="9"/>
  <c r="E105" i="9" s="1"/>
  <c r="E106" i="9" s="1"/>
  <c r="E100" i="9"/>
  <c r="E101" i="9" s="1"/>
  <c r="E102" i="9" s="1"/>
  <c r="G114" i="9"/>
  <c r="R113" i="9"/>
  <c r="P114" i="9"/>
  <c r="H113" i="9"/>
  <c r="I113" i="9" s="1"/>
  <c r="I114" i="9" s="1"/>
  <c r="R112" i="9"/>
  <c r="I112" i="9"/>
  <c r="G110" i="9"/>
  <c r="R109" i="9"/>
  <c r="P109" i="9"/>
  <c r="P110" i="9" s="1"/>
  <c r="H109" i="9"/>
  <c r="I109" i="9" s="1"/>
  <c r="I110" i="9" s="1"/>
  <c r="R108" i="9"/>
  <c r="I108" i="9"/>
  <c r="G106" i="9"/>
  <c r="R105" i="9"/>
  <c r="P105" i="9"/>
  <c r="P106" i="9" s="1"/>
  <c r="H105" i="9"/>
  <c r="I105" i="9" s="1"/>
  <c r="I106" i="9" s="1"/>
  <c r="R104" i="9"/>
  <c r="I104" i="9"/>
  <c r="H102" i="9"/>
  <c r="G102" i="9"/>
  <c r="R101" i="9"/>
  <c r="P101" i="9"/>
  <c r="P102" i="9" s="1"/>
  <c r="I101" i="9"/>
  <c r="I102" i="9" s="1"/>
  <c r="R100" i="9"/>
  <c r="I100" i="9"/>
  <c r="R171" i="1"/>
  <c r="I171" i="1"/>
  <c r="N171" i="1" s="1"/>
  <c r="E171" i="1"/>
  <c r="F171" i="1" s="1"/>
  <c r="R170" i="1"/>
  <c r="I170" i="1"/>
  <c r="N170" i="1" s="1"/>
  <c r="E170" i="1"/>
  <c r="F170" i="1" s="1"/>
  <c r="R169" i="1"/>
  <c r="I169" i="1"/>
  <c r="E169" i="1"/>
  <c r="F169" i="1" s="1"/>
  <c r="R168" i="1"/>
  <c r="I168" i="1"/>
  <c r="E168" i="1"/>
  <c r="F168" i="1" s="1"/>
  <c r="R166" i="1"/>
  <c r="I166" i="1"/>
  <c r="E166" i="1"/>
  <c r="F166" i="1" s="1"/>
  <c r="R165" i="1"/>
  <c r="I165" i="1"/>
  <c r="E165" i="1"/>
  <c r="F165" i="1" s="1"/>
  <c r="R163" i="1"/>
  <c r="I163" i="1"/>
  <c r="E163" i="1"/>
  <c r="F163" i="1" s="1"/>
  <c r="R162" i="1"/>
  <c r="I162" i="1"/>
  <c r="E162" i="1"/>
  <c r="F162" i="1" s="1"/>
  <c r="E160" i="1"/>
  <c r="F160" i="1" s="1"/>
  <c r="E159" i="1"/>
  <c r="F159" i="1" s="1"/>
  <c r="R160" i="1"/>
  <c r="I160" i="1"/>
  <c r="R159" i="1"/>
  <c r="I159" i="1"/>
  <c r="V173" i="1"/>
  <c r="V175" i="1"/>
  <c r="U175" i="1"/>
  <c r="P166" i="1"/>
  <c r="L101" i="9"/>
  <c r="P163" i="1"/>
  <c r="P162" i="1"/>
  <c r="P165" i="1"/>
  <c r="V174" i="1"/>
  <c r="P160" i="1"/>
  <c r="L100" i="9"/>
  <c r="P159" i="1"/>
  <c r="L176" i="1"/>
  <c r="V112" i="9"/>
  <c r="U108" i="9"/>
  <c r="U176" i="1"/>
  <c r="L168" i="1"/>
  <c r="L104" i="9"/>
  <c r="L174" i="1"/>
  <c r="L170" i="1"/>
  <c r="L109" i="9"/>
  <c r="L113" i="9"/>
  <c r="V105" i="9"/>
  <c r="L165" i="1"/>
  <c r="L171" i="1"/>
  <c r="V169" i="1"/>
  <c r="O174" i="1" l="1"/>
  <c r="T174" i="1" s="1"/>
  <c r="H114" i="9"/>
  <c r="O176" i="1"/>
  <c r="T176" i="1" s="1"/>
  <c r="E109" i="9"/>
  <c r="E110" i="9" s="1"/>
  <c r="N110" i="9"/>
  <c r="N102" i="9"/>
  <c r="F112" i="9"/>
  <c r="F113" i="9" s="1"/>
  <c r="F114" i="9" s="1"/>
  <c r="F104" i="9"/>
  <c r="F105" i="9" s="1"/>
  <c r="F106" i="9" s="1"/>
  <c r="H106" i="9"/>
  <c r="F100" i="9"/>
  <c r="F101" i="9" s="1"/>
  <c r="F102" i="9" s="1"/>
  <c r="O104" i="9"/>
  <c r="O101" i="9"/>
  <c r="L102" i="9"/>
  <c r="O109" i="9"/>
  <c r="O113" i="9"/>
  <c r="O100" i="9"/>
  <c r="N106" i="9"/>
  <c r="N114" i="9"/>
  <c r="H110" i="9"/>
  <c r="O170" i="1"/>
  <c r="T170" i="1" s="1"/>
  <c r="O171" i="1"/>
  <c r="T171" i="1" s="1"/>
  <c r="N169" i="1"/>
  <c r="N168" i="1"/>
  <c r="O168" i="1" s="1"/>
  <c r="T168" i="1" s="1"/>
  <c r="N166" i="1"/>
  <c r="N165" i="1"/>
  <c r="O165" i="1" s="1"/>
  <c r="T165" i="1" s="1"/>
  <c r="G163" i="1"/>
  <c r="G162" i="1"/>
  <c r="N163" i="1"/>
  <c r="N162" i="1"/>
  <c r="N159" i="1"/>
  <c r="N160" i="1"/>
  <c r="R157" i="1"/>
  <c r="I157" i="1"/>
  <c r="N157" i="1" s="1"/>
  <c r="F157" i="1"/>
  <c r="L166" i="1"/>
  <c r="V165" i="1"/>
  <c r="V170" i="1"/>
  <c r="U165" i="1"/>
  <c r="U169" i="1"/>
  <c r="U163" i="1"/>
  <c r="L112" i="9"/>
  <c r="V163" i="1"/>
  <c r="L162" i="1"/>
  <c r="L105" i="9"/>
  <c r="V168" i="1"/>
  <c r="U113" i="9"/>
  <c r="L160" i="1"/>
  <c r="U112" i="9"/>
  <c r="V162" i="1"/>
  <c r="V101" i="9"/>
  <c r="L108" i="9"/>
  <c r="V160" i="1"/>
  <c r="V100" i="9"/>
  <c r="U104" i="9"/>
  <c r="U105" i="9"/>
  <c r="U101" i="9"/>
  <c r="U100" i="9"/>
  <c r="U160" i="1"/>
  <c r="V104" i="9"/>
  <c r="U162" i="1"/>
  <c r="V166" i="1"/>
  <c r="V113" i="9"/>
  <c r="U166" i="1"/>
  <c r="U159" i="1"/>
  <c r="V171" i="1"/>
  <c r="U109" i="9"/>
  <c r="U171" i="1"/>
  <c r="L169" i="1"/>
  <c r="V159" i="1"/>
  <c r="L159" i="1"/>
  <c r="V108" i="9"/>
  <c r="U168" i="1"/>
  <c r="L163" i="1"/>
  <c r="U170" i="1"/>
  <c r="V109" i="9"/>
  <c r="L157" i="1"/>
  <c r="O112" i="9" l="1"/>
  <c r="L114" i="9"/>
  <c r="O114" i="9" s="1"/>
  <c r="T114" i="9" s="1"/>
  <c r="O166" i="1"/>
  <c r="T166" i="1" s="1"/>
  <c r="U110" i="9"/>
  <c r="O169" i="1"/>
  <c r="T169" i="1" s="1"/>
  <c r="V114" i="9"/>
  <c r="U102" i="9"/>
  <c r="O102" i="9"/>
  <c r="T102" i="9" s="1"/>
  <c r="U106" i="9"/>
  <c r="V106" i="9"/>
  <c r="V110" i="9"/>
  <c r="L106" i="9"/>
  <c r="O106" i="9" s="1"/>
  <c r="T106" i="9" s="1"/>
  <c r="O105" i="9"/>
  <c r="V102" i="9"/>
  <c r="U114" i="9"/>
  <c r="O108" i="9"/>
  <c r="L110" i="9"/>
  <c r="O110" i="9" s="1"/>
  <c r="T110" i="9" s="1"/>
  <c r="O162" i="1"/>
  <c r="T162" i="1" s="1"/>
  <c r="O163" i="1"/>
  <c r="T163" i="1" s="1"/>
  <c r="O160" i="1"/>
  <c r="T160" i="1" s="1"/>
  <c r="O159" i="1"/>
  <c r="T159" i="1" s="1"/>
  <c r="O157" i="1"/>
  <c r="T157" i="1" s="1"/>
  <c r="S223" i="6"/>
  <c r="S222" i="6"/>
  <c r="R155" i="1"/>
  <c r="I155" i="1"/>
  <c r="E155" i="1"/>
  <c r="F155" i="1" s="1"/>
  <c r="R154" i="1"/>
  <c r="I154" i="1"/>
  <c r="E154" i="1"/>
  <c r="F154" i="1" s="1"/>
  <c r="R153" i="1"/>
  <c r="I153" i="1"/>
  <c r="E153" i="1"/>
  <c r="F153" i="1" s="1"/>
  <c r="P155" i="1"/>
  <c r="P154" i="1"/>
  <c r="P153" i="1"/>
  <c r="V157" i="1"/>
  <c r="U157" i="1"/>
  <c r="N155" i="1" l="1"/>
  <c r="N154" i="1"/>
  <c r="N153" i="1"/>
  <c r="R152" i="1"/>
  <c r="I152" i="1"/>
  <c r="E152" i="1"/>
  <c r="F152" i="1" s="1"/>
  <c r="E150" i="1"/>
  <c r="F150" i="1" s="1"/>
  <c r="R150" i="1"/>
  <c r="I150" i="1"/>
  <c r="R148" i="1"/>
  <c r="I148" i="1"/>
  <c r="N148" i="1" s="1"/>
  <c r="F148" i="1"/>
  <c r="R147" i="1"/>
  <c r="I147" i="1"/>
  <c r="N147" i="1" s="1"/>
  <c r="F147" i="1"/>
  <c r="R146" i="1"/>
  <c r="I146" i="1"/>
  <c r="N146" i="1" s="1"/>
  <c r="F146" i="1"/>
  <c r="R145" i="1"/>
  <c r="I145" i="1"/>
  <c r="N145" i="1" s="1"/>
  <c r="F145" i="1"/>
  <c r="I84" i="9"/>
  <c r="G98" i="9"/>
  <c r="R97" i="9"/>
  <c r="P97" i="9"/>
  <c r="P98" i="9" s="1"/>
  <c r="H97" i="9"/>
  <c r="H98" i="9" s="1"/>
  <c r="E97" i="9"/>
  <c r="E98" i="9" s="1"/>
  <c r="R96" i="9"/>
  <c r="I96" i="9"/>
  <c r="F96" i="9"/>
  <c r="F97" i="9" s="1"/>
  <c r="F98" i="9" s="1"/>
  <c r="G94" i="9"/>
  <c r="R93" i="9"/>
  <c r="P93" i="9"/>
  <c r="P94" i="9" s="1"/>
  <c r="H93" i="9"/>
  <c r="H94" i="9" s="1"/>
  <c r="E93" i="9"/>
  <c r="E94" i="9" s="1"/>
  <c r="R92" i="9"/>
  <c r="I92" i="9"/>
  <c r="F92" i="9"/>
  <c r="F93" i="9" s="1"/>
  <c r="F94" i="9" s="1"/>
  <c r="G90" i="9"/>
  <c r="R89" i="9"/>
  <c r="P89" i="9"/>
  <c r="P90" i="9" s="1"/>
  <c r="H89" i="9"/>
  <c r="H90" i="9" s="1"/>
  <c r="E89" i="9"/>
  <c r="E90" i="9" s="1"/>
  <c r="R88" i="9"/>
  <c r="I88" i="9"/>
  <c r="F88" i="9"/>
  <c r="F89" i="9" s="1"/>
  <c r="F90" i="9" s="1"/>
  <c r="G86" i="9"/>
  <c r="R85" i="9"/>
  <c r="P85" i="9"/>
  <c r="P86" i="9" s="1"/>
  <c r="H85" i="9"/>
  <c r="I85" i="9" s="1"/>
  <c r="I86" i="9" s="1"/>
  <c r="E85" i="9"/>
  <c r="E86" i="9" s="1"/>
  <c r="R84" i="9"/>
  <c r="F84" i="9"/>
  <c r="F85" i="9" s="1"/>
  <c r="F86" i="9" s="1"/>
  <c r="G82" i="9"/>
  <c r="R81" i="9"/>
  <c r="P81" i="9"/>
  <c r="P82" i="9" s="1"/>
  <c r="H81" i="9"/>
  <c r="I81" i="9" s="1"/>
  <c r="I82" i="9" s="1"/>
  <c r="R80" i="9"/>
  <c r="I80" i="9"/>
  <c r="E80" i="9"/>
  <c r="E81" i="9" s="1"/>
  <c r="E82" i="9" s="1"/>
  <c r="R77" i="9"/>
  <c r="J77" i="9"/>
  <c r="H77" i="9"/>
  <c r="H78" i="9" s="1"/>
  <c r="R76" i="9"/>
  <c r="I76" i="9"/>
  <c r="E76" i="9"/>
  <c r="E77" i="9" s="1"/>
  <c r="E78" i="9" s="1"/>
  <c r="R73" i="9"/>
  <c r="J73" i="9"/>
  <c r="H73" i="9"/>
  <c r="H74" i="9" s="1"/>
  <c r="D73" i="9"/>
  <c r="D74" i="9" s="1"/>
  <c r="R72" i="9"/>
  <c r="I72" i="9"/>
  <c r="E72" i="9"/>
  <c r="E73" i="9" s="1"/>
  <c r="E74" i="9" s="1"/>
  <c r="U155" i="1"/>
  <c r="P150" i="1"/>
  <c r="U84" i="9"/>
  <c r="L155" i="1"/>
  <c r="V80" i="9"/>
  <c r="U80" i="9"/>
  <c r="V154" i="1"/>
  <c r="U153" i="1"/>
  <c r="L153" i="1"/>
  <c r="V84" i="9"/>
  <c r="L148" i="1"/>
  <c r="V153" i="1"/>
  <c r="P72" i="9"/>
  <c r="L92" i="9"/>
  <c r="P76" i="9"/>
  <c r="L147" i="1"/>
  <c r="L80" i="9"/>
  <c r="U154" i="1"/>
  <c r="P152" i="1"/>
  <c r="U148" i="1"/>
  <c r="L154" i="1"/>
  <c r="V155" i="1"/>
  <c r="L96" i="9"/>
  <c r="U145" i="1"/>
  <c r="U96" i="9"/>
  <c r="L88" i="9"/>
  <c r="V145" i="1"/>
  <c r="L81" i="9"/>
  <c r="U85" i="9"/>
  <c r="V146" i="1"/>
  <c r="O155" i="1" l="1"/>
  <c r="T155" i="1" s="1"/>
  <c r="O154" i="1"/>
  <c r="T154" i="1" s="1"/>
  <c r="O153" i="1"/>
  <c r="T153" i="1" s="1"/>
  <c r="N152" i="1"/>
  <c r="N150" i="1"/>
  <c r="O148" i="1"/>
  <c r="T148" i="1" s="1"/>
  <c r="Y145" i="1"/>
  <c r="O147" i="1"/>
  <c r="T147" i="1" s="1"/>
  <c r="N82" i="9"/>
  <c r="H82" i="9"/>
  <c r="I77" i="9"/>
  <c r="I78" i="9" s="1"/>
  <c r="I93" i="9"/>
  <c r="N86" i="9"/>
  <c r="O88" i="9"/>
  <c r="O96" i="9"/>
  <c r="O92" i="9"/>
  <c r="I97" i="9"/>
  <c r="F72" i="9"/>
  <c r="F73" i="9" s="1"/>
  <c r="F74" i="9" s="1"/>
  <c r="I89" i="9"/>
  <c r="O81" i="9"/>
  <c r="L82" i="9"/>
  <c r="U86" i="9"/>
  <c r="P73" i="9"/>
  <c r="G72" i="9"/>
  <c r="O80" i="9"/>
  <c r="P77" i="9"/>
  <c r="G76" i="9"/>
  <c r="I73" i="9"/>
  <c r="I74" i="9" s="1"/>
  <c r="H86" i="9"/>
  <c r="F76" i="9"/>
  <c r="F77" i="9" s="1"/>
  <c r="F78" i="9" s="1"/>
  <c r="F80" i="9"/>
  <c r="F81" i="9" s="1"/>
  <c r="F82" i="9" s="1"/>
  <c r="V93" i="9"/>
  <c r="V147" i="1"/>
  <c r="L97" i="9"/>
  <c r="V152" i="1"/>
  <c r="U72" i="9"/>
  <c r="U76" i="9"/>
  <c r="V85" i="9"/>
  <c r="L152" i="1"/>
  <c r="V89" i="9"/>
  <c r="V97" i="9"/>
  <c r="L150" i="1"/>
  <c r="L72" i="9"/>
  <c r="U152" i="1"/>
  <c r="U150" i="1"/>
  <c r="U93" i="9"/>
  <c r="L93" i="9"/>
  <c r="V76" i="9"/>
  <c r="L145" i="1"/>
  <c r="L84" i="9"/>
  <c r="U89" i="9"/>
  <c r="L76" i="9"/>
  <c r="V148" i="1"/>
  <c r="U92" i="9"/>
  <c r="V88" i="9"/>
  <c r="U81" i="9"/>
  <c r="V92" i="9"/>
  <c r="V96" i="9"/>
  <c r="U147" i="1"/>
  <c r="V72" i="9"/>
  <c r="L146" i="1"/>
  <c r="U97" i="9"/>
  <c r="V150" i="1"/>
  <c r="U146" i="1"/>
  <c r="V81" i="9"/>
  <c r="U88" i="9"/>
  <c r="L85" i="9"/>
  <c r="L89" i="9"/>
  <c r="Y146" i="1" l="1"/>
  <c r="O146" i="1"/>
  <c r="T146" i="1" s="1"/>
  <c r="O150" i="1"/>
  <c r="T150" i="1" s="1"/>
  <c r="V86" i="9"/>
  <c r="O152" i="1"/>
  <c r="T152" i="1" s="1"/>
  <c r="O84" i="9"/>
  <c r="O82" i="9"/>
  <c r="T82" i="9" s="1"/>
  <c r="O145" i="1"/>
  <c r="T145" i="1" s="1"/>
  <c r="O93" i="9"/>
  <c r="L94" i="9"/>
  <c r="I94" i="9"/>
  <c r="N94" i="9" s="1"/>
  <c r="U98" i="9"/>
  <c r="V98" i="9"/>
  <c r="U94" i="9"/>
  <c r="L90" i="9"/>
  <c r="O89" i="9"/>
  <c r="V90" i="9"/>
  <c r="U90" i="9"/>
  <c r="O97" i="9"/>
  <c r="L98" i="9"/>
  <c r="V94" i="9"/>
  <c r="I98" i="9"/>
  <c r="N98" i="9" s="1"/>
  <c r="I90" i="9"/>
  <c r="N90" i="9" s="1"/>
  <c r="O76" i="9"/>
  <c r="L86" i="9"/>
  <c r="O86" i="9" s="1"/>
  <c r="T86" i="9" s="1"/>
  <c r="O85" i="9"/>
  <c r="V82" i="9"/>
  <c r="U82" i="9"/>
  <c r="O72" i="9"/>
  <c r="G77" i="9"/>
  <c r="G78" i="9" s="1"/>
  <c r="P78" i="9"/>
  <c r="N78" i="9" s="1"/>
  <c r="P74" i="9"/>
  <c r="N74" i="9" s="1"/>
  <c r="G73" i="9"/>
  <c r="L73" i="9"/>
  <c r="L77" i="9"/>
  <c r="V73" i="9"/>
  <c r="U73" i="9"/>
  <c r="V77" i="9"/>
  <c r="U77" i="9"/>
  <c r="O94" i="9" l="1"/>
  <c r="T94" i="9" s="1"/>
  <c r="O90" i="9"/>
  <c r="T90" i="9" s="1"/>
  <c r="O98" i="9"/>
  <c r="T98" i="9" s="1"/>
  <c r="V78" i="9"/>
  <c r="O77" i="9"/>
  <c r="L78" i="9"/>
  <c r="O78" i="9" s="1"/>
  <c r="T78" i="9" s="1"/>
  <c r="U78" i="9"/>
  <c r="O73" i="9"/>
  <c r="L74" i="9"/>
  <c r="O74" i="9" s="1"/>
  <c r="T74" i="9" s="1"/>
  <c r="V74" i="9"/>
  <c r="U74" i="9"/>
  <c r="G74" i="9"/>
  <c r="I143" i="1" l="1"/>
  <c r="R143" i="1" l="1"/>
  <c r="N143" i="1"/>
  <c r="F143" i="1"/>
  <c r="R142" i="1"/>
  <c r="I142" i="1"/>
  <c r="N142" i="1" s="1"/>
  <c r="F142" i="1"/>
  <c r="R141" i="1"/>
  <c r="I141" i="1"/>
  <c r="N141" i="1" s="1"/>
  <c r="F141" i="1"/>
  <c r="V143" i="1"/>
  <c r="U142" i="1"/>
  <c r="U141" i="1"/>
  <c r="Y141" i="1" l="1"/>
  <c r="L143" i="1"/>
  <c r="L142" i="1"/>
  <c r="L141" i="1"/>
  <c r="U143" i="1"/>
  <c r="V142" i="1"/>
  <c r="V141" i="1"/>
  <c r="O141" i="1" l="1"/>
  <c r="T141" i="1" s="1"/>
  <c r="O142" i="1"/>
  <c r="T142" i="1" s="1"/>
  <c r="O143" i="1"/>
  <c r="T143" i="1" s="1"/>
  <c r="R139" i="1"/>
  <c r="I139" i="1"/>
  <c r="E139" i="1"/>
  <c r="F139" i="1" s="1"/>
  <c r="R138" i="1"/>
  <c r="I138" i="1"/>
  <c r="E138" i="1"/>
  <c r="F138" i="1" s="1"/>
  <c r="R137" i="1"/>
  <c r="J137" i="1"/>
  <c r="J138" i="1" s="1"/>
  <c r="J139" i="1" s="1"/>
  <c r="I137" i="1"/>
  <c r="E137" i="1"/>
  <c r="F137" i="1" s="1"/>
  <c r="E135" i="1"/>
  <c r="F135" i="1" s="1"/>
  <c r="R135" i="1"/>
  <c r="J135" i="1"/>
  <c r="I135" i="1"/>
  <c r="L137" i="1"/>
  <c r="U137" i="1"/>
  <c r="L139" i="1"/>
  <c r="L135" i="1"/>
  <c r="V137" i="1"/>
  <c r="L138" i="1"/>
  <c r="Y137" i="1" l="1"/>
  <c r="N137" i="1"/>
  <c r="O137" i="1" s="1"/>
  <c r="T137" i="1" s="1"/>
  <c r="N139" i="1"/>
  <c r="O139" i="1" s="1"/>
  <c r="T139" i="1" s="1"/>
  <c r="N138" i="1"/>
  <c r="O138" i="1" s="1"/>
  <c r="T138" i="1" s="1"/>
  <c r="N135" i="1"/>
  <c r="O135" i="1" s="1"/>
  <c r="T135" i="1" s="1"/>
  <c r="I133" i="1"/>
  <c r="R133" i="1"/>
  <c r="J133" i="1"/>
  <c r="E133" i="1"/>
  <c r="F133" i="1" s="1"/>
  <c r="U139" i="1"/>
  <c r="P133" i="1"/>
  <c r="V138" i="1"/>
  <c r="V139" i="1"/>
  <c r="U138" i="1"/>
  <c r="U135" i="1"/>
  <c r="V135" i="1"/>
  <c r="Y135" i="1" l="1"/>
  <c r="N133" i="1"/>
  <c r="Q191" i="6"/>
  <c r="I191" i="6"/>
  <c r="H191" i="6"/>
  <c r="D191" i="6"/>
  <c r="E191" i="6" s="1"/>
  <c r="I131" i="1"/>
  <c r="R131" i="1"/>
  <c r="J131" i="1"/>
  <c r="E131" i="1"/>
  <c r="F131" i="1" s="1"/>
  <c r="L133" i="1"/>
  <c r="P131" i="1"/>
  <c r="U133" i="1"/>
  <c r="V133" i="1"/>
  <c r="O191" i="6"/>
  <c r="K191" i="6"/>
  <c r="Y133" i="1" l="1"/>
  <c r="O133" i="1"/>
  <c r="T133" i="1" s="1"/>
  <c r="N191" i="6"/>
  <c r="F191" i="6"/>
  <c r="M191" i="6"/>
  <c r="G131" i="1"/>
  <c r="N131" i="1"/>
  <c r="R129" i="1"/>
  <c r="J129" i="1"/>
  <c r="I129" i="1"/>
  <c r="E129" i="1"/>
  <c r="F129" i="1" s="1"/>
  <c r="P129" i="1"/>
  <c r="U131" i="1"/>
  <c r="L131" i="1"/>
  <c r="V131" i="1"/>
  <c r="O131" i="1" l="1"/>
  <c r="T131" i="1" s="1"/>
  <c r="Y131" i="1"/>
  <c r="N129" i="1"/>
  <c r="R127" i="1"/>
  <c r="J127" i="1"/>
  <c r="I127" i="1"/>
  <c r="E127" i="1"/>
  <c r="F127" i="1" s="1"/>
  <c r="I123" i="1"/>
  <c r="I125" i="1"/>
  <c r="N125" i="1" s="1"/>
  <c r="R125" i="1"/>
  <c r="J125" i="1"/>
  <c r="E125" i="1"/>
  <c r="F125" i="1" s="1"/>
  <c r="R123" i="1"/>
  <c r="J123" i="1"/>
  <c r="E123" i="1"/>
  <c r="F123" i="1" s="1"/>
  <c r="U129" i="1"/>
  <c r="P127" i="1"/>
  <c r="P123" i="1"/>
  <c r="V129" i="1"/>
  <c r="L129" i="1"/>
  <c r="V125" i="1"/>
  <c r="O129" i="1" l="1"/>
  <c r="T129" i="1" s="1"/>
  <c r="Y129" i="1"/>
  <c r="N127" i="1"/>
  <c r="N123" i="1"/>
  <c r="J119" i="1"/>
  <c r="J120" i="1" s="1"/>
  <c r="J121" i="1" s="1"/>
  <c r="R121" i="1"/>
  <c r="I121" i="1"/>
  <c r="E121" i="1"/>
  <c r="F121" i="1" s="1"/>
  <c r="R120" i="1"/>
  <c r="I120" i="1"/>
  <c r="E120" i="1"/>
  <c r="F120" i="1" s="1"/>
  <c r="R119" i="1"/>
  <c r="I119" i="1"/>
  <c r="E119" i="1"/>
  <c r="F119" i="1" s="1"/>
  <c r="R118" i="1"/>
  <c r="I118" i="1"/>
  <c r="E118" i="1"/>
  <c r="F118" i="1" s="1"/>
  <c r="R69" i="9"/>
  <c r="H69" i="9"/>
  <c r="H70" i="9" s="1"/>
  <c r="R68" i="9"/>
  <c r="I68" i="9"/>
  <c r="E68" i="9"/>
  <c r="F68" i="9" s="1"/>
  <c r="F69" i="9" s="1"/>
  <c r="F70" i="9" s="1"/>
  <c r="L123" i="1"/>
  <c r="U127" i="1"/>
  <c r="L119" i="1"/>
  <c r="L120" i="1"/>
  <c r="U123" i="1"/>
  <c r="U121" i="1"/>
  <c r="U125" i="1"/>
  <c r="L127" i="1"/>
  <c r="V127" i="1"/>
  <c r="L125" i="1"/>
  <c r="V123" i="1"/>
  <c r="L118" i="1"/>
  <c r="O123" i="1" l="1"/>
  <c r="T123" i="1" s="1"/>
  <c r="O127" i="1"/>
  <c r="T127" i="1" s="1"/>
  <c r="Y127" i="1"/>
  <c r="O125" i="1"/>
  <c r="T125" i="1" s="1"/>
  <c r="Y125" i="1"/>
  <c r="Y123" i="1"/>
  <c r="Y121" i="1"/>
  <c r="N121" i="1"/>
  <c r="N120" i="1"/>
  <c r="O120" i="1" s="1"/>
  <c r="T120" i="1" s="1"/>
  <c r="N118" i="1"/>
  <c r="O118" i="1" s="1"/>
  <c r="T118" i="1" s="1"/>
  <c r="N119" i="1"/>
  <c r="O119" i="1" s="1"/>
  <c r="T119" i="1" s="1"/>
  <c r="I69" i="9"/>
  <c r="I70" i="9" s="1"/>
  <c r="E69" i="9"/>
  <c r="E70" i="9" s="1"/>
  <c r="P69" i="9"/>
  <c r="R65" i="9"/>
  <c r="J65" i="9"/>
  <c r="H65" i="9"/>
  <c r="H66" i="9" s="1"/>
  <c r="R64" i="9"/>
  <c r="I64" i="9"/>
  <c r="E64" i="9"/>
  <c r="F64" i="9" s="1"/>
  <c r="F65" i="9" s="1"/>
  <c r="F66" i="9" s="1"/>
  <c r="H53" i="9"/>
  <c r="H54" i="9" s="1"/>
  <c r="D54" i="9"/>
  <c r="D53" i="9"/>
  <c r="L68" i="9"/>
  <c r="V121" i="1"/>
  <c r="P64" i="9"/>
  <c r="U119" i="1"/>
  <c r="U118" i="1"/>
  <c r="U68" i="9"/>
  <c r="V120" i="1"/>
  <c r="V118" i="1"/>
  <c r="V68" i="9"/>
  <c r="V119" i="1"/>
  <c r="L121" i="1"/>
  <c r="U120" i="1"/>
  <c r="Y119" i="1" l="1"/>
  <c r="Y120" i="1"/>
  <c r="O121" i="1"/>
  <c r="T121" i="1" s="1"/>
  <c r="Y118" i="1"/>
  <c r="O68" i="9"/>
  <c r="G70" i="9"/>
  <c r="P70" i="9"/>
  <c r="N70" i="9" s="1"/>
  <c r="E65" i="9"/>
  <c r="E66" i="9" s="1"/>
  <c r="I65" i="9"/>
  <c r="I66" i="9" s="1"/>
  <c r="G64" i="9"/>
  <c r="P65" i="9"/>
  <c r="L69" i="9"/>
  <c r="V69" i="9"/>
  <c r="L64" i="9"/>
  <c r="U69" i="9"/>
  <c r="V64" i="9"/>
  <c r="P52" i="9"/>
  <c r="U64" i="9"/>
  <c r="O69" i="9" l="1"/>
  <c r="L70" i="9"/>
  <c r="O70" i="9" s="1"/>
  <c r="T70" i="9" s="1"/>
  <c r="V70" i="9"/>
  <c r="U70" i="9"/>
  <c r="O64" i="9"/>
  <c r="P66" i="9"/>
  <c r="N66" i="9" s="1"/>
  <c r="G65" i="9"/>
  <c r="P53" i="9"/>
  <c r="P54" i="9" s="1"/>
  <c r="L65" i="9"/>
  <c r="U65" i="9"/>
  <c r="V65" i="9"/>
  <c r="U66" i="9" l="1"/>
  <c r="O65" i="9"/>
  <c r="L66" i="9"/>
  <c r="O66" i="9" s="1"/>
  <c r="T66" i="9" s="1"/>
  <c r="V66" i="9"/>
  <c r="G66" i="9"/>
  <c r="R116" i="1" l="1"/>
  <c r="I116" i="1"/>
  <c r="E116" i="1"/>
  <c r="F116" i="1" s="1"/>
  <c r="R115" i="1"/>
  <c r="I115" i="1"/>
  <c r="E115" i="1"/>
  <c r="F115" i="1" s="1"/>
  <c r="R114" i="1"/>
  <c r="I114" i="1"/>
  <c r="E114" i="1"/>
  <c r="F114" i="1" s="1"/>
  <c r="P114" i="1"/>
  <c r="P115" i="1"/>
  <c r="P116" i="1"/>
  <c r="N116" i="1" l="1"/>
  <c r="N114" i="1"/>
  <c r="N115" i="1"/>
  <c r="U114" i="1"/>
  <c r="V114" i="1"/>
  <c r="V115" i="1"/>
  <c r="V116" i="1"/>
  <c r="L115" i="1"/>
  <c r="L114" i="1"/>
  <c r="U116" i="1"/>
  <c r="L116" i="1"/>
  <c r="U115" i="1"/>
  <c r="O114" i="1" l="1"/>
  <c r="T114" i="1" s="1"/>
  <c r="O116" i="1"/>
  <c r="T116" i="1" s="1"/>
  <c r="O115" i="1"/>
  <c r="T115" i="1" s="1"/>
  <c r="Y116" i="1"/>
  <c r="Y114" i="1"/>
  <c r="Y115" i="1"/>
  <c r="I112" i="1" l="1"/>
  <c r="I111" i="1"/>
  <c r="R112" i="1"/>
  <c r="E112" i="1"/>
  <c r="F112" i="1" s="1"/>
  <c r="R111" i="1"/>
  <c r="E111" i="1"/>
  <c r="F111" i="1" s="1"/>
  <c r="R110" i="1"/>
  <c r="I110" i="1"/>
  <c r="E110" i="1"/>
  <c r="F110" i="1" s="1"/>
  <c r="R109" i="1"/>
  <c r="I109" i="1"/>
  <c r="E109" i="1"/>
  <c r="F109" i="1" s="1"/>
  <c r="R108" i="1"/>
  <c r="I108" i="1"/>
  <c r="E108" i="1"/>
  <c r="F108" i="1" s="1"/>
  <c r="R107" i="1"/>
  <c r="I107" i="1"/>
  <c r="E107" i="1"/>
  <c r="F107" i="1" s="1"/>
  <c r="D61" i="9"/>
  <c r="D62" i="9" s="1"/>
  <c r="R61" i="9"/>
  <c r="J61" i="9"/>
  <c r="H61" i="9"/>
  <c r="H62" i="9" s="1"/>
  <c r="R60" i="9"/>
  <c r="I60" i="9"/>
  <c r="E60" i="9"/>
  <c r="E61" i="9" s="1"/>
  <c r="E62" i="9" s="1"/>
  <c r="P107" i="1"/>
  <c r="P108" i="1"/>
  <c r="P60" i="9"/>
  <c r="P109" i="1"/>
  <c r="P111" i="1"/>
  <c r="P112" i="1"/>
  <c r="P110" i="1"/>
  <c r="L107" i="1"/>
  <c r="N111" i="1" l="1"/>
  <c r="N112" i="1"/>
  <c r="N108" i="1"/>
  <c r="N109" i="1"/>
  <c r="N110" i="1"/>
  <c r="N107" i="1"/>
  <c r="O107" i="1" s="1"/>
  <c r="T107" i="1" s="1"/>
  <c r="I61" i="9"/>
  <c r="I62" i="9" s="1"/>
  <c r="G60" i="9"/>
  <c r="P61" i="9"/>
  <c r="P62" i="9" s="1"/>
  <c r="F60" i="9"/>
  <c r="F61" i="9" s="1"/>
  <c r="F62" i="9" s="1"/>
  <c r="R104" i="1"/>
  <c r="I104" i="1"/>
  <c r="E104" i="1"/>
  <c r="F104" i="1" s="1"/>
  <c r="R102" i="1"/>
  <c r="I102" i="1"/>
  <c r="E102" i="1"/>
  <c r="F102" i="1" s="1"/>
  <c r="R101" i="1"/>
  <c r="I101" i="1"/>
  <c r="E101" i="1"/>
  <c r="F101" i="1" s="1"/>
  <c r="V111" i="1"/>
  <c r="U111" i="1"/>
  <c r="L108" i="1"/>
  <c r="V108" i="1"/>
  <c r="U110" i="1"/>
  <c r="L101" i="1"/>
  <c r="L111" i="1"/>
  <c r="V60" i="9"/>
  <c r="U60" i="9"/>
  <c r="L109" i="1"/>
  <c r="V107" i="1"/>
  <c r="U112" i="1"/>
  <c r="L110" i="1"/>
  <c r="U107" i="1"/>
  <c r="U109" i="1"/>
  <c r="U108" i="1"/>
  <c r="V109" i="1"/>
  <c r="V112" i="1"/>
  <c r="L112" i="1"/>
  <c r="L60" i="9"/>
  <c r="V110" i="1"/>
  <c r="L104" i="1"/>
  <c r="V102" i="1"/>
  <c r="Y110" i="1" l="1"/>
  <c r="O112" i="1"/>
  <c r="T112" i="1" s="1"/>
  <c r="O109" i="1"/>
  <c r="T109" i="1" s="1"/>
  <c r="Y108" i="1"/>
  <c r="O108" i="1"/>
  <c r="T108" i="1" s="1"/>
  <c r="O110" i="1"/>
  <c r="T110" i="1" s="1"/>
  <c r="Y109" i="1"/>
  <c r="Y111" i="1"/>
  <c r="Y112" i="1"/>
  <c r="O111" i="1"/>
  <c r="T111" i="1" s="1"/>
  <c r="Y107" i="1"/>
  <c r="N62" i="9"/>
  <c r="O60" i="9"/>
  <c r="G61" i="9"/>
  <c r="G62" i="9" s="1"/>
  <c r="N102" i="1"/>
  <c r="N104" i="1"/>
  <c r="O104" i="1" s="1"/>
  <c r="T104" i="1" s="1"/>
  <c r="N101" i="1"/>
  <c r="O101" i="1" s="1"/>
  <c r="T101" i="1" s="1"/>
  <c r="R99" i="1"/>
  <c r="I99" i="1"/>
  <c r="E99" i="1"/>
  <c r="F99" i="1" s="1"/>
  <c r="R98" i="1"/>
  <c r="I98" i="1"/>
  <c r="E98" i="1"/>
  <c r="F98" i="1" s="1"/>
  <c r="R97" i="1"/>
  <c r="I97" i="1"/>
  <c r="E97" i="1"/>
  <c r="F97" i="1" s="1"/>
  <c r="V61" i="9"/>
  <c r="U101" i="1"/>
  <c r="V104" i="1"/>
  <c r="L61" i="9"/>
  <c r="P97" i="1"/>
  <c r="V101" i="1"/>
  <c r="P98" i="1"/>
  <c r="P99" i="1"/>
  <c r="L102" i="1"/>
  <c r="U104" i="1"/>
  <c r="U102" i="1"/>
  <c r="U61" i="9"/>
  <c r="V97" i="1"/>
  <c r="O102" i="1" l="1"/>
  <c r="T102" i="1" s="1"/>
  <c r="V62" i="9"/>
  <c r="L62" i="9"/>
  <c r="O62" i="9" s="1"/>
  <c r="T62" i="9" s="1"/>
  <c r="O61" i="9"/>
  <c r="U62" i="9"/>
  <c r="Y101" i="1"/>
  <c r="Y104" i="1"/>
  <c r="Y102" i="1"/>
  <c r="N98" i="1"/>
  <c r="N99" i="1"/>
  <c r="N97" i="1"/>
  <c r="R95" i="1"/>
  <c r="I95" i="1"/>
  <c r="N95" i="1" s="1"/>
  <c r="E95" i="1"/>
  <c r="F95" i="1" s="1"/>
  <c r="R94" i="1"/>
  <c r="I94" i="1"/>
  <c r="N94" i="1" s="1"/>
  <c r="E94" i="1"/>
  <c r="F94" i="1" s="1"/>
  <c r="U97" i="1"/>
  <c r="L99" i="1"/>
  <c r="U98" i="1"/>
  <c r="L98" i="1"/>
  <c r="U99" i="1"/>
  <c r="V99" i="1"/>
  <c r="L97" i="1"/>
  <c r="V98" i="1"/>
  <c r="L95" i="1"/>
  <c r="L94" i="1"/>
  <c r="O99" i="1" l="1"/>
  <c r="T99" i="1" s="1"/>
  <c r="O98" i="1"/>
  <c r="T98" i="1" s="1"/>
  <c r="Y97" i="1"/>
  <c r="O97" i="1"/>
  <c r="T97" i="1" s="1"/>
  <c r="Y98" i="1"/>
  <c r="Y99" i="1"/>
  <c r="O94" i="1"/>
  <c r="T94" i="1" s="1"/>
  <c r="O95" i="1"/>
  <c r="T95" i="1" s="1"/>
  <c r="P16" i="8"/>
  <c r="V94" i="1"/>
  <c r="V95" i="1"/>
  <c r="U94" i="1"/>
  <c r="U95" i="1"/>
  <c r="Y95" i="1" l="1"/>
  <c r="Y94" i="1"/>
  <c r="R92" i="1"/>
  <c r="I92" i="1"/>
  <c r="N92" i="1" s="1"/>
  <c r="E92" i="1"/>
  <c r="F92" i="1" s="1"/>
  <c r="R91" i="1"/>
  <c r="I91" i="1"/>
  <c r="N91" i="1" s="1"/>
  <c r="E91" i="1"/>
  <c r="F91" i="1" s="1"/>
  <c r="L92" i="1"/>
  <c r="V91" i="1"/>
  <c r="O92" i="1" l="1"/>
  <c r="T92" i="1" s="1"/>
  <c r="V92" i="1"/>
  <c r="U91" i="1"/>
  <c r="L91" i="1"/>
  <c r="U92" i="1"/>
  <c r="Y92" i="1" l="1"/>
  <c r="Y91" i="1"/>
  <c r="O91" i="1"/>
  <c r="T91" i="1" s="1"/>
  <c r="G58" i="9" l="1"/>
  <c r="R57" i="9"/>
  <c r="J57" i="9"/>
  <c r="H57" i="9"/>
  <c r="I57" i="9" s="1"/>
  <c r="I58" i="9" s="1"/>
  <c r="N58" i="9" s="1"/>
  <c r="R56" i="9"/>
  <c r="I56" i="9"/>
  <c r="E56" i="9"/>
  <c r="E57" i="9" s="1"/>
  <c r="E58" i="9" s="1"/>
  <c r="L57" i="9"/>
  <c r="L56" i="9"/>
  <c r="H58" i="9" l="1"/>
  <c r="O56" i="9"/>
  <c r="O57" i="9"/>
  <c r="L58" i="9"/>
  <c r="O58" i="9" s="1"/>
  <c r="T58" i="9" s="1"/>
  <c r="F56" i="9"/>
  <c r="F57" i="9" s="1"/>
  <c r="F58" i="9" s="1"/>
  <c r="U56" i="9"/>
  <c r="V56" i="9"/>
  <c r="U57" i="9"/>
  <c r="V57" i="9"/>
  <c r="V58" i="9" l="1"/>
  <c r="U58" i="9"/>
  <c r="R89" i="1" l="1"/>
  <c r="I89" i="1"/>
  <c r="E89" i="1"/>
  <c r="F89" i="1" s="1"/>
  <c r="R88" i="1"/>
  <c r="I88" i="1"/>
  <c r="E88" i="1"/>
  <c r="F88" i="1" s="1"/>
  <c r="V89" i="1"/>
  <c r="L88" i="1"/>
  <c r="L89" i="1"/>
  <c r="N89" i="1" l="1"/>
  <c r="O89" i="1" s="1"/>
  <c r="T89" i="1" s="1"/>
  <c r="N88" i="1"/>
  <c r="O88" i="1" s="1"/>
  <c r="T88" i="1" s="1"/>
  <c r="K49" i="9"/>
  <c r="K46" i="9"/>
  <c r="K42" i="9"/>
  <c r="K39" i="9"/>
  <c r="K36" i="9"/>
  <c r="G54" i="9"/>
  <c r="R53" i="9"/>
  <c r="J53" i="9"/>
  <c r="I53" i="9"/>
  <c r="I54" i="9" s="1"/>
  <c r="N54" i="9" s="1"/>
  <c r="R52" i="9"/>
  <c r="I52" i="9"/>
  <c r="E52" i="9"/>
  <c r="E53" i="9" s="1"/>
  <c r="E54" i="9" s="1"/>
  <c r="G51" i="9"/>
  <c r="R50" i="9"/>
  <c r="J50" i="9"/>
  <c r="H50" i="9"/>
  <c r="H51" i="9" s="1"/>
  <c r="R49" i="9"/>
  <c r="I49" i="9"/>
  <c r="E49" i="9"/>
  <c r="E50" i="9" s="1"/>
  <c r="E51" i="9" s="1"/>
  <c r="G48" i="9"/>
  <c r="R47" i="9"/>
  <c r="J47" i="9"/>
  <c r="H47" i="9"/>
  <c r="H48" i="9" s="1"/>
  <c r="R46" i="9"/>
  <c r="I46" i="9"/>
  <c r="E46" i="9"/>
  <c r="E47" i="9" s="1"/>
  <c r="E48" i="9" s="1"/>
  <c r="G41" i="9"/>
  <c r="I84" i="1"/>
  <c r="N84" i="1" s="1"/>
  <c r="I83" i="1"/>
  <c r="N83" i="1" s="1"/>
  <c r="I82" i="1"/>
  <c r="N82" i="1" s="1"/>
  <c r="I81" i="1"/>
  <c r="N81" i="1" s="1"/>
  <c r="I80" i="1"/>
  <c r="N80" i="1" s="1"/>
  <c r="I79" i="1"/>
  <c r="N79" i="1" s="1"/>
  <c r="I86" i="1"/>
  <c r="R86" i="1"/>
  <c r="E86" i="1"/>
  <c r="F86" i="1" s="1"/>
  <c r="R84" i="1"/>
  <c r="E84" i="1"/>
  <c r="F84" i="1" s="1"/>
  <c r="R83" i="1"/>
  <c r="E83" i="1"/>
  <c r="F83" i="1" s="1"/>
  <c r="R82" i="1"/>
  <c r="E82" i="1"/>
  <c r="F82" i="1" s="1"/>
  <c r="R81" i="1"/>
  <c r="E81" i="1"/>
  <c r="F81" i="1" s="1"/>
  <c r="R80" i="1"/>
  <c r="E80" i="1"/>
  <c r="F80" i="1" s="1"/>
  <c r="R79" i="1"/>
  <c r="E79" i="1"/>
  <c r="F79" i="1" s="1"/>
  <c r="P86" i="1"/>
  <c r="L53" i="9"/>
  <c r="U49" i="9"/>
  <c r="L46" i="9"/>
  <c r="L52" i="9"/>
  <c r="V82" i="1"/>
  <c r="U88" i="1"/>
  <c r="L81" i="1"/>
  <c r="U89" i="1"/>
  <c r="V88" i="1"/>
  <c r="L49" i="9"/>
  <c r="L79" i="1"/>
  <c r="V83" i="1"/>
  <c r="L84" i="1"/>
  <c r="U80" i="1"/>
  <c r="Y89" i="1" l="1"/>
  <c r="Y88" i="1"/>
  <c r="I50" i="9"/>
  <c r="O52" i="9"/>
  <c r="O49" i="9"/>
  <c r="L54" i="9"/>
  <c r="O54" i="9" s="1"/>
  <c r="T54" i="9" s="1"/>
  <c r="O53" i="9"/>
  <c r="O46" i="9"/>
  <c r="I47" i="9"/>
  <c r="F49" i="9"/>
  <c r="F50" i="9" s="1"/>
  <c r="F51" i="9" s="1"/>
  <c r="F52" i="9"/>
  <c r="F53" i="9" s="1"/>
  <c r="F54" i="9" s="1"/>
  <c r="F46" i="9"/>
  <c r="F47" i="9" s="1"/>
  <c r="F48" i="9" s="1"/>
  <c r="N86" i="1"/>
  <c r="O81" i="1"/>
  <c r="T81" i="1" s="1"/>
  <c r="O84" i="1"/>
  <c r="T84" i="1" s="1"/>
  <c r="Y80" i="1"/>
  <c r="O79" i="1"/>
  <c r="T79" i="1" s="1"/>
  <c r="I77" i="1"/>
  <c r="R77" i="1"/>
  <c r="E77" i="1"/>
  <c r="F77" i="1" s="1"/>
  <c r="P77" i="1"/>
  <c r="V53" i="9"/>
  <c r="U53" i="9"/>
  <c r="U86" i="1"/>
  <c r="V81" i="1"/>
  <c r="V47" i="9"/>
  <c r="L86" i="1"/>
  <c r="U82" i="1"/>
  <c r="U50" i="9"/>
  <c r="L82" i="1"/>
  <c r="V49" i="9"/>
  <c r="V46" i="9"/>
  <c r="V79" i="1"/>
  <c r="V80" i="1"/>
  <c r="L83" i="1"/>
  <c r="U52" i="9"/>
  <c r="L80" i="1"/>
  <c r="L47" i="9"/>
  <c r="V84" i="1"/>
  <c r="L50" i="9"/>
  <c r="U84" i="1"/>
  <c r="V50" i="9"/>
  <c r="U79" i="1"/>
  <c r="U46" i="9"/>
  <c r="V86" i="1"/>
  <c r="V52" i="9"/>
  <c r="U81" i="1"/>
  <c r="U83" i="1"/>
  <c r="U47" i="9"/>
  <c r="Y82" i="1" l="1"/>
  <c r="O82" i="1"/>
  <c r="T82" i="1" s="1"/>
  <c r="O80" i="1"/>
  <c r="T80" i="1" s="1"/>
  <c r="L51" i="9"/>
  <c r="O50" i="9"/>
  <c r="I51" i="9"/>
  <c r="N51" i="9" s="1"/>
  <c r="U51" i="9"/>
  <c r="V54" i="9"/>
  <c r="V51" i="9"/>
  <c r="V48" i="9"/>
  <c r="L48" i="9"/>
  <c r="O47" i="9"/>
  <c r="U48" i="9"/>
  <c r="U54" i="9"/>
  <c r="I48" i="9"/>
  <c r="N48" i="9" s="1"/>
  <c r="Y86" i="1"/>
  <c r="O86" i="1"/>
  <c r="T86" i="1" s="1"/>
  <c r="Y79" i="1"/>
  <c r="Y84" i="1"/>
  <c r="Y83" i="1"/>
  <c r="O83" i="1"/>
  <c r="T83" i="1" s="1"/>
  <c r="Y81" i="1"/>
  <c r="N77" i="1"/>
  <c r="R75" i="1"/>
  <c r="I75" i="1"/>
  <c r="N75" i="1" s="1"/>
  <c r="E75" i="1"/>
  <c r="F75" i="1" s="1"/>
  <c r="R74" i="1"/>
  <c r="I74" i="1"/>
  <c r="N74" i="1" s="1"/>
  <c r="E74" i="1"/>
  <c r="F74" i="1" s="1"/>
  <c r="L77" i="1"/>
  <c r="V77" i="1"/>
  <c r="U77" i="1"/>
  <c r="L74" i="1"/>
  <c r="V75" i="1"/>
  <c r="O48" i="9" l="1"/>
  <c r="T48" i="9" s="1"/>
  <c r="O51" i="9"/>
  <c r="T51" i="9" s="1"/>
  <c r="Y77" i="1"/>
  <c r="O77" i="1"/>
  <c r="T77" i="1" s="1"/>
  <c r="O74" i="1"/>
  <c r="T74" i="1" s="1"/>
  <c r="V74" i="1"/>
  <c r="L75" i="1"/>
  <c r="U75" i="1"/>
  <c r="U74" i="1"/>
  <c r="Y75" i="1" l="1"/>
  <c r="Y74" i="1"/>
  <c r="O75" i="1"/>
  <c r="T75" i="1" s="1"/>
  <c r="R72" i="1" l="1"/>
  <c r="I72" i="1"/>
  <c r="E72" i="1"/>
  <c r="F72" i="1" s="1"/>
  <c r="R71" i="1"/>
  <c r="I71" i="1"/>
  <c r="E71" i="1"/>
  <c r="F71" i="1" s="1"/>
  <c r="P72" i="1"/>
  <c r="P71" i="1"/>
  <c r="G72" i="1" l="1"/>
  <c r="N72" i="1"/>
  <c r="N71" i="1"/>
  <c r="R69" i="1"/>
  <c r="I69" i="1"/>
  <c r="E69" i="1"/>
  <c r="F69" i="1" s="1"/>
  <c r="R68" i="1"/>
  <c r="I68" i="1"/>
  <c r="E68" i="1"/>
  <c r="F68" i="1" s="1"/>
  <c r="L69" i="1"/>
  <c r="U71" i="1"/>
  <c r="V71" i="1"/>
  <c r="U72" i="1"/>
  <c r="L71" i="1"/>
  <c r="L72" i="1"/>
  <c r="V72" i="1"/>
  <c r="L68" i="1"/>
  <c r="O71" i="1" l="1"/>
  <c r="T71" i="1" s="1"/>
  <c r="Y71" i="1"/>
  <c r="Y72" i="1"/>
  <c r="O72" i="1"/>
  <c r="T72" i="1" s="1"/>
  <c r="N68" i="1"/>
  <c r="O68" i="1" s="1"/>
  <c r="T68" i="1" s="1"/>
  <c r="N69" i="1"/>
  <c r="O69" i="1" s="1"/>
  <c r="T69" i="1" s="1"/>
  <c r="R66" i="1"/>
  <c r="I66" i="1"/>
  <c r="N66" i="1" s="1"/>
  <c r="E66" i="1"/>
  <c r="F66" i="1" s="1"/>
  <c r="V69" i="1"/>
  <c r="U69" i="1"/>
  <c r="U68" i="1"/>
  <c r="V68" i="1"/>
  <c r="V66" i="1"/>
  <c r="Y69" i="1" l="1"/>
  <c r="Y68" i="1"/>
  <c r="R65" i="1"/>
  <c r="I65" i="1"/>
  <c r="E65" i="1"/>
  <c r="F65" i="1" s="1"/>
  <c r="L66" i="1"/>
  <c r="L65" i="1"/>
  <c r="U66" i="1"/>
  <c r="O66" i="1" l="1"/>
  <c r="T66" i="1" s="1"/>
  <c r="Y66" i="1"/>
  <c r="P67" i="1"/>
  <c r="N65" i="1"/>
  <c r="O65" i="1" s="1"/>
  <c r="T65" i="1" s="1"/>
  <c r="U65" i="1"/>
  <c r="V65" i="1"/>
  <c r="Y65" i="1" l="1"/>
  <c r="R63" i="1" l="1"/>
  <c r="I63" i="1"/>
  <c r="N63" i="1" s="1"/>
  <c r="E63" i="1"/>
  <c r="F63" i="1" s="1"/>
  <c r="L63" i="1"/>
  <c r="O63" i="1" l="1"/>
  <c r="T63" i="1" s="1"/>
  <c r="U63" i="1"/>
  <c r="V63" i="1"/>
  <c r="Y63" i="1" l="1"/>
  <c r="R61" i="1"/>
  <c r="I61" i="1"/>
  <c r="E61" i="1"/>
  <c r="F61" i="1" s="1"/>
  <c r="R59" i="1"/>
  <c r="I59" i="1"/>
  <c r="E59" i="1"/>
  <c r="F59" i="1" s="1"/>
  <c r="R58" i="1"/>
  <c r="I58" i="1"/>
  <c r="E58" i="1"/>
  <c r="F58" i="1" s="1"/>
  <c r="P61" i="1"/>
  <c r="P58" i="1"/>
  <c r="P59" i="1"/>
  <c r="N61" i="1" l="1"/>
  <c r="G58" i="1"/>
  <c r="G59" i="1"/>
  <c r="N59" i="1"/>
  <c r="N58" i="1"/>
  <c r="U58" i="1"/>
  <c r="V59" i="1"/>
  <c r="U61" i="1"/>
  <c r="L61" i="1"/>
  <c r="L58" i="1"/>
  <c r="V61" i="1"/>
  <c r="L59" i="1"/>
  <c r="U59" i="1"/>
  <c r="V58" i="1"/>
  <c r="Y61" i="1" l="1"/>
  <c r="O61" i="1"/>
  <c r="T61" i="1" s="1"/>
  <c r="O59" i="1"/>
  <c r="T59" i="1" s="1"/>
  <c r="O58" i="1"/>
  <c r="T58" i="1" s="1"/>
  <c r="Y59" i="1"/>
  <c r="Y58" i="1"/>
  <c r="R57" i="1" l="1"/>
  <c r="I57" i="1"/>
  <c r="N57" i="1" s="1"/>
  <c r="E57" i="1"/>
  <c r="F57" i="1" s="1"/>
  <c r="U57" i="1"/>
  <c r="Y57" i="1" l="1"/>
  <c r="R55" i="1"/>
  <c r="I55" i="1"/>
  <c r="E55" i="1"/>
  <c r="F55" i="1" s="1"/>
  <c r="R54" i="1"/>
  <c r="I54" i="1"/>
  <c r="E54" i="1"/>
  <c r="F54" i="1" s="1"/>
  <c r="R53" i="1"/>
  <c r="I53" i="1"/>
  <c r="E53" i="1"/>
  <c r="F53" i="1" s="1"/>
  <c r="R52" i="1"/>
  <c r="I52" i="1"/>
  <c r="E52" i="1"/>
  <c r="F52" i="1" s="1"/>
  <c r="R51" i="1"/>
  <c r="I51" i="1"/>
  <c r="E51" i="1"/>
  <c r="F51" i="1" s="1"/>
  <c r="R50" i="1"/>
  <c r="I50" i="1"/>
  <c r="E50" i="1"/>
  <c r="F50" i="1" s="1"/>
  <c r="G44" i="9"/>
  <c r="R43" i="9"/>
  <c r="J43" i="9"/>
  <c r="H43" i="9"/>
  <c r="H44" i="9" s="1"/>
  <c r="R42" i="9"/>
  <c r="I42" i="9"/>
  <c r="E42" i="9"/>
  <c r="F42" i="9" s="1"/>
  <c r="F43" i="9" s="1"/>
  <c r="F44" i="9" s="1"/>
  <c r="R40" i="9"/>
  <c r="J40" i="9"/>
  <c r="H40" i="9"/>
  <c r="I40" i="9" s="1"/>
  <c r="I41" i="9" s="1"/>
  <c r="R39" i="9"/>
  <c r="I39" i="9"/>
  <c r="E39" i="9"/>
  <c r="F39" i="9" s="1"/>
  <c r="F40" i="9" s="1"/>
  <c r="F41" i="9" s="1"/>
  <c r="G38" i="9"/>
  <c r="R37" i="9"/>
  <c r="J37" i="9"/>
  <c r="H37" i="9"/>
  <c r="I37" i="9" s="1"/>
  <c r="I38" i="9" s="1"/>
  <c r="R36" i="9"/>
  <c r="I36" i="9"/>
  <c r="E36" i="9"/>
  <c r="E37" i="9" s="1"/>
  <c r="E38" i="9" s="1"/>
  <c r="K32" i="9"/>
  <c r="K29" i="9"/>
  <c r="K26" i="9"/>
  <c r="D33" i="9"/>
  <c r="D34" i="9" s="1"/>
  <c r="D30" i="9"/>
  <c r="D31" i="9" s="1"/>
  <c r="D27" i="9"/>
  <c r="D28" i="9" s="1"/>
  <c r="H30" i="9"/>
  <c r="H31" i="9" s="1"/>
  <c r="H27" i="9"/>
  <c r="H28" i="9" s="1"/>
  <c r="R48" i="1"/>
  <c r="I48" i="1"/>
  <c r="E48" i="1"/>
  <c r="F48" i="1" s="1"/>
  <c r="R47" i="1"/>
  <c r="I47" i="1"/>
  <c r="E47" i="1"/>
  <c r="F47" i="1" s="1"/>
  <c r="P32" i="9"/>
  <c r="P50" i="1"/>
  <c r="P52" i="1"/>
  <c r="P31" i="9"/>
  <c r="P29" i="9"/>
  <c r="P26" i="9"/>
  <c r="L57" i="1"/>
  <c r="P51" i="1"/>
  <c r="P53" i="1"/>
  <c r="P55" i="1"/>
  <c r="P54" i="1"/>
  <c r="V57" i="1"/>
  <c r="P47" i="1"/>
  <c r="L39" i="9"/>
  <c r="L48" i="1"/>
  <c r="O57" i="1" l="1"/>
  <c r="T57" i="1" s="1"/>
  <c r="N55" i="1"/>
  <c r="N52" i="1"/>
  <c r="N51" i="1"/>
  <c r="N53" i="1"/>
  <c r="N54" i="1"/>
  <c r="N50" i="1"/>
  <c r="E43" i="9"/>
  <c r="E44" i="9" s="1"/>
  <c r="E40" i="9"/>
  <c r="E41" i="9" s="1"/>
  <c r="I43" i="9"/>
  <c r="F36" i="9"/>
  <c r="F37" i="9" s="1"/>
  <c r="F38" i="9" s="1"/>
  <c r="O39" i="9"/>
  <c r="N41" i="9"/>
  <c r="N38" i="9"/>
  <c r="H38" i="9"/>
  <c r="N48" i="1"/>
  <c r="O48" i="1" s="1"/>
  <c r="T48" i="1" s="1"/>
  <c r="N47" i="1"/>
  <c r="R45" i="1"/>
  <c r="I45" i="1"/>
  <c r="N45" i="1" s="1"/>
  <c r="E45" i="1"/>
  <c r="F45" i="1" s="1"/>
  <c r="L36" i="9"/>
  <c r="V55" i="1"/>
  <c r="U42" i="9"/>
  <c r="L51" i="1"/>
  <c r="V36" i="9"/>
  <c r="V51" i="1"/>
  <c r="V47" i="1"/>
  <c r="U51" i="1"/>
  <c r="L50" i="1"/>
  <c r="L54" i="1"/>
  <c r="L43" i="9"/>
  <c r="U54" i="1"/>
  <c r="V52" i="1"/>
  <c r="U52" i="1"/>
  <c r="U53" i="1"/>
  <c r="V54" i="1"/>
  <c r="V39" i="9"/>
  <c r="V53" i="1"/>
  <c r="U39" i="9"/>
  <c r="V48" i="1"/>
  <c r="L52" i="1"/>
  <c r="P30" i="9"/>
  <c r="L47" i="1"/>
  <c r="P27" i="9"/>
  <c r="V40" i="9"/>
  <c r="L55" i="1"/>
  <c r="U48" i="1"/>
  <c r="U37" i="9"/>
  <c r="U43" i="9"/>
  <c r="V42" i="9"/>
  <c r="U36" i="9"/>
  <c r="U40" i="9"/>
  <c r="U47" i="1"/>
  <c r="L40" i="9"/>
  <c r="V50" i="1"/>
  <c r="L53" i="1"/>
  <c r="U50" i="1"/>
  <c r="L42" i="9"/>
  <c r="V37" i="9"/>
  <c r="U55" i="1"/>
  <c r="V45" i="1"/>
  <c r="O52" i="1" l="1"/>
  <c r="T52" i="1" s="1"/>
  <c r="O51" i="1"/>
  <c r="T51" i="1" s="1"/>
  <c r="V41" i="9"/>
  <c r="O55" i="1"/>
  <c r="T55" i="1" s="1"/>
  <c r="O50" i="1"/>
  <c r="T50" i="1" s="1"/>
  <c r="O54" i="1"/>
  <c r="T54" i="1" s="1"/>
  <c r="Y53" i="1"/>
  <c r="O53" i="1"/>
  <c r="T53" i="1" s="1"/>
  <c r="Y51" i="1"/>
  <c r="O36" i="9"/>
  <c r="U41" i="9"/>
  <c r="Y50" i="1"/>
  <c r="Y55" i="1"/>
  <c r="Y52" i="1"/>
  <c r="Y54" i="1"/>
  <c r="O43" i="9"/>
  <c r="I44" i="9"/>
  <c r="N44" i="9" s="1"/>
  <c r="V38" i="9"/>
  <c r="U38" i="9"/>
  <c r="O42" i="9"/>
  <c r="L44" i="9"/>
  <c r="L41" i="9"/>
  <c r="O41" i="9" s="1"/>
  <c r="T41" i="9" s="1"/>
  <c r="O40" i="9"/>
  <c r="U44" i="9"/>
  <c r="Y48" i="1"/>
  <c r="Y47" i="1"/>
  <c r="O47" i="1"/>
  <c r="T47" i="1" s="1"/>
  <c r="R43" i="1"/>
  <c r="I43" i="1"/>
  <c r="N43" i="1" s="1"/>
  <c r="E43" i="1"/>
  <c r="F43" i="1" s="1"/>
  <c r="U45" i="1"/>
  <c r="V43" i="9"/>
  <c r="L37" i="9"/>
  <c r="L45" i="1"/>
  <c r="V43" i="1"/>
  <c r="V44" i="9" l="1"/>
  <c r="L38" i="9"/>
  <c r="O38" i="9" s="1"/>
  <c r="T38" i="9" s="1"/>
  <c r="O37" i="9"/>
  <c r="O44" i="9"/>
  <c r="T44" i="9" s="1"/>
  <c r="O45" i="1"/>
  <c r="T45" i="1" s="1"/>
  <c r="Y45" i="1"/>
  <c r="R41" i="1"/>
  <c r="I41" i="1"/>
  <c r="N41" i="1" s="1"/>
  <c r="E41" i="1"/>
  <c r="F41" i="1" s="1"/>
  <c r="L43" i="1"/>
  <c r="U43" i="1"/>
  <c r="V41" i="1"/>
  <c r="Y43" i="1" l="1"/>
  <c r="O43" i="1"/>
  <c r="T43" i="1" s="1"/>
  <c r="S81" i="2"/>
  <c r="U41" i="1"/>
  <c r="P8" i="1"/>
  <c r="L41" i="1"/>
  <c r="O41" i="1" l="1"/>
  <c r="T41" i="1" s="1"/>
  <c r="Y41" i="1"/>
  <c r="R39" i="1"/>
  <c r="I39" i="1"/>
  <c r="N39" i="1" s="1"/>
  <c r="E39" i="1"/>
  <c r="F39" i="1" s="1"/>
  <c r="U39" i="1"/>
  <c r="Y39" i="1" l="1"/>
  <c r="L39" i="1"/>
  <c r="V39" i="1"/>
  <c r="O39" i="1" l="1"/>
  <c r="T39" i="1" s="1"/>
  <c r="R38" i="1" l="1"/>
  <c r="I38" i="1"/>
  <c r="E38" i="1"/>
  <c r="F38" i="1" s="1"/>
  <c r="N38" i="1" l="1"/>
  <c r="R36" i="1"/>
  <c r="I36" i="1"/>
  <c r="E36" i="1"/>
  <c r="F36" i="1" s="1"/>
  <c r="R35" i="1"/>
  <c r="I35" i="1"/>
  <c r="E35" i="1"/>
  <c r="F35" i="1" s="1"/>
  <c r="L38" i="1"/>
  <c r="V38" i="1"/>
  <c r="U38" i="1"/>
  <c r="P36" i="1"/>
  <c r="P35" i="1"/>
  <c r="Y38" i="1" l="1"/>
  <c r="O38" i="1"/>
  <c r="T38" i="1" s="1"/>
  <c r="G36" i="1"/>
  <c r="G35" i="1"/>
  <c r="N36" i="1"/>
  <c r="N35" i="1"/>
  <c r="R34" i="1"/>
  <c r="I34" i="1"/>
  <c r="E34" i="1"/>
  <c r="F34" i="1" s="1"/>
  <c r="V35" i="1"/>
  <c r="V36" i="1"/>
  <c r="U35" i="1"/>
  <c r="U36" i="1"/>
  <c r="L35" i="1"/>
  <c r="P34" i="1"/>
  <c r="L36" i="1"/>
  <c r="O35" i="1" l="1"/>
  <c r="T35" i="1" s="1"/>
  <c r="Y36" i="1"/>
  <c r="Y35" i="1"/>
  <c r="O36" i="1"/>
  <c r="T36" i="1" s="1"/>
  <c r="N34" i="1"/>
  <c r="U34" i="1"/>
  <c r="L34" i="1"/>
  <c r="V34" i="1"/>
  <c r="O34" i="1" l="1"/>
  <c r="T34" i="1" s="1"/>
  <c r="Y34" i="1"/>
  <c r="R32" i="1" l="1"/>
  <c r="I32" i="1"/>
  <c r="E32" i="1"/>
  <c r="F32" i="1" s="1"/>
  <c r="R31" i="1"/>
  <c r="I31" i="1"/>
  <c r="E31" i="1"/>
  <c r="F31" i="1" s="1"/>
  <c r="R29" i="1"/>
  <c r="I29" i="1"/>
  <c r="E29" i="1"/>
  <c r="F29" i="1" s="1"/>
  <c r="P32" i="1"/>
  <c r="P29" i="1"/>
  <c r="P31" i="1"/>
  <c r="L29" i="1"/>
  <c r="N32" i="1" l="1"/>
  <c r="N31" i="1"/>
  <c r="N29" i="1"/>
  <c r="O29" i="1" s="1"/>
  <c r="T29" i="1" s="1"/>
  <c r="V29" i="1"/>
  <c r="L31" i="1"/>
  <c r="U31" i="1"/>
  <c r="L32" i="1"/>
  <c r="U29" i="1"/>
  <c r="V31" i="1"/>
  <c r="V32" i="1"/>
  <c r="U32" i="1"/>
  <c r="Y31" i="1" l="1"/>
  <c r="O32" i="1"/>
  <c r="T32" i="1" s="1"/>
  <c r="Y32" i="1"/>
  <c r="O31" i="1"/>
  <c r="T31" i="1" s="1"/>
  <c r="Y29" i="1"/>
  <c r="R27" i="1" l="1"/>
  <c r="I27" i="1"/>
  <c r="E27" i="1"/>
  <c r="F27" i="1" s="1"/>
  <c r="P27" i="1"/>
  <c r="N27" i="1" l="1"/>
  <c r="R25" i="1"/>
  <c r="I25" i="1"/>
  <c r="E25" i="1"/>
  <c r="F25" i="1" s="1"/>
  <c r="I23" i="1"/>
  <c r="I22" i="1"/>
  <c r="I21" i="1"/>
  <c r="I20" i="1"/>
  <c r="R23" i="1"/>
  <c r="E23" i="1"/>
  <c r="F23" i="1" s="1"/>
  <c r="R22" i="1"/>
  <c r="E22" i="1"/>
  <c r="F22" i="1" s="1"/>
  <c r="R21" i="1"/>
  <c r="E21" i="1"/>
  <c r="F21" i="1" s="1"/>
  <c r="R20" i="1"/>
  <c r="E20" i="1"/>
  <c r="F20" i="1" s="1"/>
  <c r="R19" i="1"/>
  <c r="I19" i="1"/>
  <c r="E19" i="1"/>
  <c r="F19" i="1" s="1"/>
  <c r="R18" i="1"/>
  <c r="I18" i="1"/>
  <c r="E18" i="1"/>
  <c r="F18" i="1" s="1"/>
  <c r="P18" i="1"/>
  <c r="P19" i="1"/>
  <c r="V27" i="1"/>
  <c r="U27" i="1"/>
  <c r="L23" i="1"/>
  <c r="L25" i="1"/>
  <c r="P20" i="1"/>
  <c r="P21" i="1"/>
  <c r="P22" i="1"/>
  <c r="L27" i="1"/>
  <c r="Y27" i="1" l="1"/>
  <c r="O27" i="1"/>
  <c r="T27" i="1" s="1"/>
  <c r="N25" i="1"/>
  <c r="O25" i="1" s="1"/>
  <c r="T25" i="1" s="1"/>
  <c r="N20" i="1"/>
  <c r="N21" i="1"/>
  <c r="N22" i="1"/>
  <c r="N23" i="1"/>
  <c r="O23" i="1" s="1"/>
  <c r="T23" i="1" s="1"/>
  <c r="N18" i="1"/>
  <c r="N19" i="1"/>
  <c r="V18" i="1"/>
  <c r="L20" i="1"/>
  <c r="V21" i="1"/>
  <c r="V19" i="1"/>
  <c r="V22" i="1"/>
  <c r="U23" i="1"/>
  <c r="V20" i="1"/>
  <c r="U19" i="1"/>
  <c r="U21" i="1"/>
  <c r="L19" i="1"/>
  <c r="L22" i="1"/>
  <c r="U18" i="1"/>
  <c r="V25" i="1"/>
  <c r="L18" i="1"/>
  <c r="U20" i="1"/>
  <c r="U25" i="1"/>
  <c r="U22" i="1"/>
  <c r="L21" i="1"/>
  <c r="V23" i="1"/>
  <c r="Y25" i="1" l="1"/>
  <c r="Y23" i="1"/>
  <c r="O18" i="1"/>
  <c r="T18" i="1" s="1"/>
  <c r="O19" i="1"/>
  <c r="T19" i="1" s="1"/>
  <c r="O21" i="1"/>
  <c r="T21" i="1" s="1"/>
  <c r="Y20" i="1"/>
  <c r="O22" i="1"/>
  <c r="T22" i="1" s="1"/>
  <c r="O20" i="1"/>
  <c r="T20" i="1" s="1"/>
  <c r="Y22" i="1"/>
  <c r="Y19" i="1"/>
  <c r="Y21" i="1"/>
  <c r="Y18" i="1"/>
  <c r="Q31" i="6" l="1"/>
  <c r="H31" i="6"/>
  <c r="M31" i="6" s="1"/>
  <c r="D31" i="6"/>
  <c r="E31" i="6" s="1"/>
  <c r="Q30" i="6"/>
  <c r="H30" i="6"/>
  <c r="M30" i="6" s="1"/>
  <c r="D30" i="6"/>
  <c r="E30" i="6" s="1"/>
  <c r="R16" i="1"/>
  <c r="I16" i="1"/>
  <c r="N16" i="1" s="1"/>
  <c r="E16" i="1"/>
  <c r="F16" i="1" s="1"/>
  <c r="R15" i="1"/>
  <c r="I15" i="1"/>
  <c r="N15" i="1" s="1"/>
  <c r="E15" i="1"/>
  <c r="F15" i="1" s="1"/>
  <c r="K30" i="6"/>
  <c r="V15" i="1"/>
  <c r="K31" i="6"/>
  <c r="V16" i="1"/>
  <c r="N30" i="6" l="1"/>
  <c r="L16" i="1"/>
  <c r="L15" i="1"/>
  <c r="U16" i="1"/>
  <c r="U15" i="1"/>
  <c r="Y16" i="1" l="1"/>
  <c r="O16" i="1"/>
  <c r="T16" i="1" s="1"/>
  <c r="Y15" i="1"/>
  <c r="O15" i="1"/>
  <c r="T15" i="1" s="1"/>
  <c r="S69" i="2"/>
  <c r="S67" i="2"/>
  <c r="H33" i="9" l="1"/>
  <c r="H34" i="9" s="1"/>
  <c r="G34" i="9"/>
  <c r="R33" i="9"/>
  <c r="J33" i="9"/>
  <c r="R32" i="9"/>
  <c r="I32" i="9"/>
  <c r="E32" i="9"/>
  <c r="E33" i="9" s="1"/>
  <c r="E34" i="9" s="1"/>
  <c r="V32" i="9"/>
  <c r="I33" i="9" l="1"/>
  <c r="I34" i="9" s="1"/>
  <c r="F32" i="9"/>
  <c r="F33" i="9" s="1"/>
  <c r="F34" i="9" s="1"/>
  <c r="P33" i="9"/>
  <c r="L32" i="9"/>
  <c r="P34" i="9"/>
  <c r="U32" i="9"/>
  <c r="O32" i="9" l="1"/>
  <c r="N34" i="9"/>
  <c r="U33" i="9"/>
  <c r="V33" i="9"/>
  <c r="L33" i="9"/>
  <c r="U34" i="9" l="1"/>
  <c r="V34" i="9"/>
  <c r="L34" i="9"/>
  <c r="O34" i="9" s="1"/>
  <c r="T34" i="9" s="1"/>
  <c r="O33" i="9"/>
  <c r="P84" i="2" l="1"/>
  <c r="I83" i="2"/>
  <c r="N81" i="2"/>
  <c r="I81" i="2"/>
  <c r="N69" i="2"/>
  <c r="I69" i="2"/>
  <c r="N67" i="2"/>
  <c r="H9" i="1" l="1"/>
  <c r="I67" i="2" l="1"/>
  <c r="S55" i="2" l="1"/>
  <c r="S53" i="2"/>
  <c r="N55" i="2" l="1"/>
  <c r="N53" i="2"/>
  <c r="I53" i="2" l="1"/>
  <c r="D55" i="2" l="1"/>
  <c r="D22" i="9" l="1"/>
  <c r="D23" i="9" s="1"/>
  <c r="D19" i="9"/>
  <c r="D20" i="9" s="1"/>
  <c r="G31" i="9"/>
  <c r="R30" i="9"/>
  <c r="J30" i="9"/>
  <c r="R29" i="9"/>
  <c r="I29" i="9"/>
  <c r="E29" i="9"/>
  <c r="F29" i="9" s="1"/>
  <c r="F30" i="9" s="1"/>
  <c r="F31" i="9" s="1"/>
  <c r="R27" i="9"/>
  <c r="J27" i="9"/>
  <c r="I27" i="9"/>
  <c r="I28" i="9" s="1"/>
  <c r="R26" i="9"/>
  <c r="I26" i="9"/>
  <c r="E26" i="9"/>
  <c r="E27" i="9" s="1"/>
  <c r="E28" i="9" s="1"/>
  <c r="P28" i="9"/>
  <c r="E30" i="9" l="1"/>
  <c r="E31" i="9" s="1"/>
  <c r="F26" i="9"/>
  <c r="F27" i="9" s="1"/>
  <c r="F28" i="9" s="1"/>
  <c r="I30" i="9"/>
  <c r="I31" i="9" s="1"/>
  <c r="L30" i="9"/>
  <c r="U29" i="9"/>
  <c r="U30" i="9"/>
  <c r="U26" i="9"/>
  <c r="L27" i="9"/>
  <c r="U27" i="9"/>
  <c r="V27" i="9"/>
  <c r="L29" i="9"/>
  <c r="V29" i="9"/>
  <c r="L26" i="9"/>
  <c r="V30" i="9"/>
  <c r="V26" i="9"/>
  <c r="O29" i="9" l="1"/>
  <c r="O26" i="9"/>
  <c r="U31" i="9"/>
  <c r="U28" i="9"/>
  <c r="V28" i="9"/>
  <c r="L28" i="9"/>
  <c r="O27" i="9"/>
  <c r="L31" i="9"/>
  <c r="O30" i="9"/>
  <c r="V31" i="9"/>
  <c r="G28" i="9"/>
  <c r="N28" i="9"/>
  <c r="N31" i="9"/>
  <c r="O28" i="9" l="1"/>
  <c r="T28" i="9" s="1"/>
  <c r="O31" i="9"/>
  <c r="T31" i="9" s="1"/>
  <c r="D53" i="2" l="1"/>
  <c r="I42" i="2"/>
  <c r="D42" i="2"/>
  <c r="D40" i="2" l="1"/>
  <c r="F44" i="2"/>
  <c r="R8" i="1" l="1"/>
  <c r="I8" i="1"/>
  <c r="E8" i="1"/>
  <c r="F8" i="1" s="1"/>
  <c r="N8" i="1" l="1"/>
  <c r="L8" i="1"/>
  <c r="V8" i="1"/>
  <c r="U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P22" i="9"/>
  <c r="I22" i="9"/>
  <c r="I23" i="9" s="1"/>
  <c r="I19" i="9"/>
  <c r="I20" i="9" s="1"/>
  <c r="E19" i="9"/>
  <c r="E20" i="9" s="1"/>
  <c r="P19" i="9"/>
  <c r="L21" i="9"/>
  <c r="V22" i="9"/>
  <c r="V19" i="9"/>
  <c r="L22" i="9"/>
  <c r="V21" i="9"/>
  <c r="U18" i="9"/>
  <c r="L19" i="9"/>
  <c r="U22" i="9"/>
  <c r="V18" i="9"/>
  <c r="L18" i="9"/>
  <c r="U21" i="9"/>
  <c r="U19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O15" i="10"/>
  <c r="P15" i="10"/>
  <c r="T12" i="8"/>
  <c r="R11" i="10" s="1"/>
  <c r="T13" i="8"/>
  <c r="R12" i="10" s="1"/>
  <c r="T14" i="8"/>
  <c r="R13" i="10" s="1"/>
  <c r="T15" i="8"/>
  <c r="R14" i="10" s="1"/>
  <c r="R15" i="10"/>
  <c r="T11" i="8"/>
  <c r="R10" i="10" s="1"/>
  <c r="M16" i="8" l="1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2" i="8"/>
  <c r="K15" i="8"/>
  <c r="K16" i="8"/>
  <c r="K13" i="8"/>
  <c r="K14" i="8"/>
  <c r="K11" i="8"/>
  <c r="P14" i="9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L14" i="9"/>
  <c r="X15" i="8"/>
  <c r="S16" i="8"/>
  <c r="X12" i="8"/>
  <c r="U14" i="9"/>
  <c r="V14" i="9"/>
  <c r="Y13" i="8"/>
  <c r="S15" i="8"/>
  <c r="Y16" i="8"/>
  <c r="S11" i="8"/>
  <c r="Y11" i="8"/>
  <c r="Y12" i="8"/>
  <c r="X14" i="8"/>
  <c r="X13" i="8"/>
  <c r="S13" i="8"/>
  <c r="Y15" i="8"/>
  <c r="X16" i="8"/>
  <c r="Y14" i="8"/>
  <c r="S12" i="8"/>
  <c r="S14" i="8"/>
  <c r="X11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V15" i="9"/>
  <c r="L15" i="9"/>
  <c r="U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U9" i="1"/>
  <c r="L9" i="1"/>
  <c r="V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L8" i="9"/>
  <c r="V9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10" i="7"/>
  <c r="T9" i="7"/>
  <c r="K9" i="8"/>
  <c r="T10" i="7"/>
  <c r="U9" i="7"/>
  <c r="O10" i="7"/>
  <c r="H8" i="8"/>
  <c r="H8" i="7"/>
  <c r="O9" i="7"/>
  <c r="U8" i="8" l="1"/>
  <c r="Q9" i="7"/>
  <c r="R9" i="7" s="1"/>
  <c r="S9" i="7" s="1"/>
  <c r="Q10" i="7"/>
  <c r="R10" i="7" s="1"/>
  <c r="S10" i="7" s="1"/>
  <c r="Q8" i="7"/>
  <c r="S9" i="8"/>
  <c r="Y9" i="8"/>
  <c r="X9" i="8"/>
  <c r="K8" i="8"/>
  <c r="T8" i="7"/>
  <c r="O8" i="7"/>
  <c r="U8" i="7"/>
  <c r="V9" i="8" l="1"/>
  <c r="W9" i="8" s="1"/>
  <c r="R8" i="7"/>
  <c r="S8" i="7" s="1"/>
  <c r="X8" i="8"/>
  <c r="Y8" i="8"/>
  <c r="S8" i="8"/>
  <c r="V8" i="8" l="1"/>
  <c r="W8" i="8" s="1"/>
  <c r="G12" i="9" l="1"/>
  <c r="G13" i="9" s="1"/>
  <c r="V12" i="9"/>
  <c r="V11" i="9"/>
  <c r="U11" i="9"/>
  <c r="U12" i="9"/>
  <c r="L12" i="9"/>
  <c r="L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<sst xmlns="http://schemas.openxmlformats.org/spreadsheetml/2006/main" count="3772" uniqueCount="420">
  <si>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</si>
  <si>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</si>
  <si>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</si>
  <si>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</si>
  <si>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</si>
  <si>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</si>
  <si>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</si>
  <si>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</si>
  <si>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</si>
  <si>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</si>
  <si>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</si>
  <si>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</si>
  <si>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</si>
  <si>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</si>
  <si>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</si>
  <si>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</si>
  <si>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</si>
  <si>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</si>
  <si>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</si>
  <si>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</si>
  <si>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</si>
  <si>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</si>
  <si>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</si>
  <si>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</si>
  <si>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</si>
  <si>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</si>
  <si>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</si>
  <si>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</si>
  <si>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</si>
  <si>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</si>
  <si>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</si>
  <si>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</si>
  <si>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</si>
  <si>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</si>
  <si>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</si>
  <si>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</si>
  <si>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</si>
  <si>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</si>
  <si>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</si>
  <si>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</si>
  <si>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</si>
  <si>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</si>
  <si>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</si>
  <si>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</si>
  <si>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</si>
  <si>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</si>
  <si>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</si>
  <si>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</si>
  <si>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</si>
  <si>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</si>
  <si>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</si>
  <si>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</si>
  <si>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</si>
  <si>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</si>
  <si>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</si>
  <si>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</si>
  <si>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</si>
  <si>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</si>
  <si>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</si>
  <si>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</si>
  <si>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</si>
  <si>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</si>
  <si>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</si>
  <si>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</si>
  <si>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</si>
  <si>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</si>
  <si>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</si>
  <si>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</si>
  <si>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</si>
  <si>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</si>
  <si>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</si>
  <si>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</si>
  <si>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</si>
  <si>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</si>
  <si>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</si>
  <si>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</si>
  <si>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</si>
  <si>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</si>
  <si>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</si>
  <si>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</si>
  <si>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</si>
  <si>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</si>
  <si>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</si>
  <si>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</si>
  <si>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</si>
  <si>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</si>
  <si>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</si>
  <si>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</si>
  <si>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</si>
  <si>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</si>
  <si>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</si>
  <si>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</si>
  <si>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</si>
  <si>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</si>
  <si>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</si>
  <si>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</si>
  <si>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</si>
  <si>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</si>
  <si>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</si>
  <si>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</si>
  <si>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</si>
  <si>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</si>
  <si>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</si>
  <si>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</si>
  <si>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</si>
  <si>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</si>
  <si>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</si>
  <si>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</si>
  <si>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</si>
  <si>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</si>
  <si>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</si>
  <si>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</si>
  <si>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</si>
  <si>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</si>
  <si>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</si>
  <si>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</si>
  <si>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</si>
  <si>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</si>
  <si>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</si>
  <si>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</si>
  <si>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</si>
  <si>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</si>
  <si>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</si>
  <si>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</si>
  <si>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</si>
  <si>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</si>
  <si>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</si>
  <si>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</si>
  <si>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</si>
  <si>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</si>
  <si>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</si>
  <si>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</si>
  <si>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</si>
  <si>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</si>
  <si>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</si>
  <si>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</si>
  <si>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</si>
  <si>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</si>
  <si>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</si>
  <si>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</si>
  <si>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</si>
  <si>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</si>
  <si>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</si>
  <si>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</si>
  <si>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</si>
  <si>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</si>
  <si>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</si>
  <si>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</si>
  <si>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</si>
  <si>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</si>
  <si>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</si>
  <si>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</si>
  <si>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</si>
  <si>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</si>
  <si>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</si>
  <si>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</si>
  <si>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</si>
  <si>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</si>
  <si>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</si>
  <si>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</si>
  <si>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</si>
  <si>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</si>
  <si>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</si>
  <si>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</si>
  <si>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</si>
  <si>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</si>
  <si>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</si>
  <si>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</si>
  <si>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</si>
  <si>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</si>
  <si>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</si>
  <si>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</si>
  <si>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</si>
  <si>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</si>
  <si>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</si>
  <si>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</si>
  <si>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</si>
  <si>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</si>
  <si>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</si>
  <si>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</si>
  <si>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</si>
  <si>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</si>
  <si>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</si>
  <si>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</si>
  <si>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</si>
  <si>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</si>
  <si>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</si>
  <si>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</si>
  <si>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</si>
  <si>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</si>
  <si>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</si>
  <si>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</si>
  <si>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</si>
  <si>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</si>
  <si>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</si>
  <si>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</si>
  <si>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</si>
  <si>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</si>
  <si>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</si>
  <si>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</si>
  <si>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</si>
  <si>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</si>
  <si>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</si>
  <si>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</si>
  <si>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</si>
  <si>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</si>
  <si>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</si>
  <si>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</si>
  <si>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</si>
  <si>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</si>
  <si>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</si>
  <si>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</si>
  <si>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</si>
  <si>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</si>
  <si>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</si>
  <si>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</si>
  <si>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</si>
  <si>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</si>
  <si>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</si>
  <si>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</si>
  <si>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</si>
  <si>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</si>
  <si>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</si>
  <si>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</si>
  <si>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</si>
  <si>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</si>
  <si>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</si>
  <si>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</si>
  <si>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</si>
  <si>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</si>
  <si>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</si>
  <si>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</si>
  <si>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</si>
  <si>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al1809</t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</si>
  <si>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</si>
  <si>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</si>
  <si>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</si>
  <si>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</si>
  <si>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al1810</t>
  </si>
  <si>
    <t>bu1812</t>
  </si>
  <si>
    <t>p1809</t>
  </si>
  <si>
    <t>4800|4990</t>
  </si>
  <si>
    <t>4700|4990</t>
  </si>
  <si>
    <t>rr</t>
    <phoneticPr fontId="2" type="noConversion"/>
  </si>
  <si>
    <t>ap905</t>
  </si>
  <si>
    <t>52000|54800</t>
  </si>
  <si>
    <t>rr</t>
    <phoneticPr fontId="2" type="noConversion"/>
  </si>
  <si>
    <t>中金卖出</t>
    <phoneticPr fontId="2" type="noConversion"/>
  </si>
  <si>
    <t>cf901</t>
    <phoneticPr fontId="2" type="noConversion"/>
  </si>
  <si>
    <t>成交回报</t>
    <phoneticPr fontId="2" type="noConversion"/>
  </si>
  <si>
    <t>南华资管</t>
    <phoneticPr fontId="2" type="noConversion"/>
  </si>
  <si>
    <t>成交回报-ASIAN OPTION</t>
    <phoneticPr fontId="2" type="noConversion"/>
  </si>
  <si>
    <t>亚式看跌期权</t>
    <phoneticPr fontId="2" type="noConversion"/>
  </si>
  <si>
    <t>c1901</t>
    <phoneticPr fontId="2" type="noConversion"/>
  </si>
  <si>
    <t>ap901</t>
    <phoneticPr fontId="2" type="noConversion"/>
  </si>
  <si>
    <t>ap903</t>
  </si>
  <si>
    <t>ap903</t>
    <phoneticPr fontId="2" type="noConversion"/>
  </si>
  <si>
    <t>ap901</t>
    <phoneticPr fontId="2" type="noConversion"/>
  </si>
  <si>
    <t>al1810</t>
    <phoneticPr fontId="2" type="noConversion"/>
  </si>
  <si>
    <t>al1811</t>
  </si>
  <si>
    <t>al1811</t>
    <phoneticPr fontId="2" type="noConversion"/>
  </si>
  <si>
    <t>al1812</t>
  </si>
  <si>
    <t>al1810</t>
    <phoneticPr fontId="2" type="noConversion"/>
  </si>
  <si>
    <t>p</t>
    <phoneticPr fontId="2" type="noConversion"/>
  </si>
  <si>
    <t>al1812</t>
    <phoneticPr fontId="2" type="noConversion"/>
  </si>
  <si>
    <t>al1811</t>
    <phoneticPr fontId="2" type="noConversion"/>
  </si>
  <si>
    <t>al1809</t>
    <phoneticPr fontId="2" type="noConversion"/>
  </si>
  <si>
    <t>al1809</t>
    <phoneticPr fontId="2" type="noConversion"/>
  </si>
  <si>
    <t>cu1809</t>
  </si>
  <si>
    <t>cu1809</t>
    <phoneticPr fontId="2" type="noConversion"/>
  </si>
  <si>
    <t>pb1809</t>
    <phoneticPr fontId="2" type="noConversion"/>
  </si>
  <si>
    <t>i1809</t>
  </si>
  <si>
    <t>ru1901</t>
    <phoneticPr fontId="2" type="noConversion"/>
  </si>
  <si>
    <t>sc1809</t>
    <phoneticPr fontId="2" type="noConversion"/>
  </si>
  <si>
    <t>bu1812</t>
    <phoneticPr fontId="2" type="noConversion"/>
  </si>
  <si>
    <t>c</t>
    <phoneticPr fontId="2" type="noConversion"/>
  </si>
  <si>
    <t>rb1810</t>
  </si>
  <si>
    <t>3500|3900</t>
  </si>
  <si>
    <t>3400|3800</t>
  </si>
  <si>
    <t>3300|4000</t>
  </si>
  <si>
    <t>rr</t>
    <phoneticPr fontId="2" type="noConversion"/>
  </si>
  <si>
    <t>.</t>
    <phoneticPr fontId="2" type="noConversion"/>
  </si>
  <si>
    <t>cu1809</t>
    <phoneticPr fontId="2" type="noConversion"/>
  </si>
  <si>
    <t>c</t>
    <phoneticPr fontId="2" type="noConversion"/>
  </si>
  <si>
    <t>ap901</t>
  </si>
  <si>
    <t>ap901</t>
    <phoneticPr fontId="2" type="noConversion"/>
  </si>
  <si>
    <t>ap810</t>
  </si>
  <si>
    <t>ap810</t>
    <phoneticPr fontId="2" type="noConversion"/>
  </si>
  <si>
    <t>al1810</t>
    <phoneticPr fontId="2" type="noConversion"/>
  </si>
  <si>
    <t>bv18e</t>
    <phoneticPr fontId="2" type="noConversion"/>
  </si>
  <si>
    <t>ap810</t>
    <phoneticPr fontId="2" type="noConversion"/>
  </si>
  <si>
    <t>p</t>
    <phoneticPr fontId="2" type="noConversion"/>
  </si>
  <si>
    <t>i1901</t>
    <phoneticPr fontId="2" type="noConversion"/>
  </si>
  <si>
    <t>c</t>
    <phoneticPr fontId="2" type="noConversion"/>
  </si>
  <si>
    <t>cf901</t>
  </si>
  <si>
    <t>hc1810</t>
  </si>
  <si>
    <t>hc1810</t>
    <phoneticPr fontId="2" type="noConversion"/>
  </si>
  <si>
    <t>c</t>
    <phoneticPr fontId="2" type="noConversion"/>
  </si>
  <si>
    <t>i1901</t>
  </si>
  <si>
    <t>i1901</t>
    <phoneticPr fontId="2" type="noConversion"/>
  </si>
  <si>
    <t>i1901</t>
    <phoneticPr fontId="2" type="noConversion"/>
  </si>
  <si>
    <t>430|500</t>
  </si>
  <si>
    <t>440|470</t>
  </si>
  <si>
    <t>420|490</t>
  </si>
  <si>
    <t>Example</t>
    <phoneticPr fontId="2" type="noConversion"/>
  </si>
  <si>
    <t>rb1810</t>
    <phoneticPr fontId="2" type="noConversion"/>
  </si>
  <si>
    <t>3800|3500</t>
  </si>
  <si>
    <t>p-spread</t>
    <phoneticPr fontId="2" type="noConversion"/>
  </si>
  <si>
    <t>rb1810</t>
    <phoneticPr fontId="2" type="noConversion"/>
  </si>
  <si>
    <t>pdo</t>
  </si>
  <si>
    <t>ta</t>
    <phoneticPr fontId="2" type="noConversion"/>
  </si>
  <si>
    <t>j1809</t>
    <phoneticPr fontId="2" type="noConversion"/>
  </si>
  <si>
    <t>j1809</t>
  </si>
  <si>
    <t>i1809</t>
    <phoneticPr fontId="2" type="noConversion"/>
  </si>
  <si>
    <t>y1809</t>
  </si>
  <si>
    <t>y1809</t>
    <phoneticPr fontId="2" type="noConversion"/>
  </si>
  <si>
    <t>5524.2|5301</t>
  </si>
  <si>
    <t>标的</t>
    <phoneticPr fontId="2" type="noConversion"/>
  </si>
  <si>
    <t>起始日期</t>
    <phoneticPr fontId="2" type="noConversion"/>
  </si>
  <si>
    <t>行权价</t>
    <phoneticPr fontId="2" type="noConversion"/>
  </si>
  <si>
    <t>成本价</t>
    <phoneticPr fontId="2" type="noConversion"/>
  </si>
  <si>
    <t>加点(bp)</t>
    <phoneticPr fontId="2" type="noConversion"/>
  </si>
  <si>
    <t>加点(绝对值)</t>
    <phoneticPr fontId="2" type="noConversion"/>
  </si>
  <si>
    <t>期权价格</t>
    <phoneticPr fontId="2" type="noConversion"/>
  </si>
  <si>
    <t>p-sprd</t>
    <phoneticPr fontId="2" type="noConversion"/>
  </si>
  <si>
    <t>al1809</t>
    <phoneticPr fontId="2" type="noConversion"/>
  </si>
  <si>
    <t>al1810</t>
    <phoneticPr fontId="2" type="noConversion"/>
  </si>
  <si>
    <t>al1811</t>
    <phoneticPr fontId="2" type="noConversion"/>
  </si>
  <si>
    <t>.</t>
    <phoneticPr fontId="2" type="noConversion"/>
  </si>
  <si>
    <t>p</t>
    <phoneticPr fontId="2" type="noConversion"/>
  </si>
  <si>
    <t>j1809</t>
    <phoneticPr fontId="2" type="noConversion"/>
  </si>
  <si>
    <t>i1809</t>
    <phoneticPr fontId="2" type="noConversion"/>
  </si>
  <si>
    <t>cu1809</t>
    <phoneticPr fontId="2" type="noConversion"/>
  </si>
  <si>
    <t>cu1809</t>
    <phoneticPr fontId="2" type="noConversion"/>
  </si>
  <si>
    <t>c</t>
    <phoneticPr fontId="2" type="noConversion"/>
  </si>
  <si>
    <t>49670|51670</t>
  </si>
  <si>
    <t>au1906</t>
  </si>
  <si>
    <t>au1906</t>
    <phoneticPr fontId="2" type="noConversion"/>
  </si>
  <si>
    <t>Example</t>
    <phoneticPr fontId="2" type="noConversion"/>
  </si>
  <si>
    <t>i1809</t>
    <phoneticPr fontId="2" type="noConversion"/>
  </si>
  <si>
    <t>p</t>
    <phoneticPr fontId="2" type="noConversion"/>
  </si>
  <si>
    <t>中金买入</t>
    <phoneticPr fontId="2" type="noConversion"/>
  </si>
  <si>
    <t>al1808</t>
    <phoneticPr fontId="2" type="noConversion"/>
  </si>
  <si>
    <t>rb1901</t>
  </si>
  <si>
    <t>rb1901</t>
    <phoneticPr fontId="2" type="noConversion"/>
  </si>
  <si>
    <t>c</t>
    <phoneticPr fontId="2" type="noConversion"/>
  </si>
  <si>
    <t>cf901</t>
    <phoneticPr fontId="2" type="noConversion"/>
  </si>
  <si>
    <t>j1809</t>
    <phoneticPr fontId="2" type="noConversion"/>
  </si>
  <si>
    <t>c1901</t>
    <phoneticPr fontId="2" type="noConversion"/>
  </si>
  <si>
    <t>jd1901</t>
    <phoneticPr fontId="2" type="noConversion"/>
  </si>
  <si>
    <t>ap901</t>
    <phoneticPr fontId="2" type="noConversion"/>
  </si>
  <si>
    <t>c</t>
    <phoneticPr fontId="2" type="noConversion"/>
  </si>
  <si>
    <t>p</t>
    <phoneticPr fontId="2" type="noConversion"/>
  </si>
  <si>
    <t>jd</t>
    <phoneticPr fontId="2" type="noConversion"/>
  </si>
  <si>
    <t>jd</t>
    <phoneticPr fontId="2" type="noConversion"/>
  </si>
  <si>
    <t>ap</t>
  </si>
  <si>
    <t>ap</t>
    <phoneticPr fontId="2" type="noConversion"/>
  </si>
  <si>
    <t>ap</t>
    <phoneticPr fontId="2" type="noConversion"/>
  </si>
  <si>
    <t>m</t>
    <phoneticPr fontId="2" type="noConversion"/>
  </si>
  <si>
    <t>m</t>
    <phoneticPr fontId="2" type="noConversion"/>
  </si>
  <si>
    <t>100|90</t>
  </si>
  <si>
    <t>p-sprd</t>
    <phoneticPr fontId="2" type="noConversion"/>
  </si>
  <si>
    <t>al1812</t>
    <phoneticPr fontId="2" type="noConversion"/>
  </si>
  <si>
    <t>rb1810</t>
    <phoneticPr fontId="2" type="noConversion"/>
  </si>
  <si>
    <t>ni1811</t>
  </si>
  <si>
    <t>ni1811</t>
    <phoneticPr fontId="2" type="noConversion"/>
  </si>
  <si>
    <t>p</t>
    <phoneticPr fontId="2" type="noConversion"/>
  </si>
  <si>
    <t>al1811</t>
    <phoneticPr fontId="2" type="noConversion"/>
  </si>
  <si>
    <t>c</t>
    <phoneticPr fontId="2" type="noConversion"/>
  </si>
  <si>
    <t>m</t>
    <phoneticPr fontId="2" type="noConversion"/>
  </si>
  <si>
    <t>p-sprd</t>
    <phoneticPr fontId="2" type="noConversion"/>
  </si>
  <si>
    <t>p1809</t>
    <phoneticPr fontId="2" type="noConversion"/>
  </si>
  <si>
    <t>ru1809</t>
  </si>
  <si>
    <t>ru1809</t>
    <phoneticPr fontId="2" type="noConversion"/>
  </si>
  <si>
    <t>hc1901</t>
  </si>
  <si>
    <t>hc1901</t>
    <phoneticPr fontId="2" type="noConversion"/>
  </si>
  <si>
    <t>cu</t>
    <phoneticPr fontId="2" type="noConversion"/>
  </si>
  <si>
    <t>c</t>
    <phoneticPr fontId="2" type="noConversion"/>
  </si>
  <si>
    <t>100|95</t>
  </si>
  <si>
    <t>c-sprd</t>
    <phoneticPr fontId="2" type="noConversion"/>
  </si>
  <si>
    <t>p-sprd</t>
    <phoneticPr fontId="2" type="noConversion"/>
  </si>
  <si>
    <t>100|105</t>
    <phoneticPr fontId="2" type="noConversion"/>
  </si>
  <si>
    <t>100|102</t>
    <phoneticPr fontId="2" type="noConversion"/>
  </si>
  <si>
    <t>100|98</t>
    <phoneticPr fontId="2" type="noConversion"/>
  </si>
  <si>
    <t>c</t>
    <phoneticPr fontId="2" type="noConversion"/>
  </si>
  <si>
    <t>hc1901</t>
    <phoneticPr fontId="2" type="noConversion"/>
  </si>
  <si>
    <t>p</t>
    <phoneticPr fontId="2" type="noConversion"/>
  </si>
  <si>
    <t>ni1811</t>
    <phoneticPr fontId="2" type="noConversion"/>
  </si>
  <si>
    <t>au1812</t>
  </si>
  <si>
    <t>au1812</t>
    <phoneticPr fontId="2" type="noConversion"/>
  </si>
  <si>
    <t>c1901</t>
  </si>
  <si>
    <t>99|96</t>
  </si>
  <si>
    <t>p-sprd</t>
    <phoneticPr fontId="2" type="noConversion"/>
  </si>
  <si>
    <t xml:space="preserve">    看涨期权 </t>
    <phoneticPr fontId="2" type="noConversion"/>
  </si>
  <si>
    <t>权利金（桶）：</t>
    <phoneticPr fontId="2" type="noConversion"/>
  </si>
  <si>
    <t>sc1809</t>
    <phoneticPr fontId="2" type="noConversion"/>
  </si>
  <si>
    <t>交易量（桶）：</t>
    <phoneticPr fontId="2" type="noConversion"/>
  </si>
  <si>
    <t>sr901</t>
  </si>
  <si>
    <t>sr901</t>
    <phoneticPr fontId="2" type="noConversion"/>
  </si>
  <si>
    <t>m1901</t>
  </si>
  <si>
    <t>m1901</t>
    <phoneticPr fontId="2" type="noConversion"/>
  </si>
  <si>
    <t>成交回报straddle leg 1</t>
    <phoneticPr fontId="2" type="noConversion"/>
  </si>
  <si>
    <t>成交回报straddle leg 2</t>
    <phoneticPr fontId="2" type="noConversion"/>
  </si>
  <si>
    <t>zc809</t>
  </si>
  <si>
    <t>zc809</t>
    <phoneticPr fontId="2" type="noConversion"/>
  </si>
  <si>
    <t>zc809</t>
    <phoneticPr fontId="2" type="noConversion"/>
  </si>
  <si>
    <t>635|595</t>
  </si>
  <si>
    <t>客户支付</t>
    <phoneticPr fontId="2" type="noConversion"/>
  </si>
  <si>
    <t>组合</t>
    <phoneticPr fontId="2" type="noConversion"/>
  </si>
  <si>
    <t>zc811</t>
  </si>
  <si>
    <t>zc811</t>
    <phoneticPr fontId="2" type="noConversion"/>
  </si>
  <si>
    <t>中金卖出</t>
    <phoneticPr fontId="2" type="noConversion"/>
  </si>
  <si>
    <t>cu1810</t>
  </si>
  <si>
    <t>cu1810</t>
    <phoneticPr fontId="2" type="noConversion"/>
  </si>
  <si>
    <t>cu1812</t>
  </si>
  <si>
    <t>cu1812</t>
    <phoneticPr fontId="2" type="noConversion"/>
  </si>
  <si>
    <t>C/P</t>
  </si>
  <si>
    <t>i1809</t>
    <phoneticPr fontId="2" type="noConversion"/>
  </si>
  <si>
    <t>p</t>
    <phoneticPr fontId="2" type="noConversion"/>
  </si>
  <si>
    <t>中金买入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</si>
</sst>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2" formatCode="_ * #,##0_ ;_ * \-#,##0_ ;_ * &quot;-&quot;??_ ;_ @_ "/>
    <numFmt numFmtId="183" formatCode="###,###,##0.00"/>
    <numFmt numFmtId="184" formatCode="#,##0.00_ "/>
    <numFmt numFmtId="185" formatCode="0.000%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66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183" fontId="6" fillId="9" borderId="2" xfId="0" applyNumberFormat="1" applyFont="1" applyFill="1" applyBorder="1"/>
    <xf numFmtId="0" fontId="6" fillId="9" borderId="17" xfId="0" applyFont="1" applyFill="1" applyBorder="1" applyAlignment="1">
      <alignment horizontal="center"/>
    </xf>
    <xf numFmtId="14" fontId="6" fillId="9" borderId="17" xfId="0" applyNumberFormat="1" applyFont="1" applyFill="1" applyBorder="1" applyAlignment="1">
      <alignment horizontal="center"/>
    </xf>
    <xf numFmtId="2" fontId="6" fillId="9" borderId="17" xfId="0" applyNumberFormat="1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 applyAlignment="1">
      <alignment horizontal="center"/>
    </xf>
    <xf numFmtId="2" fontId="6" fillId="9" borderId="0" xfId="0" applyNumberFormat="1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4" fontId="6" fillId="9" borderId="2" xfId="0" applyNumberFormat="1" applyFont="1" applyFill="1" applyBorder="1" applyAlignment="1">
      <alignment horizontal="center"/>
    </xf>
    <xf numFmtId="2" fontId="6" fillId="9" borderId="2" xfId="0" applyNumberFormat="1" applyFont="1" applyFill="1" applyBorder="1" applyAlignment="1">
      <alignment horizontal="center"/>
    </xf>
    <xf numFmtId="14" fontId="6" fillId="6" borderId="0" xfId="0" applyNumberFormat="1" applyFont="1" applyFill="1"/>
    <xf numFmtId="14" fontId="11" fillId="6" borderId="0" xfId="0" applyNumberFormat="1" applyFont="1" applyFill="1"/>
    <xf numFmtId="183" fontId="6" fillId="6" borderId="0" xfId="0" applyNumberFormat="1" applyFont="1" applyFill="1"/>
    <xf numFmtId="2" fontId="6" fillId="7" borderId="2" xfId="0" applyNumberFormat="1" applyFont="1" applyFill="1" applyBorder="1" applyAlignment="1">
      <alignment horizontal="center"/>
    </xf>
    <xf numFmtId="184" fontId="13" fillId="9" borderId="6" xfId="0" applyNumberFormat="1" applyFont="1" applyFill="1" applyBorder="1"/>
    <xf numFmtId="184" fontId="13" fillId="9" borderId="2" xfId="0" applyNumberFormat="1" applyFont="1" applyFill="1" applyBorder="1"/>
    <xf numFmtId="179" fontId="6" fillId="9" borderId="2" xfId="0" applyNumberFormat="1" applyFont="1" applyFill="1" applyBorder="1"/>
    <xf numFmtId="185" fontId="6" fillId="6" borderId="0" xfId="1" applyNumberFormat="1" applyFont="1" applyFill="1" applyAlignment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182" fontId="33" fillId="10" borderId="3" xfId="5" applyNumberFormat="1" applyFont="1" applyFill="1" applyBorder="1" applyAlignment="1">
      <alignment horizontal="right" vertical="center"/>
    </xf>
    <xf numFmtId="182" fontId="33" fillId="10" borderId="0" xfId="5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26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10285</v>
        <stp/>
        <stp>ru1809</stp>
        <stp>LastPrice</stp>
        <tr r="P160" s="1"/>
        <tr r="P163" s="1"/>
      </tp>
      <tp>
        <v>48590</v>
        <stp/>
        <stp>cu1809</stp>
        <stp>LastPrice</stp>
        <tr r="P64" s="9"/>
        <tr r="P76" s="9"/>
      </tp>
      <tp>
        <v>4644</v>
        <stp/>
        <stp>p1809</stp>
        <stp>LastPrice</stp>
        <tr r="P159" s="1"/>
        <tr r="P162" s="1"/>
      </tp>
      <tp>
        <v>48670</v>
        <stp/>
        <stp>cu1810</stp>
        <stp>LastPrice</stp>
        <tr r="P209" s="1"/>
      </tp>
      <tp>
        <v>12005</v>
        <stp/>
        <stp>ru1901</stp>
        <stp>LastPrice</stp>
        <tr r="P35" s="1"/>
        <tr r="P36" s="1"/>
      </tp>
      <tp>
        <v>619.6</v>
        <stp/>
        <stp>zc809</stp>
        <stp>LastPrice</stp>
        <tr r="P113" s="9"/>
        <tr r="P112" s="9"/>
      </tp>
      <tp>
        <v>3262</v>
        <stp/>
        <stp>bu1812</stp>
        <stp>LastPrice</stp>
        <tr r="P47" s="1"/>
      </tp>
      <tp>
        <v>48800</v>
        <stp/>
        <stp>cu1812</stp>
        <stp>LastPrice</stp>
        <tr r="P210" s="1"/>
      </tp>
      <tp>
        <v>5488</v>
        <stp/>
        <stp>y1809</stp>
        <stp>LastPrice</stp>
        <tr r="P60" s="9"/>
        <tr r="P72" s="9"/>
      </tp>
      <tp>
        <v>14210</v>
        <stp/>
        <stp>al1811</stp>
        <stp>LastPrice</stp>
        <tr r="P20" s="1"/>
        <tr r="P31" s="1"/>
        <tr r="P29" s="1"/>
        <tr r="P32" s="1"/>
        <tr r="P112" s="1"/>
        <tr r="P111" s="1"/>
        <tr r="P154" s="1"/>
        <tr r="P155" s="1"/>
      </tp>
      <tp>
        <v>14120</v>
        <stp/>
        <stp>al1810</stp>
        <stp>LastPrice</stp>
        <tr r="P22" s="1"/>
        <tr r="P19" s="1"/>
        <tr r="P61" s="1"/>
        <tr r="P110" s="1"/>
        <tr r="P109" s="1"/>
      </tp>
      <tp>
        <v>14270</v>
        <stp/>
        <stp>al1812</stp>
        <stp>LastPrice</stp>
        <tr r="P150" s="1"/>
      </tp>
      <tp>
        <v>109700</v>
        <stp/>
        <stp>ni1811</stp>
        <stp>LastPrice</stp>
        <tr r="P153" s="1"/>
        <tr r="P184" s="1"/>
        <tr r="P183" s="1"/>
      </tp>
      <tp>
        <v>18390</v>
        <stp/>
        <stp>pb1809</stp>
        <stp>LastPrice</stp>
        <tr r="P27" s="1"/>
      </tp>
      <tp t="b">
        <v>0</v>
        <stp/>
        <stp>al1809</stp>
        <stp>LastPrice</stp>
        <tr r="P21" s="1"/>
        <tr r="P18" s="1"/>
        <tr r="P108" s="1"/>
        <tr r="P107" s="1"/>
      </tp>
      <tp t="b">
        <v>0</v>
        <stp/>
        <stp>c1901</stp>
        <stp>LastPrice</stp>
        <tr r="P197" s="1"/>
        <tr r="P199" s="1"/>
        <tr r="P196" s="1"/>
        <tr r="P198" s="1"/>
      </tp>
      <tp t="b">
        <v>0</v>
        <stp/>
        <stp>cf901</stp>
        <stp>LastPrice</stp>
        <tr r="P71" s="1"/>
        <tr r="P72" s="1"/>
        <tr r="P123" s="1"/>
        <tr r="P133" s="1"/>
      </tp>
      <tp t="b">
        <v>0</v>
        <stp/>
        <stp>al1808</stp>
        <stp>LastPrice</stp>
        <tr r="P8" s="1"/>
        <tr r="P129" s="1"/>
      </tp>
      <tp>
        <v>2054.5</v>
        <stp/>
        <stp>j1809</stp>
        <stp>LastPrice</stp>
        <tr r="P99" s="1"/>
        <tr r="P98" s="1"/>
        <tr r="P97" s="1"/>
        <tr r="P114" s="1"/>
      </tp>
      <tp t="b">
        <v>0</v>
        <stp/>
        <stp>i1809</stp>
        <stp>LastPrice</stp>
        <tr r="P11" s="9"/>
        <tr r="P34" s="1"/>
        <tr r="P77" s="1"/>
        <tr r="P116" s="1"/>
        <tr r="P115" s="1"/>
        <tr r="P52" s="9"/>
        <tr r="P127" s="1"/>
      </tp>
      <tp t="b">
        <v>0</v>
        <stp/>
        <stp>ap901</stp>
        <stp>LastPrice</stp>
        <tr r="P59" s="1"/>
        <tr r="P214" s="1"/>
        <tr r="P213" s="1"/>
        <tr r="P212" s="1"/>
      </tp>
      <tp t="b">
        <v>0</v>
        <stp/>
        <stp>ap810</stp>
        <stp>LastPrice</stp>
        <tr r="P58" s="1"/>
      </tp>
      <tp t="b">
        <v>0</v>
        <stp/>
        <stp>hc1810</stp>
        <stp>LastPrice</stp>
        <tr r="P86" s="1"/>
      </tp>
      <tp>
        <v>3767</v>
        <stp/>
        <stp>rb1901</stp>
        <stp>LastPrice</stp>
        <tr r="O191" s="6"/>
        <tr r="P131" s="1"/>
      </tp>
      <tp>
        <v>3128</v>
        <stp/>
        <stp>m1809</stp>
        <stp>LastPrice</stp>
        <tr r="P18" s="9"/>
        <tr r="P21" s="9"/>
      </tp>
      <tp t="b">
        <v>0</v>
        <stp/>
        <stp>rb1810</stp>
        <stp>LastPrice</stp>
        <tr r="P14" s="9"/>
        <tr r="P28" s="9"/>
        <tr r="P34" s="9"/>
        <tr r="P33" s="9"/>
        <tr r="P27" s="9"/>
        <tr r="P30" s="9"/>
        <tr r="P54" s="1"/>
        <tr r="P55" s="1"/>
        <tr r="P53" s="1"/>
        <tr r="P51" s="1"/>
        <tr r="P26" s="9"/>
        <tr r="P29" s="9"/>
        <tr r="P31" s="9"/>
        <tr r="P52" s="1"/>
        <tr r="P50" s="1"/>
        <tr r="P32" s="9"/>
        <tr r="P152" s="1"/>
        <tr r="P189" s="1"/>
      </tp>
      <tp>
        <v>3866</v>
        <stp/>
        <stp>hc1901</stp>
        <stp>LastPrice</stp>
        <tr r="P165" s="1"/>
        <tr r="P166" s="1"/>
        <tr r="P181" s="1"/>
        <tr r="P180" s="1"/>
      </tp>
      <tp t="b">
        <v>0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79"/>
  <sheetViews>
    <sheetView zoomScaleNormal="100" workbookViewId="0">
      <pane ySplit="8" topLeftCell="A256" activePane="bottomLeft" state="frozen"/>
      <selection pane="bottomLeft" activeCell="N283" sqref="N283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7.125" style="6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38" t="s">
        <v>158</v>
      </c>
      <c r="C1" s="138"/>
      <c r="D1" s="138"/>
    </row>
    <row r="2" spans="2:18" ht="12" thickTop="1" x14ac:dyDescent="0.15"/>
    <row r="3" spans="2:18" ht="13.5" x14ac:dyDescent="0.15">
      <c r="I3" s="112" t="s">
        <v>199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2"/>
      <c r="C8" s="92"/>
      <c r="D8" s="93"/>
      <c r="E8" s="93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</row>
    <row r="9" spans="2:18" x14ac:dyDescent="0.15">
      <c r="B9" s="91" t="s">
        <v>2</v>
      </c>
      <c r="C9" s="33" t="s">
        <v>181</v>
      </c>
      <c r="D9" s="33" t="s">
        <v>180</v>
      </c>
      <c r="E9" s="33" t="s">
        <v>10</v>
      </c>
      <c r="F9" s="33" t="s">
        <v>184</v>
      </c>
      <c r="G9" s="33" t="s">
        <v>11</v>
      </c>
      <c r="H9" s="33" t="s">
        <v>12</v>
      </c>
      <c r="I9" s="33" t="s">
        <v>47</v>
      </c>
      <c r="J9" s="33" t="s">
        <v>13</v>
      </c>
      <c r="K9" s="33" t="s">
        <v>14</v>
      </c>
      <c r="L9" s="33" t="s">
        <v>26</v>
      </c>
      <c r="M9" s="33" t="s">
        <v>28</v>
      </c>
      <c r="N9" s="33" t="s">
        <v>182</v>
      </c>
      <c r="O9" s="33" t="s">
        <v>8</v>
      </c>
      <c r="P9" s="33" t="s">
        <v>23</v>
      </c>
      <c r="Q9" s="33"/>
      <c r="R9" s="33" t="s">
        <v>30</v>
      </c>
    </row>
    <row r="10" spans="2:18" x14ac:dyDescent="0.15">
      <c r="B10" s="92" t="s">
        <v>160</v>
      </c>
      <c r="C10" s="92" t="s">
        <v>227</v>
      </c>
      <c r="D10" s="93">
        <v>43250</v>
      </c>
      <c r="E10" s="93">
        <v>43294</v>
      </c>
      <c r="F10" s="92">
        <v>14500</v>
      </c>
      <c r="G10" s="92">
        <v>44</v>
      </c>
      <c r="H10" s="92">
        <v>0.12054794520547946</v>
      </c>
      <c r="I10" s="92">
        <v>0</v>
      </c>
      <c r="J10" s="92">
        <v>0.13</v>
      </c>
      <c r="K10" s="92">
        <v>148.1957993354099</v>
      </c>
      <c r="L10" s="92">
        <v>30</v>
      </c>
      <c r="M10" s="92">
        <v>5.3432876712328774</v>
      </c>
      <c r="N10" s="99">
        <v>142.85251166417703</v>
      </c>
      <c r="O10" s="92">
        <v>14775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233</v>
      </c>
      <c r="D11" s="93">
        <v>43250</v>
      </c>
      <c r="E11" s="93">
        <v>43325</v>
      </c>
      <c r="F11" s="92">
        <v>14500</v>
      </c>
      <c r="G11" s="92">
        <v>75</v>
      </c>
      <c r="H11" s="92">
        <v>0.20547945205479451</v>
      </c>
      <c r="I11" s="92">
        <v>0</v>
      </c>
      <c r="J11" s="92">
        <v>0.13</v>
      </c>
      <c r="K11" s="92">
        <v>197.0015228979737</v>
      </c>
      <c r="L11" s="92">
        <v>30</v>
      </c>
      <c r="M11" s="92">
        <v>9.1541095890410951</v>
      </c>
      <c r="N11" s="99">
        <v>187.8474133089326</v>
      </c>
      <c r="O11" s="92">
        <v>14850</v>
      </c>
      <c r="P11" s="92" t="s">
        <v>85</v>
      </c>
      <c r="Q11" s="92">
        <v>1</v>
      </c>
      <c r="R11" s="92" t="s">
        <v>151</v>
      </c>
    </row>
    <row r="12" spans="2:18" x14ac:dyDescent="0.15">
      <c r="B12" s="92" t="s">
        <v>160</v>
      </c>
      <c r="C12" s="92" t="s">
        <v>238</v>
      </c>
      <c r="D12" s="93">
        <v>43250</v>
      </c>
      <c r="E12" s="93">
        <v>43356</v>
      </c>
      <c r="F12" s="92">
        <v>14500</v>
      </c>
      <c r="G12" s="92">
        <v>106</v>
      </c>
      <c r="H12" s="92">
        <v>0.29041095890410956</v>
      </c>
      <c r="I12" s="92">
        <v>0</v>
      </c>
      <c r="J12" s="92">
        <v>0.13</v>
      </c>
      <c r="K12" s="92">
        <v>231.7094428625951</v>
      </c>
      <c r="L12" s="92">
        <v>30</v>
      </c>
      <c r="M12" s="92">
        <v>13.003150684931507</v>
      </c>
      <c r="N12" s="99">
        <v>218.70629217766358</v>
      </c>
      <c r="O12" s="92">
        <v>14925</v>
      </c>
      <c r="P12" s="92" t="s">
        <v>85</v>
      </c>
      <c r="Q12" s="92">
        <v>1</v>
      </c>
      <c r="R12" s="92" t="s">
        <v>151</v>
      </c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228</v>
      </c>
      <c r="D14" s="93">
        <v>43250</v>
      </c>
      <c r="E14" s="93">
        <v>43280</v>
      </c>
      <c r="F14" s="92">
        <v>49500</v>
      </c>
      <c r="G14" s="92">
        <v>30</v>
      </c>
      <c r="H14" s="92">
        <v>8.2191780821917804E-2</v>
      </c>
      <c r="I14" s="92">
        <v>0</v>
      </c>
      <c r="J14" s="92">
        <v>0.12</v>
      </c>
      <c r="K14" s="92">
        <v>171.01217245503904</v>
      </c>
      <c r="L14" s="92">
        <v>30</v>
      </c>
      <c r="M14" s="92">
        <v>12.592602739726027</v>
      </c>
      <c r="N14" s="99">
        <v>158.419569715313</v>
      </c>
      <c r="O14" s="92">
        <v>51070</v>
      </c>
      <c r="P14" s="92" t="s">
        <v>85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239</v>
      </c>
      <c r="D16" s="93">
        <v>43258</v>
      </c>
      <c r="E16" s="93">
        <v>43350</v>
      </c>
      <c r="F16" s="92">
        <v>3320</v>
      </c>
      <c r="G16" s="92">
        <v>92</v>
      </c>
      <c r="H16" s="92">
        <v>0.25205479452054796</v>
      </c>
      <c r="I16" s="92">
        <v>0</v>
      </c>
      <c r="J16" s="92">
        <v>0.27</v>
      </c>
      <c r="K16" s="92">
        <v>-152.43041613213791</v>
      </c>
      <c r="L16" s="92"/>
      <c r="M16" s="92">
        <v>0</v>
      </c>
      <c r="N16" s="99">
        <v>152.43041613213791</v>
      </c>
      <c r="O16" s="92">
        <v>3268</v>
      </c>
      <c r="P16" s="92" t="s">
        <v>39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240</v>
      </c>
      <c r="D18" s="93">
        <v>43259</v>
      </c>
      <c r="E18" s="93">
        <v>43289</v>
      </c>
      <c r="F18" s="92" t="s">
        <v>241</v>
      </c>
      <c r="G18" s="92">
        <v>30</v>
      </c>
      <c r="H18" s="92">
        <v>8.2191780821917804E-2</v>
      </c>
      <c r="I18" s="92"/>
      <c r="J18" s="92"/>
      <c r="K18" s="92">
        <v>-75.037597099661866</v>
      </c>
      <c r="L18" s="92">
        <v>0</v>
      </c>
      <c r="M18" s="92">
        <v>0</v>
      </c>
      <c r="N18" s="99">
        <v>75.880366861716993</v>
      </c>
      <c r="O18" s="92">
        <v>4978</v>
      </c>
      <c r="P18" s="92" t="s">
        <v>243</v>
      </c>
      <c r="Q18" s="92"/>
      <c r="R18" s="92" t="s">
        <v>20</v>
      </c>
    </row>
    <row r="19" spans="2:18" x14ac:dyDescent="0.15">
      <c r="B19" s="92" t="s">
        <v>160</v>
      </c>
      <c r="C19" s="92" t="s">
        <v>240</v>
      </c>
      <c r="D19" s="93">
        <v>43259</v>
      </c>
      <c r="E19" s="93">
        <v>43289</v>
      </c>
      <c r="F19" s="92" t="s">
        <v>242</v>
      </c>
      <c r="G19" s="92">
        <v>30</v>
      </c>
      <c r="H19" s="92">
        <v>8.2191780821917804E-2</v>
      </c>
      <c r="I19" s="92"/>
      <c r="J19" s="92"/>
      <c r="K19" s="92">
        <v>-86.074815865016888</v>
      </c>
      <c r="L19" s="92">
        <v>0</v>
      </c>
      <c r="M19" s="92">
        <v>0</v>
      </c>
      <c r="N19" s="99">
        <v>87.298306393556857</v>
      </c>
      <c r="O19" s="92">
        <v>4978</v>
      </c>
      <c r="P19" s="92" t="s">
        <v>243</v>
      </c>
      <c r="Q19" s="92"/>
      <c r="R19" s="92" t="s">
        <v>20</v>
      </c>
    </row>
    <row r="20" spans="2:18" x14ac:dyDescent="0.15">
      <c r="B20" s="91" t="s">
        <v>2</v>
      </c>
      <c r="C20" s="33" t="s">
        <v>181</v>
      </c>
      <c r="D20" s="33" t="s">
        <v>180</v>
      </c>
      <c r="E20" s="33" t="s">
        <v>10</v>
      </c>
      <c r="F20" s="33" t="s">
        <v>184</v>
      </c>
      <c r="G20" s="33" t="s">
        <v>11</v>
      </c>
      <c r="H20" s="33" t="s">
        <v>12</v>
      </c>
      <c r="I20" s="33" t="s">
        <v>47</v>
      </c>
      <c r="J20" s="33" t="s">
        <v>13</v>
      </c>
      <c r="K20" s="33" t="s">
        <v>14</v>
      </c>
      <c r="L20" s="33" t="s">
        <v>26</v>
      </c>
      <c r="M20" s="33" t="s">
        <v>28</v>
      </c>
      <c r="N20" s="33" t="s">
        <v>182</v>
      </c>
      <c r="O20" s="33" t="s">
        <v>8</v>
      </c>
      <c r="P20" s="33" t="s">
        <v>23</v>
      </c>
      <c r="Q20" s="33"/>
      <c r="R20" s="33" t="s">
        <v>30</v>
      </c>
    </row>
    <row r="21" spans="2:18" x14ac:dyDescent="0.15">
      <c r="B21" s="92" t="s">
        <v>160</v>
      </c>
      <c r="C21" s="92" t="s">
        <v>244</v>
      </c>
      <c r="D21" s="93">
        <v>43262</v>
      </c>
      <c r="E21" s="93">
        <v>43292</v>
      </c>
      <c r="F21" s="92">
        <v>10700</v>
      </c>
      <c r="G21" s="92">
        <v>30</v>
      </c>
      <c r="H21" s="92">
        <v>8.2191780821917804E-2</v>
      </c>
      <c r="I21" s="92">
        <v>0</v>
      </c>
      <c r="J21" s="92">
        <v>0.32</v>
      </c>
      <c r="K21" s="92">
        <v>-225.80730406223847</v>
      </c>
      <c r="L21" s="92"/>
      <c r="M21" s="92">
        <v>0</v>
      </c>
      <c r="N21" s="99">
        <v>225.80730406223847</v>
      </c>
      <c r="O21" s="92">
        <v>10326</v>
      </c>
      <c r="P21" s="92" t="s">
        <v>39</v>
      </c>
      <c r="Q21" s="92">
        <v>-1</v>
      </c>
      <c r="R21" s="92" t="s">
        <v>20</v>
      </c>
    </row>
    <row r="22" spans="2:18" x14ac:dyDescent="0.15">
      <c r="B22" s="92" t="s">
        <v>160</v>
      </c>
      <c r="C22" s="92" t="s">
        <v>244</v>
      </c>
      <c r="D22" s="93">
        <v>43262</v>
      </c>
      <c r="E22" s="93">
        <v>43292</v>
      </c>
      <c r="F22" s="92">
        <v>10800</v>
      </c>
      <c r="G22" s="92">
        <v>30</v>
      </c>
      <c r="H22" s="92">
        <v>8.2191780821917804E-2</v>
      </c>
      <c r="I22" s="92">
        <v>0</v>
      </c>
      <c r="J22" s="92">
        <v>0.32</v>
      </c>
      <c r="K22" s="92">
        <v>-194.44874223922034</v>
      </c>
      <c r="L22" s="92"/>
      <c r="M22" s="92">
        <v>0</v>
      </c>
      <c r="N22" s="99">
        <v>194.44874223922034</v>
      </c>
      <c r="O22" s="92">
        <v>10326</v>
      </c>
      <c r="P22" s="92" t="s">
        <v>39</v>
      </c>
      <c r="Q22" s="92">
        <v>-1</v>
      </c>
      <c r="R22" s="92" t="s">
        <v>20</v>
      </c>
    </row>
    <row r="23" spans="2:18" x14ac:dyDescent="0.15">
      <c r="B23" s="92" t="s">
        <v>160</v>
      </c>
      <c r="C23" s="92" t="s">
        <v>244</v>
      </c>
      <c r="D23" s="93">
        <v>43262</v>
      </c>
      <c r="E23" s="93">
        <v>43292</v>
      </c>
      <c r="F23" s="92">
        <v>11000</v>
      </c>
      <c r="G23" s="92">
        <v>30</v>
      </c>
      <c r="H23" s="92">
        <v>8.2191780821917804E-2</v>
      </c>
      <c r="I23" s="92">
        <v>0</v>
      </c>
      <c r="J23" s="92">
        <v>0.32500000000000001</v>
      </c>
      <c r="K23" s="92">
        <v>-146.75993595111549</v>
      </c>
      <c r="L23" s="92"/>
      <c r="M23" s="92">
        <v>0</v>
      </c>
      <c r="N23" s="99">
        <v>146.75993595111549</v>
      </c>
      <c r="O23" s="92">
        <v>10326</v>
      </c>
      <c r="P23" s="92" t="s">
        <v>39</v>
      </c>
      <c r="Q23" s="92">
        <v>-1</v>
      </c>
      <c r="R23" s="92" t="s">
        <v>20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228</v>
      </c>
      <c r="D25" s="93">
        <v>43262</v>
      </c>
      <c r="E25" s="93">
        <v>43292</v>
      </c>
      <c r="F25" s="92">
        <v>54800</v>
      </c>
      <c r="G25" s="92">
        <v>30</v>
      </c>
      <c r="H25" s="92">
        <v>8.2191780821917804E-2</v>
      </c>
      <c r="I25" s="92">
        <v>0</v>
      </c>
      <c r="J25" s="92">
        <v>0.19750000000000001</v>
      </c>
      <c r="K25" s="92">
        <v>-956.88081470014367</v>
      </c>
      <c r="L25" s="92">
        <v>50</v>
      </c>
      <c r="M25" s="92">
        <v>22.278082191780822</v>
      </c>
      <c r="N25" s="99">
        <v>979.15889689192454</v>
      </c>
      <c r="O25" s="92">
        <v>54210</v>
      </c>
      <c r="P25" s="92" t="s">
        <v>39</v>
      </c>
      <c r="Q25" s="92">
        <v>-1</v>
      </c>
      <c r="R25" s="92" t="s">
        <v>20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228</v>
      </c>
      <c r="D28" s="93">
        <v>43262</v>
      </c>
      <c r="E28" s="93">
        <v>43292</v>
      </c>
      <c r="F28" s="92" t="s">
        <v>245</v>
      </c>
      <c r="G28" s="92">
        <v>30</v>
      </c>
      <c r="H28" s="92">
        <v>8.2191780821917804E-2</v>
      </c>
      <c r="I28" s="92"/>
      <c r="J28" s="92"/>
      <c r="K28" s="92">
        <v>-1048.8812482139592</v>
      </c>
      <c r="L28" s="92">
        <v>50</v>
      </c>
      <c r="M28" s="92">
        <v>22.520547945205479</v>
      </c>
      <c r="N28" s="99">
        <v>1071.4017961591646</v>
      </c>
      <c r="O28" s="92">
        <v>54800</v>
      </c>
      <c r="P28" s="92" t="s">
        <v>246</v>
      </c>
      <c r="Q28" s="92"/>
      <c r="R28" s="92" t="s">
        <v>247</v>
      </c>
    </row>
    <row r="29" spans="2:18" x14ac:dyDescent="0.15">
      <c r="B29" s="91" t="s">
        <v>2</v>
      </c>
      <c r="C29" s="33" t="s">
        <v>181</v>
      </c>
      <c r="D29" s="33" t="s">
        <v>180</v>
      </c>
      <c r="E29" s="33" t="s">
        <v>10</v>
      </c>
      <c r="F29" s="33" t="s">
        <v>184</v>
      </c>
      <c r="G29" s="33" t="s">
        <v>11</v>
      </c>
      <c r="H29" s="33" t="s">
        <v>12</v>
      </c>
      <c r="I29" s="33" t="s">
        <v>47</v>
      </c>
      <c r="J29" s="33" t="s">
        <v>13</v>
      </c>
      <c r="K29" s="33" t="s">
        <v>14</v>
      </c>
      <c r="L29" s="33" t="s">
        <v>26</v>
      </c>
      <c r="M29" s="33" t="s">
        <v>28</v>
      </c>
      <c r="N29" s="33" t="s">
        <v>182</v>
      </c>
      <c r="O29" s="33" t="s">
        <v>8</v>
      </c>
      <c r="P29" s="33" t="s">
        <v>23</v>
      </c>
      <c r="Q29" s="33"/>
      <c r="R29" s="33" t="s">
        <v>30</v>
      </c>
    </row>
    <row r="30" spans="2:18" x14ac:dyDescent="0.15">
      <c r="B30" s="92" t="s">
        <v>160</v>
      </c>
      <c r="C30" s="92" t="s">
        <v>257</v>
      </c>
      <c r="D30" s="93">
        <f t="shared" ref="D30:D31" ca="1" si="0">TODAY()</f>
        <v>43301</v>
      </c>
      <c r="E30" s="93">
        <f t="shared" ref="E30:E31" ca="1" si="1">D30+G30</f>
        <v>43360</v>
      </c>
      <c r="F30" s="92">
        <v>100</v>
      </c>
      <c r="G30" s="92">
        <v>59</v>
      </c>
      <c r="H30" s="92">
        <f t="shared" ref="H30:H31" si="2">G30/365</f>
        <v>0.16164383561643836</v>
      </c>
      <c r="I30" s="92">
        <v>0</v>
      </c>
      <c r="J30" s="92">
        <v>0.36</v>
      </c>
      <c r="K30" s="92" t="e">
        <f>_xll.dnetGBlackScholesNGreeks("price",$Q30,$P30,$G30,$I30,$C$3,$J30,$K30,$C$4)*Q30</f>
        <v>#VALUE!</v>
      </c>
      <c r="L30" s="92">
        <v>0</v>
      </c>
      <c r="M30" s="92">
        <f t="shared" ref="M30:M31" si="3">L30/10000*H30*O30</f>
        <v>0</v>
      </c>
      <c r="N30" s="99" t="e">
        <f t="shared" ref="N30" si="4">IF(K30&lt;=0,ABS(K30)+M30,K30-M30)</f>
        <v>#VALUE!</v>
      </c>
      <c r="O30" s="92">
        <v>100</v>
      </c>
      <c r="P30" s="92" t="s">
        <v>27</v>
      </c>
      <c r="Q30" s="92">
        <f t="shared" ref="Q30:Q31" si="5">IF(R30="中金买入",1,-1)</f>
        <v>-1</v>
      </c>
      <c r="R30" s="92" t="s">
        <v>21</v>
      </c>
    </row>
    <row r="31" spans="2:18" x14ac:dyDescent="0.15">
      <c r="B31" s="92" t="s">
        <v>160</v>
      </c>
      <c r="C31" s="92" t="s">
        <v>255</v>
      </c>
      <c r="D31" s="93">
        <f t="shared" ca="1" si="0"/>
        <v>43301</v>
      </c>
      <c r="E31" s="93">
        <f t="shared" ca="1" si="1"/>
        <v>43360</v>
      </c>
      <c r="F31" s="92">
        <v>100</v>
      </c>
      <c r="G31" s="92">
        <v>59</v>
      </c>
      <c r="H31" s="92">
        <f t="shared" si="2"/>
        <v>0.16164383561643836</v>
      </c>
      <c r="I31" s="92">
        <v>0</v>
      </c>
      <c r="J31" s="92">
        <v>0.36</v>
      </c>
      <c r="K31" s="92" t="e">
        <f>_xll.dnetGBlackScholesNGreeks("price",$Q31,$P31,$G31,$I31,$C$3,$J31,$K31,$C$4)*Q31</f>
        <v>#VALUE!</v>
      </c>
      <c r="L31" s="92">
        <v>30</v>
      </c>
      <c r="M31" s="92">
        <f t="shared" si="3"/>
        <v>4.8493150684931506E-2</v>
      </c>
      <c r="N31" s="99">
        <v>5.75</v>
      </c>
      <c r="O31" s="92">
        <v>100</v>
      </c>
      <c r="P31" s="92" t="s">
        <v>27</v>
      </c>
      <c r="Q31" s="92">
        <f t="shared" si="5"/>
        <v>-1</v>
      </c>
      <c r="R31" s="92" t="s">
        <v>21</v>
      </c>
    </row>
    <row r="32" spans="2:18" x14ac:dyDescent="0.15">
      <c r="B32" s="91" t="s">
        <v>2</v>
      </c>
      <c r="C32" s="33" t="s">
        <v>181</v>
      </c>
      <c r="D32" s="33" t="s">
        <v>180</v>
      </c>
      <c r="E32" s="33" t="s">
        <v>10</v>
      </c>
      <c r="F32" s="33" t="s">
        <v>184</v>
      </c>
      <c r="G32" s="33" t="s">
        <v>11</v>
      </c>
      <c r="H32" s="33" t="s">
        <v>12</v>
      </c>
      <c r="I32" s="33" t="s">
        <v>47</v>
      </c>
      <c r="J32" s="33" t="s">
        <v>13</v>
      </c>
      <c r="K32" s="33" t="s">
        <v>14</v>
      </c>
      <c r="L32" s="33" t="s">
        <v>26</v>
      </c>
      <c r="M32" s="33" t="s">
        <v>28</v>
      </c>
      <c r="N32" s="33" t="s">
        <v>182</v>
      </c>
      <c r="O32" s="33" t="s">
        <v>8</v>
      </c>
      <c r="P32" s="33" t="s">
        <v>23</v>
      </c>
      <c r="Q32" s="33"/>
      <c r="R32" s="33" t="s">
        <v>30</v>
      </c>
    </row>
    <row r="33" spans="2:18" x14ac:dyDescent="0.15">
      <c r="B33" s="92" t="s">
        <v>160</v>
      </c>
      <c r="C33" s="92" t="s">
        <v>262</v>
      </c>
      <c r="D33" s="93">
        <v>43270</v>
      </c>
      <c r="E33" s="93">
        <v>43321</v>
      </c>
      <c r="F33" s="92">
        <v>13800</v>
      </c>
      <c r="G33" s="92">
        <v>51</v>
      </c>
      <c r="H33" s="92">
        <v>0.13972602739726028</v>
      </c>
      <c r="I33" s="92">
        <v>0</v>
      </c>
      <c r="J33" s="92">
        <v>0.125</v>
      </c>
      <c r="K33" s="92">
        <v>41.836655979323041</v>
      </c>
      <c r="L33" s="92">
        <v>30</v>
      </c>
      <c r="M33" s="92">
        <v>6.1011369863013707</v>
      </c>
      <c r="N33" s="99">
        <v>35.735518993021671</v>
      </c>
      <c r="O33" s="92">
        <v>14555</v>
      </c>
      <c r="P33" s="92" t="s">
        <v>263</v>
      </c>
      <c r="Q33" s="92">
        <v>1</v>
      </c>
      <c r="R33" s="92" t="s">
        <v>19</v>
      </c>
    </row>
    <row r="34" spans="2:18" x14ac:dyDescent="0.15">
      <c r="B34" s="92" t="s">
        <v>160</v>
      </c>
      <c r="C34" s="92" t="s">
        <v>259</v>
      </c>
      <c r="D34" s="93">
        <v>43270</v>
      </c>
      <c r="E34" s="93">
        <v>43357</v>
      </c>
      <c r="F34" s="92">
        <v>13800</v>
      </c>
      <c r="G34" s="92">
        <v>87</v>
      </c>
      <c r="H34" s="92">
        <v>0.23835616438356164</v>
      </c>
      <c r="I34" s="92">
        <v>0</v>
      </c>
      <c r="J34" s="92">
        <v>0.1225</v>
      </c>
      <c r="K34" s="92">
        <v>72.864657819563035</v>
      </c>
      <c r="L34" s="92">
        <v>30</v>
      </c>
      <c r="M34" s="92">
        <v>10.465027397260274</v>
      </c>
      <c r="N34" s="99">
        <v>62.399630422302764</v>
      </c>
      <c r="O34" s="92">
        <v>14635</v>
      </c>
      <c r="P34" s="92" t="s">
        <v>263</v>
      </c>
      <c r="Q34" s="92">
        <v>1</v>
      </c>
      <c r="R34" s="92" t="s">
        <v>19</v>
      </c>
    </row>
    <row r="35" spans="2:18" x14ac:dyDescent="0.15">
      <c r="B35" s="92" t="s">
        <v>160</v>
      </c>
      <c r="C35" s="92" t="s">
        <v>264</v>
      </c>
      <c r="D35" s="93">
        <v>43270</v>
      </c>
      <c r="E35" s="93">
        <v>43385</v>
      </c>
      <c r="F35" s="92">
        <v>13800</v>
      </c>
      <c r="G35" s="92">
        <v>115</v>
      </c>
      <c r="H35" s="92">
        <v>0.30136986301369861</v>
      </c>
      <c r="I35" s="92">
        <v>0</v>
      </c>
      <c r="J35" s="92">
        <v>0.12</v>
      </c>
      <c r="K35" s="92">
        <v>83.925593529492289</v>
      </c>
      <c r="L35" s="92">
        <v>30</v>
      </c>
      <c r="M35" s="92">
        <v>13.29041095890411</v>
      </c>
      <c r="N35" s="99">
        <v>70.635182570588185</v>
      </c>
      <c r="O35" s="92">
        <v>14700</v>
      </c>
      <c r="P35" s="92" t="s">
        <v>263</v>
      </c>
      <c r="Q35" s="92">
        <v>1</v>
      </c>
      <c r="R35" s="92" t="s">
        <v>19</v>
      </c>
    </row>
    <row r="36" spans="2:18" x14ac:dyDescent="0.15">
      <c r="B36" s="92" t="s">
        <v>160</v>
      </c>
      <c r="C36" s="92" t="s">
        <v>238</v>
      </c>
      <c r="D36" s="93">
        <v>43270</v>
      </c>
      <c r="E36" s="93">
        <v>43321</v>
      </c>
      <c r="F36" s="92">
        <v>14000</v>
      </c>
      <c r="G36" s="92">
        <v>51</v>
      </c>
      <c r="H36" s="92">
        <v>0.13972602739726028</v>
      </c>
      <c r="I36" s="92">
        <v>0</v>
      </c>
      <c r="J36" s="92">
        <v>0.125</v>
      </c>
      <c r="K36" s="92">
        <v>75.523449254858406</v>
      </c>
      <c r="L36" s="92">
        <v>30</v>
      </c>
      <c r="M36" s="92">
        <v>6.1011369863013707</v>
      </c>
      <c r="N36" s="99">
        <v>69.422312268557036</v>
      </c>
      <c r="O36" s="92">
        <v>14555</v>
      </c>
      <c r="P36" s="92" t="s">
        <v>263</v>
      </c>
      <c r="Q36" s="92">
        <v>1</v>
      </c>
      <c r="R36" s="92" t="s">
        <v>19</v>
      </c>
    </row>
    <row r="37" spans="2:18" x14ac:dyDescent="0.15">
      <c r="B37" s="92" t="s">
        <v>160</v>
      </c>
      <c r="C37" s="92" t="s">
        <v>265</v>
      </c>
      <c r="D37" s="93">
        <v>43270</v>
      </c>
      <c r="E37" s="93">
        <v>43357</v>
      </c>
      <c r="F37" s="92">
        <v>14000</v>
      </c>
      <c r="G37" s="92">
        <v>87</v>
      </c>
      <c r="H37" s="92">
        <v>0.23835616438356164</v>
      </c>
      <c r="I37" s="92">
        <v>0</v>
      </c>
      <c r="J37" s="92">
        <v>0.1225</v>
      </c>
      <c r="K37" s="92">
        <v>113.33638339237496</v>
      </c>
      <c r="L37" s="92">
        <v>30</v>
      </c>
      <c r="M37" s="92">
        <v>10.465027397260274</v>
      </c>
      <c r="N37" s="99">
        <v>102.87135599511468</v>
      </c>
      <c r="O37" s="92">
        <v>14635</v>
      </c>
      <c r="P37" s="92" t="s">
        <v>263</v>
      </c>
      <c r="Q37" s="92">
        <v>1</v>
      </c>
      <c r="R37" s="92" t="s">
        <v>19</v>
      </c>
    </row>
    <row r="38" spans="2:18" x14ac:dyDescent="0.15">
      <c r="B38" s="92" t="s">
        <v>160</v>
      </c>
      <c r="C38" s="92" t="s">
        <v>261</v>
      </c>
      <c r="D38" s="93">
        <v>43270</v>
      </c>
      <c r="E38" s="93">
        <v>43385</v>
      </c>
      <c r="F38" s="92">
        <v>14000</v>
      </c>
      <c r="G38" s="92">
        <v>115</v>
      </c>
      <c r="H38" s="92">
        <v>0.30136986301369861</v>
      </c>
      <c r="I38" s="92">
        <v>0</v>
      </c>
      <c r="J38" s="92">
        <v>0.12</v>
      </c>
      <c r="K38" s="92">
        <v>125.18230137886394</v>
      </c>
      <c r="L38" s="92">
        <v>30</v>
      </c>
      <c r="M38" s="92">
        <v>13.29041095890411</v>
      </c>
      <c r="N38" s="99">
        <v>111.89189041995984</v>
      </c>
      <c r="O38" s="92">
        <v>14700</v>
      </c>
      <c r="P38" s="92" t="s">
        <v>263</v>
      </c>
      <c r="Q38" s="92">
        <v>1</v>
      </c>
      <c r="R38" s="92" t="s">
        <v>19</v>
      </c>
    </row>
    <row r="39" spans="2:18" x14ac:dyDescent="0.15">
      <c r="B39" s="91" t="s">
        <v>2</v>
      </c>
      <c r="C39" s="33" t="s">
        <v>181</v>
      </c>
      <c r="D39" s="33" t="s">
        <v>180</v>
      </c>
      <c r="E39" s="33" t="s">
        <v>10</v>
      </c>
      <c r="F39" s="33" t="s">
        <v>184</v>
      </c>
      <c r="G39" s="33" t="s">
        <v>11</v>
      </c>
      <c r="H39" s="33" t="s">
        <v>12</v>
      </c>
      <c r="I39" s="33" t="s">
        <v>47</v>
      </c>
      <c r="J39" s="33" t="s">
        <v>13</v>
      </c>
      <c r="K39" s="33" t="s">
        <v>14</v>
      </c>
      <c r="L39" s="33" t="s">
        <v>26</v>
      </c>
      <c r="M39" s="33" t="s">
        <v>28</v>
      </c>
      <c r="N39" s="33" t="s">
        <v>182</v>
      </c>
      <c r="O39" s="33" t="s">
        <v>8</v>
      </c>
      <c r="P39" s="33" t="s">
        <v>23</v>
      </c>
      <c r="Q39" s="33"/>
      <c r="R39" s="33" t="s">
        <v>30</v>
      </c>
    </row>
    <row r="40" spans="2:18" x14ac:dyDescent="0.15">
      <c r="B40" s="92" t="s">
        <v>160</v>
      </c>
      <c r="C40" s="92" t="s">
        <v>267</v>
      </c>
      <c r="D40" s="93">
        <v>43270</v>
      </c>
      <c r="E40" s="93">
        <v>43321</v>
      </c>
      <c r="F40" s="92">
        <v>13800</v>
      </c>
      <c r="G40" s="92">
        <v>51</v>
      </c>
      <c r="H40" s="92">
        <v>0.13972602739726028</v>
      </c>
      <c r="I40" s="92">
        <v>0</v>
      </c>
      <c r="J40" s="92">
        <v>0.125</v>
      </c>
      <c r="K40" s="92">
        <v>46.960272611971277</v>
      </c>
      <c r="L40" s="92">
        <v>30</v>
      </c>
      <c r="M40" s="92">
        <v>6.0843698630136993</v>
      </c>
      <c r="N40" s="99">
        <v>40.875902748957579</v>
      </c>
      <c r="O40" s="92">
        <v>14515</v>
      </c>
      <c r="P40" s="92" t="s">
        <v>263</v>
      </c>
      <c r="Q40" s="92">
        <v>1</v>
      </c>
      <c r="R40" s="92" t="s">
        <v>19</v>
      </c>
    </row>
    <row r="41" spans="2:18" x14ac:dyDescent="0.15">
      <c r="B41" s="92" t="s">
        <v>160</v>
      </c>
      <c r="C41" s="92" t="s">
        <v>238</v>
      </c>
      <c r="D41" s="93">
        <v>43270</v>
      </c>
      <c r="E41" s="93">
        <v>43357</v>
      </c>
      <c r="F41" s="92">
        <v>13800</v>
      </c>
      <c r="G41" s="92">
        <v>87</v>
      </c>
      <c r="H41" s="92">
        <v>0.23835616438356164</v>
      </c>
      <c r="I41" s="92">
        <v>0</v>
      </c>
      <c r="J41" s="92">
        <v>0.1225</v>
      </c>
      <c r="K41" s="92">
        <v>80.119128093494055</v>
      </c>
      <c r="L41" s="92">
        <v>30</v>
      </c>
      <c r="M41" s="92">
        <v>10.432849315068493</v>
      </c>
      <c r="N41" s="99">
        <v>69.68627877842556</v>
      </c>
      <c r="O41" s="92">
        <v>14590</v>
      </c>
      <c r="P41" s="92" t="s">
        <v>263</v>
      </c>
      <c r="Q41" s="92">
        <v>1</v>
      </c>
      <c r="R41" s="92" t="s">
        <v>19</v>
      </c>
    </row>
    <row r="42" spans="2:18" x14ac:dyDescent="0.15">
      <c r="B42" s="92" t="s">
        <v>160</v>
      </c>
      <c r="C42" s="92" t="s">
        <v>265</v>
      </c>
      <c r="D42" s="93">
        <v>43270</v>
      </c>
      <c r="E42" s="93">
        <v>43385</v>
      </c>
      <c r="F42" s="92">
        <v>13800</v>
      </c>
      <c r="G42" s="92">
        <v>115</v>
      </c>
      <c r="H42" s="92">
        <v>0.30136986301369861</v>
      </c>
      <c r="I42" s="92">
        <v>0</v>
      </c>
      <c r="J42" s="92">
        <v>0.12</v>
      </c>
      <c r="K42" s="92">
        <v>87.995461023180269</v>
      </c>
      <c r="L42" s="92">
        <v>30</v>
      </c>
      <c r="M42" s="92">
        <v>13.267808219178082</v>
      </c>
      <c r="N42" s="99">
        <v>74.72765280400219</v>
      </c>
      <c r="O42" s="92">
        <v>14675</v>
      </c>
      <c r="P42" s="92" t="s">
        <v>263</v>
      </c>
      <c r="Q42" s="92">
        <v>1</v>
      </c>
      <c r="R42" s="92" t="s">
        <v>19</v>
      </c>
    </row>
    <row r="43" spans="2:18" x14ac:dyDescent="0.15">
      <c r="B43" s="92" t="s">
        <v>160</v>
      </c>
      <c r="C43" s="92" t="s">
        <v>233</v>
      </c>
      <c r="D43" s="93">
        <v>43270</v>
      </c>
      <c r="E43" s="93">
        <v>43321</v>
      </c>
      <c r="F43" s="92">
        <v>14000</v>
      </c>
      <c r="G43" s="92">
        <v>51</v>
      </c>
      <c r="H43" s="92">
        <v>0.13972602739726028</v>
      </c>
      <c r="I43" s="92">
        <v>0</v>
      </c>
      <c r="J43" s="92">
        <v>0.125</v>
      </c>
      <c r="K43" s="92">
        <v>83.678378785805762</v>
      </c>
      <c r="L43" s="92">
        <v>30</v>
      </c>
      <c r="M43" s="92">
        <v>6.0843698630136993</v>
      </c>
      <c r="N43" s="99">
        <v>77.594008922792057</v>
      </c>
      <c r="O43" s="92">
        <v>14515</v>
      </c>
      <c r="P43" s="92" t="s">
        <v>263</v>
      </c>
      <c r="Q43" s="92">
        <v>1</v>
      </c>
      <c r="R43" s="92" t="s">
        <v>19</v>
      </c>
    </row>
    <row r="44" spans="2:18" x14ac:dyDescent="0.15">
      <c r="B44" s="92" t="s">
        <v>160</v>
      </c>
      <c r="C44" s="92" t="s">
        <v>262</v>
      </c>
      <c r="D44" s="93">
        <v>43270</v>
      </c>
      <c r="E44" s="93">
        <v>43357</v>
      </c>
      <c r="F44" s="92">
        <v>14000</v>
      </c>
      <c r="G44" s="92">
        <v>87</v>
      </c>
      <c r="H44" s="92">
        <v>0.23835616438356164</v>
      </c>
      <c r="I44" s="92">
        <v>0</v>
      </c>
      <c r="J44" s="92">
        <v>0.1225</v>
      </c>
      <c r="K44" s="92">
        <v>123.54300304222943</v>
      </c>
      <c r="L44" s="92">
        <v>30</v>
      </c>
      <c r="M44" s="92">
        <v>10.432849315068493</v>
      </c>
      <c r="N44" s="99">
        <v>113.11015372716093</v>
      </c>
      <c r="O44" s="92">
        <v>14590</v>
      </c>
      <c r="P44" s="92" t="s">
        <v>263</v>
      </c>
      <c r="Q44" s="92">
        <v>1</v>
      </c>
      <c r="R44" s="92" t="s">
        <v>19</v>
      </c>
    </row>
    <row r="45" spans="2:18" x14ac:dyDescent="0.15">
      <c r="B45" s="92" t="s">
        <v>160</v>
      </c>
      <c r="C45" s="92" t="s">
        <v>259</v>
      </c>
      <c r="D45" s="93">
        <v>43270</v>
      </c>
      <c r="E45" s="93">
        <v>43385</v>
      </c>
      <c r="F45" s="92">
        <v>14000</v>
      </c>
      <c r="G45" s="92">
        <v>115</v>
      </c>
      <c r="H45" s="92">
        <v>0.30136986301369861</v>
      </c>
      <c r="I45" s="92">
        <v>0</v>
      </c>
      <c r="J45" s="92">
        <v>0.12</v>
      </c>
      <c r="K45" s="92">
        <v>130.73469926196822</v>
      </c>
      <c r="L45" s="92">
        <v>30</v>
      </c>
      <c r="M45" s="92">
        <v>13.267808219178082</v>
      </c>
      <c r="N45" s="99">
        <v>117.46689104279014</v>
      </c>
      <c r="O45" s="92">
        <v>14675</v>
      </c>
      <c r="P45" s="92" t="s">
        <v>263</v>
      </c>
      <c r="Q45" s="92">
        <v>1</v>
      </c>
      <c r="R45" s="92" t="s">
        <v>19</v>
      </c>
    </row>
    <row r="46" spans="2:18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18" x14ac:dyDescent="0.15">
      <c r="B47" s="92" t="s">
        <v>160</v>
      </c>
      <c r="C47" s="92" t="s">
        <v>268</v>
      </c>
      <c r="D47" s="93">
        <v>43270</v>
      </c>
      <c r="E47" s="93">
        <v>43300</v>
      </c>
      <c r="F47" s="92">
        <v>49500</v>
      </c>
      <c r="G47" s="92">
        <v>30</v>
      </c>
      <c r="H47" s="92">
        <v>8.2191780821917804E-2</v>
      </c>
      <c r="I47" s="92">
        <v>0</v>
      </c>
      <c r="J47" s="92">
        <v>0.1225</v>
      </c>
      <c r="K47" s="92">
        <v>36.070069193164272</v>
      </c>
      <c r="L47" s="92">
        <v>30</v>
      </c>
      <c r="M47" s="92">
        <v>12.937808219178082</v>
      </c>
      <c r="N47" s="99">
        <v>23.132260973986192</v>
      </c>
      <c r="O47" s="92">
        <v>52470</v>
      </c>
      <c r="P47" s="92" t="s">
        <v>263</v>
      </c>
      <c r="Q47" s="92">
        <v>1</v>
      </c>
      <c r="R47" s="92" t="s">
        <v>19</v>
      </c>
    </row>
    <row r="48" spans="2:18" x14ac:dyDescent="0.15">
      <c r="B48" s="92" t="s">
        <v>160</v>
      </c>
      <c r="C48" s="92" t="s">
        <v>268</v>
      </c>
      <c r="D48" s="93">
        <v>43270</v>
      </c>
      <c r="E48" s="93">
        <v>43300</v>
      </c>
      <c r="F48" s="92">
        <v>50000</v>
      </c>
      <c r="G48" s="92">
        <v>30</v>
      </c>
      <c r="H48" s="92">
        <v>8.2191780821917804E-2</v>
      </c>
      <c r="I48" s="92">
        <v>0</v>
      </c>
      <c r="J48" s="92">
        <v>0.1225</v>
      </c>
      <c r="K48" s="92">
        <v>69.862104030476985</v>
      </c>
      <c r="L48" s="92">
        <v>30</v>
      </c>
      <c r="M48" s="92">
        <v>12.937808219178082</v>
      </c>
      <c r="N48" s="99">
        <v>56.924295811298904</v>
      </c>
      <c r="O48" s="92">
        <v>52470</v>
      </c>
      <c r="P48" s="92" t="s">
        <v>263</v>
      </c>
      <c r="Q48" s="92">
        <v>1</v>
      </c>
      <c r="R48" s="92" t="s">
        <v>19</v>
      </c>
    </row>
    <row r="49" spans="2:18" x14ac:dyDescent="0.15">
      <c r="B49" s="91" t="s">
        <v>2</v>
      </c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 t="s">
        <v>30</v>
      </c>
    </row>
    <row r="50" spans="2:18" x14ac:dyDescent="0.15">
      <c r="B50" s="92" t="s">
        <v>160</v>
      </c>
      <c r="C50" s="92" t="s">
        <v>259</v>
      </c>
      <c r="D50" s="93">
        <v>43272</v>
      </c>
      <c r="E50" s="93">
        <v>43363</v>
      </c>
      <c r="F50" s="92">
        <v>11500</v>
      </c>
      <c r="G50" s="92">
        <v>91</v>
      </c>
      <c r="H50" s="92">
        <v>0.24931506849315069</v>
      </c>
      <c r="I50" s="92">
        <v>0</v>
      </c>
      <c r="J50" s="92">
        <v>0.24</v>
      </c>
      <c r="K50" s="92">
        <v>-17.351289205071055</v>
      </c>
      <c r="L50" s="92">
        <v>0</v>
      </c>
      <c r="M50" s="92">
        <v>0</v>
      </c>
      <c r="N50" s="99">
        <v>17.25</v>
      </c>
      <c r="O50" s="92">
        <v>14425</v>
      </c>
      <c r="P50" s="92" t="s">
        <v>85</v>
      </c>
      <c r="Q50" s="92">
        <v>-1</v>
      </c>
      <c r="R50" s="92" t="s">
        <v>20</v>
      </c>
    </row>
    <row r="51" spans="2:18" x14ac:dyDescent="0.15">
      <c r="B51" s="92" t="s">
        <v>160</v>
      </c>
      <c r="C51" s="92" t="s">
        <v>259</v>
      </c>
      <c r="D51" s="93">
        <v>43272</v>
      </c>
      <c r="E51" s="93">
        <v>43363</v>
      </c>
      <c r="F51" s="92">
        <v>14000</v>
      </c>
      <c r="G51" s="92">
        <v>91</v>
      </c>
      <c r="H51" s="92">
        <v>0.24931506849315069</v>
      </c>
      <c r="I51" s="92">
        <v>0</v>
      </c>
      <c r="J51" s="92">
        <v>0.19</v>
      </c>
      <c r="K51" s="92">
        <v>-349.93164053633427</v>
      </c>
      <c r="L51" s="92">
        <v>0</v>
      </c>
      <c r="M51" s="92">
        <v>0</v>
      </c>
      <c r="N51" s="99">
        <v>349.93164053633427</v>
      </c>
      <c r="O51" s="92">
        <v>14425</v>
      </c>
      <c r="P51" s="92" t="s">
        <v>85</v>
      </c>
      <c r="Q51" s="92">
        <v>-1</v>
      </c>
      <c r="R51" s="92" t="s">
        <v>20</v>
      </c>
    </row>
    <row r="52" spans="2:18" x14ac:dyDescent="0.15">
      <c r="B52" s="92" t="s">
        <v>160</v>
      </c>
      <c r="C52" s="92" t="s">
        <v>259</v>
      </c>
      <c r="D52" s="93">
        <v>43272</v>
      </c>
      <c r="E52" s="93">
        <v>43363</v>
      </c>
      <c r="F52" s="92">
        <v>13500</v>
      </c>
      <c r="G52" s="92">
        <v>91</v>
      </c>
      <c r="H52" s="92">
        <v>0.24931506849315069</v>
      </c>
      <c r="I52" s="92">
        <v>0</v>
      </c>
      <c r="J52" s="92">
        <v>0.19500000000000001</v>
      </c>
      <c r="K52" s="92">
        <v>-199.44352838717532</v>
      </c>
      <c r="L52" s="92">
        <v>0</v>
      </c>
      <c r="M52" s="92">
        <v>0</v>
      </c>
      <c r="N52" s="99">
        <v>199.44352838717532</v>
      </c>
      <c r="O52" s="92">
        <v>14425</v>
      </c>
      <c r="P52" s="92" t="s">
        <v>85</v>
      </c>
      <c r="Q52" s="92">
        <v>-1</v>
      </c>
      <c r="R52" s="92" t="s">
        <v>20</v>
      </c>
    </row>
    <row r="53" spans="2:18" x14ac:dyDescent="0.15">
      <c r="B53" s="91" t="s">
        <v>2</v>
      </c>
      <c r="C53" s="33" t="s">
        <v>181</v>
      </c>
      <c r="D53" s="33" t="s">
        <v>180</v>
      </c>
      <c r="E53" s="33" t="s">
        <v>10</v>
      </c>
      <c r="F53" s="33" t="s">
        <v>184</v>
      </c>
      <c r="G53" s="33" t="s">
        <v>11</v>
      </c>
      <c r="H53" s="33" t="s">
        <v>12</v>
      </c>
      <c r="I53" s="33" t="s">
        <v>47</v>
      </c>
      <c r="J53" s="33" t="s">
        <v>13</v>
      </c>
      <c r="K53" s="33" t="s">
        <v>14</v>
      </c>
      <c r="L53" s="33" t="s">
        <v>26</v>
      </c>
      <c r="M53" s="33" t="s">
        <v>28</v>
      </c>
      <c r="N53" s="33" t="s">
        <v>182</v>
      </c>
      <c r="O53" s="33" t="s">
        <v>8</v>
      </c>
      <c r="P53" s="33" t="s">
        <v>23</v>
      </c>
      <c r="Q53" s="33"/>
      <c r="R53" s="33" t="s">
        <v>30</v>
      </c>
    </row>
    <row r="54" spans="2:18" x14ac:dyDescent="0.15">
      <c r="B54" s="92" t="s">
        <v>160</v>
      </c>
      <c r="C54" s="92" t="s">
        <v>271</v>
      </c>
      <c r="D54" s="93">
        <v>43276</v>
      </c>
      <c r="E54" s="93">
        <v>43322</v>
      </c>
      <c r="F54" s="92">
        <v>480</v>
      </c>
      <c r="G54" s="92">
        <v>46</v>
      </c>
      <c r="H54" s="92">
        <v>0.12602739726027398</v>
      </c>
      <c r="I54" s="92">
        <v>0</v>
      </c>
      <c r="J54" s="92">
        <v>0.26</v>
      </c>
      <c r="K54" s="92">
        <v>25.234296912877255</v>
      </c>
      <c r="L54" s="92">
        <v>0</v>
      </c>
      <c r="M54" s="92">
        <v>0</v>
      </c>
      <c r="N54" s="99">
        <v>25.234296912877255</v>
      </c>
      <c r="O54" s="92">
        <v>466</v>
      </c>
      <c r="P54" s="92" t="s">
        <v>85</v>
      </c>
      <c r="Q54" s="92">
        <v>1</v>
      </c>
      <c r="R54" s="92" t="s">
        <v>151</v>
      </c>
    </row>
    <row r="55" spans="2:18" x14ac:dyDescent="0.15">
      <c r="B55" s="91" t="s">
        <v>2</v>
      </c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8" x14ac:dyDescent="0.15">
      <c r="B56" s="92" t="s">
        <v>160</v>
      </c>
      <c r="C56" s="92" t="s">
        <v>271</v>
      </c>
      <c r="D56" s="93">
        <v>43276</v>
      </c>
      <c r="E56" s="93">
        <v>43322</v>
      </c>
      <c r="F56" s="92">
        <v>430</v>
      </c>
      <c r="G56" s="92">
        <v>46</v>
      </c>
      <c r="H56" s="92">
        <v>0.12602739726027398</v>
      </c>
      <c r="I56" s="92">
        <v>0</v>
      </c>
      <c r="J56" s="92">
        <v>0.26</v>
      </c>
      <c r="K56" s="92">
        <v>4.2716086209137814</v>
      </c>
      <c r="L56" s="92">
        <v>0</v>
      </c>
      <c r="M56" s="92">
        <v>0</v>
      </c>
      <c r="N56" s="99">
        <v>4.2716086209137814</v>
      </c>
      <c r="O56" s="92">
        <v>466.5</v>
      </c>
      <c r="P56" s="92" t="s">
        <v>85</v>
      </c>
      <c r="Q56" s="92">
        <v>1</v>
      </c>
      <c r="R56" s="92" t="s">
        <v>151</v>
      </c>
    </row>
    <row r="57" spans="2:18" x14ac:dyDescent="0.15">
      <c r="B57" s="91" t="s">
        <v>2</v>
      </c>
      <c r="C57" s="33" t="s">
        <v>181</v>
      </c>
      <c r="D57" s="33" t="s">
        <v>180</v>
      </c>
      <c r="E57" s="33" t="s">
        <v>10</v>
      </c>
      <c r="F57" s="33" t="s">
        <v>184</v>
      </c>
      <c r="G57" s="33" t="s">
        <v>11</v>
      </c>
      <c r="H57" s="33" t="s">
        <v>12</v>
      </c>
      <c r="I57" s="33" t="s">
        <v>47</v>
      </c>
      <c r="J57" s="33" t="s">
        <v>13</v>
      </c>
      <c r="K57" s="33" t="s">
        <v>14</v>
      </c>
      <c r="L57" s="33" t="s">
        <v>26</v>
      </c>
      <c r="M57" s="33" t="s">
        <v>28</v>
      </c>
      <c r="N57" s="33" t="s">
        <v>182</v>
      </c>
      <c r="O57" s="33" t="s">
        <v>8</v>
      </c>
      <c r="P57" s="33" t="s">
        <v>23</v>
      </c>
      <c r="Q57" s="33"/>
      <c r="R57" s="33" t="s">
        <v>30</v>
      </c>
    </row>
    <row r="58" spans="2:18" x14ac:dyDescent="0.15">
      <c r="B58" s="92" t="s">
        <v>160</v>
      </c>
      <c r="C58" s="92" t="s">
        <v>233</v>
      </c>
      <c r="D58" s="93">
        <v>43277</v>
      </c>
      <c r="E58" s="93">
        <v>43307</v>
      </c>
      <c r="F58" s="92">
        <v>14170</v>
      </c>
      <c r="G58" s="92">
        <v>30</v>
      </c>
      <c r="H58" s="92">
        <v>8.2191780821917804E-2</v>
      </c>
      <c r="I58" s="92">
        <v>0</v>
      </c>
      <c r="J58" s="92">
        <v>0.19</v>
      </c>
      <c r="K58" s="92">
        <v>-307.38319058384604</v>
      </c>
      <c r="L58" s="92">
        <v>70</v>
      </c>
      <c r="M58" s="92">
        <v>8.1526027397260261</v>
      </c>
      <c r="N58" s="99">
        <v>315.53579332357208</v>
      </c>
      <c r="O58" s="92">
        <v>14170</v>
      </c>
      <c r="P58" s="92" t="s">
        <v>85</v>
      </c>
      <c r="Q58" s="92">
        <v>-1</v>
      </c>
      <c r="R58" s="92" t="s">
        <v>20</v>
      </c>
    </row>
    <row r="59" spans="2:18" x14ac:dyDescent="0.15">
      <c r="B59" s="91" t="s">
        <v>2</v>
      </c>
      <c r="C59" s="33" t="s">
        <v>181</v>
      </c>
      <c r="D59" s="33" t="s">
        <v>180</v>
      </c>
      <c r="E59" s="33" t="s">
        <v>10</v>
      </c>
      <c r="F59" s="33" t="s">
        <v>184</v>
      </c>
      <c r="G59" s="33" t="s">
        <v>11</v>
      </c>
      <c r="H59" s="33" t="s">
        <v>12</v>
      </c>
      <c r="I59" s="33" t="s">
        <v>47</v>
      </c>
      <c r="J59" s="33" t="s">
        <v>13</v>
      </c>
      <c r="K59" s="33" t="s">
        <v>14</v>
      </c>
      <c r="L59" s="33" t="s">
        <v>26</v>
      </c>
      <c r="M59" s="33" t="s">
        <v>28</v>
      </c>
      <c r="N59" s="33" t="s">
        <v>182</v>
      </c>
      <c r="O59" s="33" t="s">
        <v>8</v>
      </c>
      <c r="P59" s="33" t="s">
        <v>23</v>
      </c>
      <c r="Q59" s="33"/>
      <c r="R59" s="33" t="s">
        <v>30</v>
      </c>
    </row>
    <row r="60" spans="2:18" x14ac:dyDescent="0.15">
      <c r="B60" s="121" t="s">
        <v>160</v>
      </c>
      <c r="C60" s="121" t="s">
        <v>276</v>
      </c>
      <c r="D60" s="122">
        <v>43277</v>
      </c>
      <c r="E60" s="122">
        <v>43307</v>
      </c>
      <c r="F60" s="121">
        <v>3500</v>
      </c>
      <c r="G60" s="121">
        <v>30</v>
      </c>
      <c r="H60" s="121">
        <v>8.2191780821917804E-2</v>
      </c>
      <c r="I60" s="121">
        <v>0</v>
      </c>
      <c r="J60" s="121">
        <v>0.255</v>
      </c>
      <c r="K60" s="121">
        <v>39.494774706025169</v>
      </c>
      <c r="L60" s="121"/>
      <c r="M60" s="121"/>
      <c r="N60" s="123">
        <v>39.494774706025169</v>
      </c>
      <c r="O60" s="121">
        <v>3675</v>
      </c>
      <c r="P60" s="121" t="s">
        <v>85</v>
      </c>
      <c r="Q60" s="121">
        <v>1</v>
      </c>
      <c r="R60" s="121" t="s">
        <v>151</v>
      </c>
    </row>
    <row r="61" spans="2:18" x14ac:dyDescent="0.15">
      <c r="B61" s="124" t="s">
        <v>160</v>
      </c>
      <c r="C61" s="124" t="s">
        <v>276</v>
      </c>
      <c r="D61" s="125">
        <v>43277</v>
      </c>
      <c r="E61" s="125">
        <v>43307</v>
      </c>
      <c r="F61" s="124">
        <v>3900</v>
      </c>
      <c r="G61" s="124">
        <v>30</v>
      </c>
      <c r="H61" s="124">
        <v>8.2191780821917804E-2</v>
      </c>
      <c r="I61" s="124">
        <v>0</v>
      </c>
      <c r="J61" s="124">
        <v>0.28499999999999998</v>
      </c>
      <c r="K61" s="124">
        <v>-42.101545197848168</v>
      </c>
      <c r="L61" s="124"/>
      <c r="M61" s="124"/>
      <c r="N61" s="126">
        <v>42.101545197848168</v>
      </c>
      <c r="O61" s="124">
        <v>3675</v>
      </c>
      <c r="P61" s="124" t="s">
        <v>39</v>
      </c>
      <c r="Q61" s="124">
        <v>-1</v>
      </c>
      <c r="R61" s="124" t="s">
        <v>20</v>
      </c>
    </row>
    <row r="62" spans="2:18" x14ac:dyDescent="0.15">
      <c r="B62" s="127" t="s">
        <v>160</v>
      </c>
      <c r="C62" s="127" t="s">
        <v>276</v>
      </c>
      <c r="D62" s="128">
        <v>43277</v>
      </c>
      <c r="E62" s="128">
        <v>43307</v>
      </c>
      <c r="F62" s="127" t="s">
        <v>277</v>
      </c>
      <c r="G62" s="127">
        <v>30</v>
      </c>
      <c r="H62" s="127">
        <v>8.2191780821917804E-2</v>
      </c>
      <c r="I62" s="127"/>
      <c r="J62" s="127"/>
      <c r="K62" s="127">
        <v>-2.6067704918229992</v>
      </c>
      <c r="L62" s="127">
        <v>0</v>
      </c>
      <c r="M62" s="127">
        <v>0</v>
      </c>
      <c r="N62" s="129">
        <v>4.6100000000000003</v>
      </c>
      <c r="O62" s="127">
        <v>3675</v>
      </c>
      <c r="P62" s="127"/>
      <c r="Q62" s="127"/>
      <c r="R62" s="127" t="s">
        <v>280</v>
      </c>
    </row>
    <row r="63" spans="2:18" x14ac:dyDescent="0.15">
      <c r="B63" s="121" t="s">
        <v>160</v>
      </c>
      <c r="C63" s="121" t="s">
        <v>276</v>
      </c>
      <c r="D63" s="122">
        <v>43277</v>
      </c>
      <c r="E63" s="122">
        <v>43307</v>
      </c>
      <c r="F63" s="121">
        <v>3400</v>
      </c>
      <c r="G63" s="121">
        <v>30</v>
      </c>
      <c r="H63" s="121">
        <v>8.2191780821917804E-2</v>
      </c>
      <c r="I63" s="121">
        <v>0</v>
      </c>
      <c r="J63" s="121">
        <v>0.255</v>
      </c>
      <c r="K63" s="121">
        <v>18.995808563389119</v>
      </c>
      <c r="L63" s="121"/>
      <c r="M63" s="121"/>
      <c r="N63" s="123">
        <v>18.995808563389119</v>
      </c>
      <c r="O63" s="121">
        <v>3675</v>
      </c>
      <c r="P63" s="121" t="s">
        <v>85</v>
      </c>
      <c r="Q63" s="121">
        <v>1</v>
      </c>
      <c r="R63" s="121" t="s">
        <v>151</v>
      </c>
    </row>
    <row r="64" spans="2:18" x14ac:dyDescent="0.15">
      <c r="B64" s="124" t="s">
        <v>160</v>
      </c>
      <c r="C64" s="124" t="s">
        <v>276</v>
      </c>
      <c r="D64" s="125">
        <v>43277</v>
      </c>
      <c r="E64" s="125">
        <v>43307</v>
      </c>
      <c r="F64" s="124">
        <v>3800</v>
      </c>
      <c r="G64" s="124">
        <v>30</v>
      </c>
      <c r="H64" s="124">
        <v>8.2191780821917804E-2</v>
      </c>
      <c r="I64" s="124">
        <v>0</v>
      </c>
      <c r="J64" s="124">
        <v>0.28499999999999998</v>
      </c>
      <c r="K64" s="124">
        <v>-69.239342377716866</v>
      </c>
      <c r="L64" s="124"/>
      <c r="M64" s="124"/>
      <c r="N64" s="126">
        <v>69.239342377716866</v>
      </c>
      <c r="O64" s="124">
        <v>3675</v>
      </c>
      <c r="P64" s="124" t="s">
        <v>39</v>
      </c>
      <c r="Q64" s="124">
        <v>-1</v>
      </c>
      <c r="R64" s="124" t="s">
        <v>20</v>
      </c>
    </row>
    <row r="65" spans="2:18" x14ac:dyDescent="0.15">
      <c r="B65" s="127" t="s">
        <v>160</v>
      </c>
      <c r="C65" s="127" t="s">
        <v>276</v>
      </c>
      <c r="D65" s="128">
        <v>43277</v>
      </c>
      <c r="E65" s="128">
        <v>43307</v>
      </c>
      <c r="F65" s="127" t="s">
        <v>278</v>
      </c>
      <c r="G65" s="127">
        <v>30</v>
      </c>
      <c r="H65" s="127">
        <v>8.2191780821917804E-2</v>
      </c>
      <c r="I65" s="127"/>
      <c r="J65" s="127"/>
      <c r="K65" s="127">
        <v>-50.243533814327748</v>
      </c>
      <c r="L65" s="127">
        <v>0</v>
      </c>
      <c r="M65" s="127">
        <v>0</v>
      </c>
      <c r="N65" s="129">
        <v>50.243533814327748</v>
      </c>
      <c r="O65" s="127">
        <v>3675</v>
      </c>
      <c r="P65" s="127"/>
      <c r="Q65" s="127"/>
      <c r="R65" s="127" t="s">
        <v>280</v>
      </c>
    </row>
    <row r="66" spans="2:18" x14ac:dyDescent="0.15">
      <c r="B66" s="121" t="s">
        <v>160</v>
      </c>
      <c r="C66" s="121" t="s">
        <v>276</v>
      </c>
      <c r="D66" s="122">
        <v>43277</v>
      </c>
      <c r="E66" s="122">
        <v>43307</v>
      </c>
      <c r="F66" s="121">
        <v>3300</v>
      </c>
      <c r="G66" s="121">
        <v>30</v>
      </c>
      <c r="H66" s="121">
        <v>8.2191780821917804E-2</v>
      </c>
      <c r="I66" s="121">
        <v>0</v>
      </c>
      <c r="J66" s="121">
        <v>0.255</v>
      </c>
      <c r="K66" s="121">
        <v>7.9291843041075367</v>
      </c>
      <c r="L66" s="121"/>
      <c r="M66" s="121"/>
      <c r="N66" s="123">
        <v>7.9291843041075367</v>
      </c>
      <c r="O66" s="121">
        <v>3675</v>
      </c>
      <c r="P66" s="121" t="s">
        <v>85</v>
      </c>
      <c r="Q66" s="121">
        <v>1</v>
      </c>
      <c r="R66" s="121" t="s">
        <v>151</v>
      </c>
    </row>
    <row r="67" spans="2:18" x14ac:dyDescent="0.15">
      <c r="B67" s="124" t="s">
        <v>160</v>
      </c>
      <c r="C67" s="124" t="s">
        <v>276</v>
      </c>
      <c r="D67" s="125">
        <v>43277</v>
      </c>
      <c r="E67" s="125">
        <v>43307</v>
      </c>
      <c r="F67" s="124">
        <v>4000</v>
      </c>
      <c r="G67" s="124">
        <v>30</v>
      </c>
      <c r="H67" s="124">
        <v>8.2191780821917804E-2</v>
      </c>
      <c r="I67" s="124">
        <v>0</v>
      </c>
      <c r="J67" s="124">
        <v>0.28499999999999998</v>
      </c>
      <c r="K67" s="124">
        <v>-24.253141259400991</v>
      </c>
      <c r="L67" s="124"/>
      <c r="M67" s="124"/>
      <c r="N67" s="126">
        <v>24.253141259400991</v>
      </c>
      <c r="O67" s="124">
        <v>3675</v>
      </c>
      <c r="P67" s="124" t="s">
        <v>39</v>
      </c>
      <c r="Q67" s="124">
        <v>-1</v>
      </c>
      <c r="R67" s="124" t="s">
        <v>20</v>
      </c>
    </row>
    <row r="68" spans="2:18" x14ac:dyDescent="0.15">
      <c r="B68" s="127" t="s">
        <v>160</v>
      </c>
      <c r="C68" s="127" t="s">
        <v>276</v>
      </c>
      <c r="D68" s="128">
        <v>43277</v>
      </c>
      <c r="E68" s="128">
        <v>43307</v>
      </c>
      <c r="F68" s="127" t="s">
        <v>279</v>
      </c>
      <c r="G68" s="127">
        <v>30</v>
      </c>
      <c r="H68" s="127">
        <v>8.2191780821917804E-2</v>
      </c>
      <c r="I68" s="127"/>
      <c r="J68" s="127"/>
      <c r="K68" s="127">
        <v>-16.323956955293454</v>
      </c>
      <c r="L68" s="127">
        <v>50</v>
      </c>
      <c r="M68" s="127">
        <v>1.5102739726027397</v>
      </c>
      <c r="N68" s="129">
        <v>17.834230927896193</v>
      </c>
      <c r="O68" s="127">
        <v>3675</v>
      </c>
      <c r="P68" s="127"/>
      <c r="Q68" s="127"/>
      <c r="R68" s="127" t="s">
        <v>280</v>
      </c>
    </row>
    <row r="69" spans="2:18" x14ac:dyDescent="0.15">
      <c r="B69" s="92"/>
      <c r="C69" s="92"/>
      <c r="D69" s="93"/>
      <c r="E69" s="93"/>
      <c r="F69" s="92"/>
      <c r="G69" s="92"/>
      <c r="H69" s="92"/>
      <c r="I69" s="92"/>
      <c r="J69" s="92"/>
      <c r="K69" s="92"/>
      <c r="L69" s="92"/>
      <c r="M69" s="92"/>
      <c r="N69" s="99"/>
      <c r="O69" s="92"/>
      <c r="P69" s="92"/>
      <c r="Q69" s="92"/>
      <c r="R69" s="92"/>
    </row>
    <row r="70" spans="2:18" x14ac:dyDescent="0.15">
      <c r="B70" s="121" t="s">
        <v>160</v>
      </c>
      <c r="C70" s="121" t="s">
        <v>276</v>
      </c>
      <c r="D70" s="122">
        <v>43277</v>
      </c>
      <c r="E70" s="122">
        <v>43367</v>
      </c>
      <c r="F70" s="121">
        <v>3500</v>
      </c>
      <c r="G70" s="121">
        <v>90</v>
      </c>
      <c r="H70" s="121">
        <v>0.24657534246575341</v>
      </c>
      <c r="I70" s="121">
        <v>0</v>
      </c>
      <c r="J70" s="121">
        <v>0.25</v>
      </c>
      <c r="K70" s="121">
        <v>103.06632950881885</v>
      </c>
      <c r="L70" s="121"/>
      <c r="M70" s="121"/>
      <c r="N70" s="123">
        <v>103.06632950881885</v>
      </c>
      <c r="O70" s="121">
        <v>3675</v>
      </c>
      <c r="P70" s="121" t="s">
        <v>85</v>
      </c>
      <c r="Q70" s="121">
        <v>1</v>
      </c>
      <c r="R70" s="121" t="s">
        <v>151</v>
      </c>
    </row>
    <row r="71" spans="2:18" x14ac:dyDescent="0.15">
      <c r="B71" s="124" t="s">
        <v>160</v>
      </c>
      <c r="C71" s="124" t="s">
        <v>276</v>
      </c>
      <c r="D71" s="125">
        <v>43277</v>
      </c>
      <c r="E71" s="125">
        <v>43367</v>
      </c>
      <c r="F71" s="124">
        <v>3900</v>
      </c>
      <c r="G71" s="124">
        <v>90</v>
      </c>
      <c r="H71" s="124">
        <v>0.24657534246575341</v>
      </c>
      <c r="I71" s="124">
        <v>0</v>
      </c>
      <c r="J71" s="124">
        <v>0.28000000000000003</v>
      </c>
      <c r="K71" s="124">
        <v>-115.69220802565451</v>
      </c>
      <c r="L71" s="124"/>
      <c r="M71" s="124"/>
      <c r="N71" s="126">
        <v>115.69220802565451</v>
      </c>
      <c r="O71" s="124">
        <v>3675</v>
      </c>
      <c r="P71" s="124" t="s">
        <v>39</v>
      </c>
      <c r="Q71" s="124">
        <v>-1</v>
      </c>
      <c r="R71" s="124" t="s">
        <v>20</v>
      </c>
    </row>
    <row r="72" spans="2:18" x14ac:dyDescent="0.15">
      <c r="B72" s="127" t="s">
        <v>160</v>
      </c>
      <c r="C72" s="127" t="s">
        <v>276</v>
      </c>
      <c r="D72" s="128">
        <v>43277</v>
      </c>
      <c r="E72" s="128">
        <v>43367</v>
      </c>
      <c r="F72" s="127" t="s">
        <v>277</v>
      </c>
      <c r="G72" s="127">
        <v>90</v>
      </c>
      <c r="H72" s="127">
        <v>0.24657534246575341</v>
      </c>
      <c r="I72" s="127"/>
      <c r="J72" s="127"/>
      <c r="K72" s="127">
        <v>-12.625878516835655</v>
      </c>
      <c r="L72" s="127">
        <v>0</v>
      </c>
      <c r="M72" s="127">
        <v>0</v>
      </c>
      <c r="N72" s="129">
        <v>12.625878516835655</v>
      </c>
      <c r="O72" s="127">
        <v>3675</v>
      </c>
      <c r="P72" s="127"/>
      <c r="Q72" s="127"/>
      <c r="R72" s="127" t="s">
        <v>280</v>
      </c>
    </row>
    <row r="73" spans="2:18" x14ac:dyDescent="0.15">
      <c r="B73" s="121" t="s">
        <v>160</v>
      </c>
      <c r="C73" s="121" t="s">
        <v>276</v>
      </c>
      <c r="D73" s="122">
        <v>43277</v>
      </c>
      <c r="E73" s="122">
        <v>43367</v>
      </c>
      <c r="F73" s="121">
        <v>3400</v>
      </c>
      <c r="G73" s="121">
        <v>90</v>
      </c>
      <c r="H73" s="121">
        <v>0.24657534246575341</v>
      </c>
      <c r="I73" s="121">
        <v>0</v>
      </c>
      <c r="J73" s="121">
        <v>0.25</v>
      </c>
      <c r="K73" s="121">
        <v>70.452272274991628</v>
      </c>
      <c r="L73" s="121"/>
      <c r="M73" s="121"/>
      <c r="N73" s="123">
        <v>70.452272274991628</v>
      </c>
      <c r="O73" s="121">
        <v>3675</v>
      </c>
      <c r="P73" s="121" t="s">
        <v>85</v>
      </c>
      <c r="Q73" s="121">
        <v>1</v>
      </c>
      <c r="R73" s="121" t="s">
        <v>151</v>
      </c>
    </row>
    <row r="74" spans="2:18" x14ac:dyDescent="0.15">
      <c r="B74" s="124" t="s">
        <v>160</v>
      </c>
      <c r="C74" s="124" t="s">
        <v>276</v>
      </c>
      <c r="D74" s="125">
        <v>43277</v>
      </c>
      <c r="E74" s="125">
        <v>43367</v>
      </c>
      <c r="F74" s="124">
        <v>3800</v>
      </c>
      <c r="G74" s="124">
        <v>90</v>
      </c>
      <c r="H74" s="124">
        <v>0.24657534246575341</v>
      </c>
      <c r="I74" s="124">
        <v>0</v>
      </c>
      <c r="J74" s="124">
        <v>0.28000000000000003</v>
      </c>
      <c r="K74" s="124">
        <v>-149.85909592590338</v>
      </c>
      <c r="L74" s="124"/>
      <c r="M74" s="124"/>
      <c r="N74" s="126">
        <v>149.85909592590338</v>
      </c>
      <c r="O74" s="124">
        <v>3675</v>
      </c>
      <c r="P74" s="124" t="s">
        <v>39</v>
      </c>
      <c r="Q74" s="124">
        <v>-1</v>
      </c>
      <c r="R74" s="124" t="s">
        <v>20</v>
      </c>
    </row>
    <row r="75" spans="2:18" x14ac:dyDescent="0.15">
      <c r="B75" s="127" t="s">
        <v>160</v>
      </c>
      <c r="C75" s="127" t="s">
        <v>276</v>
      </c>
      <c r="D75" s="128">
        <v>43277</v>
      </c>
      <c r="E75" s="128">
        <v>43367</v>
      </c>
      <c r="F75" s="127" t="s">
        <v>278</v>
      </c>
      <c r="G75" s="127">
        <v>90</v>
      </c>
      <c r="H75" s="127">
        <v>0.24657534246575341</v>
      </c>
      <c r="I75" s="127"/>
      <c r="J75" s="127"/>
      <c r="K75" s="127">
        <v>-79.406823650911747</v>
      </c>
      <c r="L75" s="127">
        <v>0</v>
      </c>
      <c r="M75" s="127">
        <v>0</v>
      </c>
      <c r="N75" s="129">
        <v>79.406823650911747</v>
      </c>
      <c r="O75" s="127">
        <v>3675</v>
      </c>
      <c r="P75" s="127"/>
      <c r="Q75" s="127"/>
      <c r="R75" s="127" t="s">
        <v>280</v>
      </c>
    </row>
    <row r="76" spans="2:18" x14ac:dyDescent="0.15">
      <c r="B76" s="121" t="s">
        <v>160</v>
      </c>
      <c r="C76" s="121" t="s">
        <v>276</v>
      </c>
      <c r="D76" s="122">
        <v>43277</v>
      </c>
      <c r="E76" s="122">
        <v>43367</v>
      </c>
      <c r="F76" s="121">
        <v>3300</v>
      </c>
      <c r="G76" s="121">
        <v>90</v>
      </c>
      <c r="H76" s="121">
        <v>0.24657534246575341</v>
      </c>
      <c r="I76" s="121">
        <v>0</v>
      </c>
      <c r="J76" s="121">
        <v>0.25</v>
      </c>
      <c r="K76" s="121">
        <v>45.82637478802269</v>
      </c>
      <c r="L76" s="121"/>
      <c r="M76" s="121"/>
      <c r="N76" s="123">
        <v>45.82637478802269</v>
      </c>
      <c r="O76" s="121">
        <v>3675</v>
      </c>
      <c r="P76" s="121" t="s">
        <v>85</v>
      </c>
      <c r="Q76" s="121">
        <v>1</v>
      </c>
      <c r="R76" s="121" t="s">
        <v>151</v>
      </c>
    </row>
    <row r="77" spans="2:18" x14ac:dyDescent="0.15">
      <c r="B77" s="124" t="s">
        <v>160</v>
      </c>
      <c r="C77" s="124" t="s">
        <v>276</v>
      </c>
      <c r="D77" s="125">
        <v>43277</v>
      </c>
      <c r="E77" s="125">
        <v>43367</v>
      </c>
      <c r="F77" s="124">
        <v>4000</v>
      </c>
      <c r="G77" s="124">
        <v>90</v>
      </c>
      <c r="H77" s="124">
        <v>0.24657534246575341</v>
      </c>
      <c r="I77" s="124">
        <v>0</v>
      </c>
      <c r="J77" s="124">
        <v>0.28000000000000003</v>
      </c>
      <c r="K77" s="124">
        <v>-87.986731659793804</v>
      </c>
      <c r="L77" s="124"/>
      <c r="M77" s="124"/>
      <c r="N77" s="126">
        <v>87.986731659793804</v>
      </c>
      <c r="O77" s="124">
        <v>3675</v>
      </c>
      <c r="P77" s="124" t="s">
        <v>39</v>
      </c>
      <c r="Q77" s="124">
        <v>-1</v>
      </c>
      <c r="R77" s="124" t="s">
        <v>20</v>
      </c>
    </row>
    <row r="78" spans="2:18" x14ac:dyDescent="0.15">
      <c r="B78" s="127" t="s">
        <v>160</v>
      </c>
      <c r="C78" s="127" t="s">
        <v>276</v>
      </c>
      <c r="D78" s="128">
        <v>43277</v>
      </c>
      <c r="E78" s="128">
        <v>43367</v>
      </c>
      <c r="F78" s="127" t="s">
        <v>279</v>
      </c>
      <c r="G78" s="127">
        <v>90</v>
      </c>
      <c r="H78" s="127">
        <v>0.24657534246575341</v>
      </c>
      <c r="I78" s="127"/>
      <c r="J78" s="127"/>
      <c r="K78" s="127">
        <v>-42.160356871771114</v>
      </c>
      <c r="L78" s="127">
        <v>50</v>
      </c>
      <c r="M78" s="127">
        <v>4.5308219178082192</v>
      </c>
      <c r="N78" s="129">
        <v>46.691178789579332</v>
      </c>
      <c r="O78" s="127">
        <v>3675</v>
      </c>
      <c r="P78" s="127"/>
      <c r="Q78" s="127"/>
      <c r="R78" s="127" t="s">
        <v>280</v>
      </c>
    </row>
    <row r="79" spans="2:18" x14ac:dyDescent="0.15">
      <c r="B79" s="91" t="s">
        <v>2</v>
      </c>
      <c r="C79" s="33" t="s">
        <v>181</v>
      </c>
      <c r="D79" s="33" t="s">
        <v>180</v>
      </c>
      <c r="E79" s="33" t="s">
        <v>10</v>
      </c>
      <c r="F79" s="33" t="s">
        <v>184</v>
      </c>
      <c r="G79" s="33" t="s">
        <v>11</v>
      </c>
      <c r="H79" s="33" t="s">
        <v>12</v>
      </c>
      <c r="I79" s="33" t="s">
        <v>47</v>
      </c>
      <c r="J79" s="33" t="s">
        <v>13</v>
      </c>
      <c r="K79" s="33" t="s">
        <v>14</v>
      </c>
      <c r="L79" s="33" t="s">
        <v>26</v>
      </c>
      <c r="M79" s="33" t="s">
        <v>28</v>
      </c>
      <c r="N79" s="33" t="s">
        <v>182</v>
      </c>
      <c r="O79" s="33" t="s">
        <v>8</v>
      </c>
      <c r="P79" s="33" t="s">
        <v>23</v>
      </c>
      <c r="Q79" s="33"/>
      <c r="R79" s="33" t="s">
        <v>30</v>
      </c>
    </row>
    <row r="80" spans="2:18" x14ac:dyDescent="0.15">
      <c r="B80" s="121" t="s">
        <v>160</v>
      </c>
      <c r="C80" s="121" t="s">
        <v>239</v>
      </c>
      <c r="D80" s="122">
        <v>43277</v>
      </c>
      <c r="E80" s="122">
        <v>43308</v>
      </c>
      <c r="F80" s="121">
        <v>3150</v>
      </c>
      <c r="G80" s="121">
        <v>31</v>
      </c>
      <c r="H80" s="121">
        <v>8.4931506849315067E-2</v>
      </c>
      <c r="I80" s="121">
        <v>0</v>
      </c>
      <c r="J80" s="121">
        <v>0.19470000000000001</v>
      </c>
      <c r="K80" s="121">
        <v>40.182982197670071</v>
      </c>
      <c r="L80" s="121">
        <v>30</v>
      </c>
      <c r="M80" s="121">
        <v>0.78425753424657541</v>
      </c>
      <c r="N80" s="123">
        <v>39.398724663423494</v>
      </c>
      <c r="O80" s="121">
        <v>3078</v>
      </c>
      <c r="P80" s="121" t="s">
        <v>39</v>
      </c>
      <c r="Q80" s="121">
        <v>1</v>
      </c>
      <c r="R80" s="121" t="s">
        <v>151</v>
      </c>
    </row>
    <row r="81" spans="1:18" x14ac:dyDescent="0.15">
      <c r="B81" s="124" t="s">
        <v>160</v>
      </c>
      <c r="C81" s="124" t="s">
        <v>239</v>
      </c>
      <c r="D81" s="125">
        <v>43277</v>
      </c>
      <c r="E81" s="125">
        <v>43307</v>
      </c>
      <c r="F81" s="124">
        <v>3150</v>
      </c>
      <c r="G81" s="124">
        <v>30</v>
      </c>
      <c r="H81" s="124">
        <v>8.2191780821917804E-2</v>
      </c>
      <c r="I81" s="124">
        <v>0</v>
      </c>
      <c r="J81" s="124">
        <v>0.19470000000000001</v>
      </c>
      <c r="K81" s="124">
        <v>39.836329300597981</v>
      </c>
      <c r="L81" s="124">
        <v>30</v>
      </c>
      <c r="M81" s="124">
        <v>0.75945205479452049</v>
      </c>
      <c r="N81" s="126">
        <v>39.076877245803459</v>
      </c>
      <c r="O81" s="124">
        <v>3080</v>
      </c>
      <c r="P81" s="124" t="s">
        <v>39</v>
      </c>
      <c r="Q81" s="124">
        <v>1</v>
      </c>
      <c r="R81" s="124" t="s">
        <v>151</v>
      </c>
    </row>
    <row r="82" spans="1:18" x14ac:dyDescent="0.15">
      <c r="B82" s="91" t="s">
        <v>2</v>
      </c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1:18" x14ac:dyDescent="0.15">
      <c r="B83" s="121" t="s">
        <v>160</v>
      </c>
      <c r="C83" s="121" t="s">
        <v>276</v>
      </c>
      <c r="D83" s="122">
        <v>43277</v>
      </c>
      <c r="E83" s="122">
        <v>43307</v>
      </c>
      <c r="F83" s="121">
        <v>3300</v>
      </c>
      <c r="G83" s="121">
        <v>30</v>
      </c>
      <c r="H83" s="121">
        <v>8.2191780821917804E-2</v>
      </c>
      <c r="I83" s="121">
        <v>0</v>
      </c>
      <c r="J83" s="121">
        <v>0.215</v>
      </c>
      <c r="K83" s="121">
        <v>3.4979296459610225</v>
      </c>
      <c r="L83" s="121"/>
      <c r="M83" s="121">
        <v>0</v>
      </c>
      <c r="N83" s="123">
        <v>3.4979296459610225</v>
      </c>
      <c r="O83" s="121">
        <v>3675</v>
      </c>
      <c r="P83" s="121" t="s">
        <v>85</v>
      </c>
      <c r="Q83" s="121">
        <v>1</v>
      </c>
      <c r="R83" s="121" t="s">
        <v>151</v>
      </c>
    </row>
    <row r="84" spans="1:18" x14ac:dyDescent="0.15">
      <c r="B84" s="121" t="s">
        <v>160</v>
      </c>
      <c r="C84" s="121" t="s">
        <v>276</v>
      </c>
      <c r="D84" s="122">
        <v>43277</v>
      </c>
      <c r="E84" s="122">
        <v>43307</v>
      </c>
      <c r="F84" s="121">
        <v>3400</v>
      </c>
      <c r="G84" s="121">
        <v>30</v>
      </c>
      <c r="H84" s="121">
        <v>8.2191780821917804E-2</v>
      </c>
      <c r="I84" s="121">
        <v>0</v>
      </c>
      <c r="J84" s="121">
        <v>0.215</v>
      </c>
      <c r="K84" s="121">
        <v>10.73115240660735</v>
      </c>
      <c r="L84" s="121"/>
      <c r="M84" s="121">
        <v>0</v>
      </c>
      <c r="N84" s="123">
        <v>10.73115240660735</v>
      </c>
      <c r="O84" s="121">
        <v>3675</v>
      </c>
      <c r="P84" s="121" t="s">
        <v>85</v>
      </c>
      <c r="Q84" s="121">
        <v>1</v>
      </c>
      <c r="R84" s="121" t="s">
        <v>151</v>
      </c>
    </row>
    <row r="85" spans="1:18" x14ac:dyDescent="0.15">
      <c r="B85" s="121" t="s">
        <v>160</v>
      </c>
      <c r="C85" s="121" t="s">
        <v>276</v>
      </c>
      <c r="D85" s="122">
        <v>43277</v>
      </c>
      <c r="E85" s="122">
        <v>43307</v>
      </c>
      <c r="F85" s="121">
        <v>3500</v>
      </c>
      <c r="G85" s="121">
        <v>30</v>
      </c>
      <c r="H85" s="121">
        <v>8.2191780821917804E-2</v>
      </c>
      <c r="I85" s="121">
        <v>0</v>
      </c>
      <c r="J85" s="121">
        <v>0.215</v>
      </c>
      <c r="K85" s="121">
        <v>26.91943414860566</v>
      </c>
      <c r="L85" s="121"/>
      <c r="M85" s="121">
        <v>0</v>
      </c>
      <c r="N85" s="123">
        <v>26.91943414860566</v>
      </c>
      <c r="O85" s="121">
        <v>3675</v>
      </c>
      <c r="P85" s="121" t="s">
        <v>85</v>
      </c>
      <c r="Q85" s="121">
        <v>1</v>
      </c>
      <c r="R85" s="121" t="s">
        <v>151</v>
      </c>
    </row>
    <row r="86" spans="1:18" x14ac:dyDescent="0.15">
      <c r="B86" s="121" t="s">
        <v>160</v>
      </c>
      <c r="C86" s="121" t="s">
        <v>276</v>
      </c>
      <c r="D86" s="122">
        <v>43277</v>
      </c>
      <c r="E86" s="122">
        <v>43367</v>
      </c>
      <c r="F86" s="121">
        <v>3100</v>
      </c>
      <c r="G86" s="121">
        <v>90</v>
      </c>
      <c r="H86" s="121">
        <v>0.24657534246575341</v>
      </c>
      <c r="I86" s="121">
        <v>0</v>
      </c>
      <c r="J86" s="121">
        <v>0.22</v>
      </c>
      <c r="K86" s="121">
        <v>9.4089750527262481</v>
      </c>
      <c r="L86" s="121"/>
      <c r="M86" s="121">
        <v>0</v>
      </c>
      <c r="N86" s="123">
        <v>9.4089750527262481</v>
      </c>
      <c r="O86" s="121">
        <v>3675</v>
      </c>
      <c r="P86" s="121" t="s">
        <v>85</v>
      </c>
      <c r="Q86" s="121">
        <v>1</v>
      </c>
      <c r="R86" s="121" t="s">
        <v>151</v>
      </c>
    </row>
    <row r="87" spans="1:18" x14ac:dyDescent="0.15">
      <c r="B87" s="121" t="s">
        <v>160</v>
      </c>
      <c r="C87" s="121" t="s">
        <v>276</v>
      </c>
      <c r="D87" s="122">
        <v>43277</v>
      </c>
      <c r="E87" s="122">
        <v>43367</v>
      </c>
      <c r="F87" s="121">
        <v>3300</v>
      </c>
      <c r="G87" s="121">
        <v>90</v>
      </c>
      <c r="H87" s="121">
        <v>0.24657534246575341</v>
      </c>
      <c r="I87" s="121">
        <v>0</v>
      </c>
      <c r="J87" s="121">
        <v>0.22</v>
      </c>
      <c r="K87" s="121">
        <v>32.406866024294686</v>
      </c>
      <c r="L87" s="121"/>
      <c r="M87" s="121">
        <v>0</v>
      </c>
      <c r="N87" s="123">
        <v>32.406866024294686</v>
      </c>
      <c r="O87" s="121">
        <v>3675</v>
      </c>
      <c r="P87" s="121" t="s">
        <v>85</v>
      </c>
      <c r="Q87" s="121">
        <v>1</v>
      </c>
      <c r="R87" s="121" t="s">
        <v>151</v>
      </c>
    </row>
    <row r="88" spans="1:18" x14ac:dyDescent="0.15">
      <c r="B88" s="121" t="s">
        <v>160</v>
      </c>
      <c r="C88" s="121" t="s">
        <v>276</v>
      </c>
      <c r="D88" s="122">
        <v>43277</v>
      </c>
      <c r="E88" s="122">
        <v>43367</v>
      </c>
      <c r="F88" s="121">
        <v>3500</v>
      </c>
      <c r="G88" s="121">
        <v>90</v>
      </c>
      <c r="H88" s="121">
        <v>0.24657534246575341</v>
      </c>
      <c r="I88" s="121">
        <v>0</v>
      </c>
      <c r="J88" s="121">
        <v>0.22</v>
      </c>
      <c r="K88" s="121">
        <v>83.671779092422867</v>
      </c>
      <c r="L88" s="121"/>
      <c r="M88" s="121">
        <v>0</v>
      </c>
      <c r="N88" s="123">
        <v>83.671779092422867</v>
      </c>
      <c r="O88" s="121">
        <v>3675</v>
      </c>
      <c r="P88" s="121" t="s">
        <v>85</v>
      </c>
      <c r="Q88" s="121">
        <v>1</v>
      </c>
      <c r="R88" s="121" t="s">
        <v>151</v>
      </c>
    </row>
    <row r="89" spans="1:18" x14ac:dyDescent="0.15">
      <c r="A89" s="130">
        <v>43278</v>
      </c>
      <c r="B89" s="91" t="s">
        <v>2</v>
      </c>
      <c r="C89" s="33" t="s">
        <v>181</v>
      </c>
      <c r="D89" s="33" t="s">
        <v>180</v>
      </c>
      <c r="E89" s="33" t="s">
        <v>10</v>
      </c>
      <c r="F89" s="33" t="s">
        <v>184</v>
      </c>
      <c r="G89" s="33" t="s">
        <v>11</v>
      </c>
      <c r="H89" s="33" t="s">
        <v>12</v>
      </c>
      <c r="I89" s="33" t="s">
        <v>47</v>
      </c>
      <c r="J89" s="33" t="s">
        <v>13</v>
      </c>
      <c r="K89" s="33" t="s">
        <v>14</v>
      </c>
      <c r="L89" s="33" t="s">
        <v>26</v>
      </c>
      <c r="M89" s="33" t="s">
        <v>28</v>
      </c>
      <c r="N89" s="33" t="s">
        <v>182</v>
      </c>
      <c r="O89" s="33" t="s">
        <v>8</v>
      </c>
      <c r="P89" s="33" t="s">
        <v>23</v>
      </c>
      <c r="Q89" s="33"/>
      <c r="R89" s="33" t="s">
        <v>30</v>
      </c>
    </row>
    <row r="90" spans="1:18" x14ac:dyDescent="0.15">
      <c r="B90" s="121" t="s">
        <v>160</v>
      </c>
      <c r="C90" s="121" t="s">
        <v>268</v>
      </c>
      <c r="D90" s="122">
        <v>43278</v>
      </c>
      <c r="E90" s="122">
        <v>43309</v>
      </c>
      <c r="F90" s="121">
        <v>49500</v>
      </c>
      <c r="G90" s="121">
        <v>31</v>
      </c>
      <c r="H90" s="121">
        <v>8.4931506849315067E-2</v>
      </c>
      <c r="I90" s="121">
        <v>0</v>
      </c>
      <c r="J90" s="121">
        <v>0.1225</v>
      </c>
      <c r="K90" s="121">
        <v>87.132866616341744</v>
      </c>
      <c r="L90" s="121">
        <v>30</v>
      </c>
      <c r="M90" s="121">
        <v>13.198356164383561</v>
      </c>
      <c r="N90" s="123">
        <v>73.934510451958175</v>
      </c>
      <c r="O90" s="121">
        <v>51800</v>
      </c>
      <c r="P90" s="121" t="s">
        <v>85</v>
      </c>
      <c r="Q90" s="121">
        <v>1</v>
      </c>
      <c r="R90" s="121" t="s">
        <v>151</v>
      </c>
    </row>
    <row r="91" spans="1:18" x14ac:dyDescent="0.15">
      <c r="B91" s="91" t="s">
        <v>2</v>
      </c>
      <c r="C91" s="33" t="s">
        <v>181</v>
      </c>
      <c r="D91" s="33" t="s">
        <v>180</v>
      </c>
      <c r="E91" s="33" t="s">
        <v>10</v>
      </c>
      <c r="F91" s="33" t="s">
        <v>184</v>
      </c>
      <c r="G91" s="33" t="s">
        <v>11</v>
      </c>
      <c r="H91" s="33" t="s">
        <v>12</v>
      </c>
      <c r="I91" s="33" t="s">
        <v>47</v>
      </c>
      <c r="J91" s="33" t="s">
        <v>13</v>
      </c>
      <c r="K91" s="33" t="s">
        <v>14</v>
      </c>
      <c r="L91" s="33" t="s">
        <v>26</v>
      </c>
      <c r="M91" s="33" t="s">
        <v>28</v>
      </c>
      <c r="N91" s="33" t="s">
        <v>182</v>
      </c>
      <c r="O91" s="33" t="s">
        <v>8</v>
      </c>
      <c r="P91" s="33" t="s">
        <v>23</v>
      </c>
      <c r="Q91" s="33"/>
      <c r="R91" s="33" t="s">
        <v>30</v>
      </c>
    </row>
    <row r="92" spans="1:18" x14ac:dyDescent="0.15">
      <c r="B92" s="121" t="s">
        <v>160</v>
      </c>
      <c r="C92" s="121" t="s">
        <v>286</v>
      </c>
      <c r="D92" s="122">
        <v>43278</v>
      </c>
      <c r="E92" s="122">
        <v>43339</v>
      </c>
      <c r="F92" s="121">
        <v>9313</v>
      </c>
      <c r="G92" s="121">
        <v>61</v>
      </c>
      <c r="H92" s="121">
        <v>0.16712328767123288</v>
      </c>
      <c r="I92" s="121">
        <v>0</v>
      </c>
      <c r="J92" s="121">
        <v>0.38</v>
      </c>
      <c r="K92" s="121">
        <v>-574.66350559631246</v>
      </c>
      <c r="L92" s="121"/>
      <c r="M92" s="121">
        <v>0</v>
      </c>
      <c r="N92" s="123">
        <v>574.66350559631246</v>
      </c>
      <c r="O92" s="121">
        <v>9313</v>
      </c>
      <c r="P92" s="121" t="s">
        <v>39</v>
      </c>
      <c r="Q92" s="121">
        <v>-1</v>
      </c>
      <c r="R92" s="121" t="s">
        <v>20</v>
      </c>
    </row>
    <row r="93" spans="1:18" x14ac:dyDescent="0.15">
      <c r="B93" s="121" t="s">
        <v>160</v>
      </c>
      <c r="C93" s="121" t="s">
        <v>284</v>
      </c>
      <c r="D93" s="122">
        <v>43278</v>
      </c>
      <c r="E93" s="122">
        <v>43339</v>
      </c>
      <c r="F93" s="121">
        <v>10009</v>
      </c>
      <c r="G93" s="121">
        <v>61</v>
      </c>
      <c r="H93" s="121">
        <v>0.16712328767123288</v>
      </c>
      <c r="I93" s="121">
        <v>0</v>
      </c>
      <c r="J93" s="121">
        <v>0.38</v>
      </c>
      <c r="K93" s="121">
        <v>-617.6105473546113</v>
      </c>
      <c r="L93" s="121"/>
      <c r="M93" s="121">
        <v>0</v>
      </c>
      <c r="N93" s="123">
        <v>617.6105473546113</v>
      </c>
      <c r="O93" s="121">
        <v>10009</v>
      </c>
      <c r="P93" s="121" t="s">
        <v>39</v>
      </c>
      <c r="Q93" s="121">
        <v>-1</v>
      </c>
      <c r="R93" s="121" t="s">
        <v>20</v>
      </c>
    </row>
    <row r="94" spans="1:18" x14ac:dyDescent="0.15">
      <c r="B94" s="91" t="s">
        <v>2</v>
      </c>
      <c r="C94" s="33" t="s">
        <v>181</v>
      </c>
      <c r="D94" s="33" t="s">
        <v>180</v>
      </c>
      <c r="E94" s="33" t="s">
        <v>10</v>
      </c>
      <c r="F94" s="33" t="s">
        <v>184</v>
      </c>
      <c r="G94" s="33" t="s">
        <v>11</v>
      </c>
      <c r="H94" s="33" t="s">
        <v>12</v>
      </c>
      <c r="I94" s="33" t="s">
        <v>47</v>
      </c>
      <c r="J94" s="33" t="s">
        <v>13</v>
      </c>
      <c r="K94" s="33" t="s">
        <v>14</v>
      </c>
      <c r="L94" s="33" t="s">
        <v>26</v>
      </c>
      <c r="M94" s="33" t="s">
        <v>28</v>
      </c>
      <c r="N94" s="33" t="s">
        <v>182</v>
      </c>
      <c r="O94" s="33" t="s">
        <v>8</v>
      </c>
      <c r="P94" s="33" t="s">
        <v>23</v>
      </c>
      <c r="Q94" s="33"/>
      <c r="R94" s="33" t="s">
        <v>30</v>
      </c>
    </row>
    <row r="95" spans="1:18" x14ac:dyDescent="0.15">
      <c r="B95" s="121" t="s">
        <v>160</v>
      </c>
      <c r="C95" s="121" t="s">
        <v>238</v>
      </c>
      <c r="D95" s="122">
        <v>43278</v>
      </c>
      <c r="E95" s="122">
        <v>43360</v>
      </c>
      <c r="F95" s="121">
        <v>14280</v>
      </c>
      <c r="G95" s="121">
        <v>82</v>
      </c>
      <c r="H95" s="121">
        <v>0.22465753424657534</v>
      </c>
      <c r="I95" s="121">
        <v>0</v>
      </c>
      <c r="J95" s="121">
        <v>0.18</v>
      </c>
      <c r="K95" s="121">
        <v>-476.53780929843742</v>
      </c>
      <c r="L95" s="121"/>
      <c r="M95" s="121">
        <v>0</v>
      </c>
      <c r="N95" s="123">
        <v>476.53780929843742</v>
      </c>
      <c r="O95" s="121">
        <v>14295</v>
      </c>
      <c r="P95" s="121" t="s">
        <v>85</v>
      </c>
      <c r="Q95" s="121">
        <v>-1</v>
      </c>
      <c r="R95" s="121" t="s">
        <v>20</v>
      </c>
    </row>
    <row r="96" spans="1:18" x14ac:dyDescent="0.15">
      <c r="B96" s="91" t="s">
        <v>2</v>
      </c>
      <c r="C96" s="33" t="s">
        <v>181</v>
      </c>
      <c r="D96" s="33" t="s">
        <v>180</v>
      </c>
      <c r="E96" s="33" t="s">
        <v>10</v>
      </c>
      <c r="F96" s="33" t="s">
        <v>184</v>
      </c>
      <c r="G96" s="33" t="s">
        <v>11</v>
      </c>
      <c r="H96" s="33" t="s">
        <v>12</v>
      </c>
      <c r="I96" s="33" t="s">
        <v>47</v>
      </c>
      <c r="J96" s="33" t="s">
        <v>13</v>
      </c>
      <c r="K96" s="33" t="s">
        <v>14</v>
      </c>
      <c r="L96" s="33" t="s">
        <v>26</v>
      </c>
      <c r="M96" s="33" t="s">
        <v>28</v>
      </c>
      <c r="N96" s="33" t="s">
        <v>182</v>
      </c>
      <c r="O96" s="33" t="s">
        <v>8</v>
      </c>
      <c r="P96" s="33" t="s">
        <v>23</v>
      </c>
      <c r="Q96" s="33"/>
      <c r="R96" s="33" t="s">
        <v>30</v>
      </c>
    </row>
    <row r="97" spans="2:18" x14ac:dyDescent="0.15">
      <c r="B97" s="121" t="s">
        <v>160</v>
      </c>
      <c r="C97" s="121" t="s">
        <v>286</v>
      </c>
      <c r="D97" s="122">
        <v>43278</v>
      </c>
      <c r="E97" s="122">
        <v>43308</v>
      </c>
      <c r="F97" s="121">
        <v>9295</v>
      </c>
      <c r="G97" s="121">
        <v>30</v>
      </c>
      <c r="H97" s="121">
        <v>8.2191780821917804E-2</v>
      </c>
      <c r="I97" s="121">
        <v>0</v>
      </c>
      <c r="J97" s="121">
        <v>0.21</v>
      </c>
      <c r="K97" s="121">
        <v>222.85041883431404</v>
      </c>
      <c r="L97" s="121">
        <v>30</v>
      </c>
      <c r="M97" s="121">
        <v>2.291917808219178</v>
      </c>
      <c r="N97" s="123">
        <v>220.55850102609486</v>
      </c>
      <c r="O97" s="121">
        <v>9295</v>
      </c>
      <c r="P97" s="121" t="s">
        <v>291</v>
      </c>
      <c r="Q97" s="121">
        <v>1</v>
      </c>
      <c r="R97" s="121" t="s">
        <v>151</v>
      </c>
    </row>
    <row r="98" spans="2:18" x14ac:dyDescent="0.15">
      <c r="B98" s="121" t="s">
        <v>160</v>
      </c>
      <c r="C98" s="121" t="s">
        <v>286</v>
      </c>
      <c r="D98" s="122">
        <v>43278</v>
      </c>
      <c r="E98" s="122">
        <v>43308</v>
      </c>
      <c r="F98" s="121">
        <v>9295</v>
      </c>
      <c r="G98" s="121">
        <v>30</v>
      </c>
      <c r="H98" s="121">
        <v>8.2191780821917804E-2</v>
      </c>
      <c r="I98" s="121">
        <v>0</v>
      </c>
      <c r="J98" s="121">
        <v>0.21</v>
      </c>
      <c r="K98" s="121">
        <v>222.85041883431404</v>
      </c>
      <c r="L98" s="121">
        <v>30</v>
      </c>
      <c r="M98" s="121">
        <v>2.291917808219178</v>
      </c>
      <c r="N98" s="123">
        <v>220.55850102609486</v>
      </c>
      <c r="O98" s="121">
        <v>9295</v>
      </c>
      <c r="P98" s="121" t="s">
        <v>85</v>
      </c>
      <c r="Q98" s="121">
        <v>1</v>
      </c>
      <c r="R98" s="121" t="s">
        <v>151</v>
      </c>
    </row>
    <row r="99" spans="2:18" x14ac:dyDescent="0.15">
      <c r="B99" s="91" t="s">
        <v>2</v>
      </c>
      <c r="C99" s="33" t="s">
        <v>181</v>
      </c>
      <c r="D99" s="33" t="s">
        <v>180</v>
      </c>
      <c r="E99" s="33" t="s">
        <v>10</v>
      </c>
      <c r="F99" s="33" t="s">
        <v>184</v>
      </c>
      <c r="G99" s="33" t="s">
        <v>11</v>
      </c>
      <c r="H99" s="33" t="s">
        <v>12</v>
      </c>
      <c r="I99" s="33" t="s">
        <v>47</v>
      </c>
      <c r="J99" s="33" t="s">
        <v>13</v>
      </c>
      <c r="K99" s="33" t="s">
        <v>14</v>
      </c>
      <c r="L99" s="33" t="s">
        <v>26</v>
      </c>
      <c r="M99" s="33" t="s">
        <v>28</v>
      </c>
      <c r="N99" s="33" t="s">
        <v>182</v>
      </c>
      <c r="O99" s="33" t="s">
        <v>8</v>
      </c>
      <c r="P99" s="33" t="s">
        <v>23</v>
      </c>
      <c r="Q99" s="33"/>
      <c r="R99" s="33" t="s">
        <v>30</v>
      </c>
    </row>
    <row r="100" spans="2:18" x14ac:dyDescent="0.15">
      <c r="B100" s="121" t="s">
        <v>160</v>
      </c>
      <c r="C100" s="121" t="s">
        <v>286</v>
      </c>
      <c r="D100" s="122">
        <v>43278</v>
      </c>
      <c r="E100" s="122">
        <v>43308</v>
      </c>
      <c r="F100" s="121">
        <v>9295</v>
      </c>
      <c r="G100" s="121">
        <v>30</v>
      </c>
      <c r="H100" s="121">
        <v>8.2191780821917804E-2</v>
      </c>
      <c r="I100" s="121">
        <v>0</v>
      </c>
      <c r="J100" s="121">
        <v>0.21</v>
      </c>
      <c r="K100" s="121">
        <v>222.85041883431404</v>
      </c>
      <c r="L100" s="121">
        <v>30</v>
      </c>
      <c r="M100" s="121">
        <v>2.291917808219178</v>
      </c>
      <c r="N100" s="123">
        <v>220.55850102609486</v>
      </c>
      <c r="O100" s="121">
        <v>9295</v>
      </c>
      <c r="P100" s="121" t="s">
        <v>263</v>
      </c>
      <c r="Q100" s="121">
        <v>1</v>
      </c>
      <c r="R100" s="121" t="s">
        <v>151</v>
      </c>
    </row>
    <row r="101" spans="2:18" x14ac:dyDescent="0.15">
      <c r="B101" s="121" t="s">
        <v>160</v>
      </c>
      <c r="C101" s="121" t="s">
        <v>286</v>
      </c>
      <c r="D101" s="122">
        <v>43278</v>
      </c>
      <c r="E101" s="122">
        <v>43308</v>
      </c>
      <c r="F101" s="121">
        <v>9295</v>
      </c>
      <c r="G101" s="121">
        <v>30</v>
      </c>
      <c r="H101" s="121">
        <v>8.2191780821917804E-2</v>
      </c>
      <c r="I101" s="121">
        <v>0</v>
      </c>
      <c r="J101" s="121">
        <v>0.34</v>
      </c>
      <c r="K101" s="121">
        <v>-360.7171222470206</v>
      </c>
      <c r="L101" s="121">
        <v>70</v>
      </c>
      <c r="M101" s="121">
        <v>5.3478082191780816</v>
      </c>
      <c r="N101" s="123">
        <v>366.06493046619869</v>
      </c>
      <c r="O101" s="121">
        <v>9295</v>
      </c>
      <c r="P101" s="121" t="s">
        <v>85</v>
      </c>
      <c r="Q101" s="121">
        <v>-1</v>
      </c>
      <c r="R101" s="121" t="s">
        <v>20</v>
      </c>
    </row>
    <row r="102" spans="2:18" x14ac:dyDescent="0.15">
      <c r="B102" s="91" t="s">
        <v>2</v>
      </c>
      <c r="C102" s="33" t="s">
        <v>181</v>
      </c>
      <c r="D102" s="33" t="s">
        <v>180</v>
      </c>
      <c r="E102" s="33" t="s">
        <v>10</v>
      </c>
      <c r="F102" s="33" t="s">
        <v>184</v>
      </c>
      <c r="G102" s="33" t="s">
        <v>11</v>
      </c>
      <c r="H102" s="33" t="s">
        <v>12</v>
      </c>
      <c r="I102" s="33" t="s">
        <v>47</v>
      </c>
      <c r="J102" s="33" t="s">
        <v>13</v>
      </c>
      <c r="K102" s="33" t="s">
        <v>14</v>
      </c>
      <c r="L102" s="33" t="s">
        <v>26</v>
      </c>
      <c r="M102" s="33" t="s">
        <v>28</v>
      </c>
      <c r="N102" s="33" t="s">
        <v>182</v>
      </c>
      <c r="O102" s="33" t="s">
        <v>8</v>
      </c>
      <c r="P102" s="33" t="s">
        <v>23</v>
      </c>
      <c r="Q102" s="33"/>
      <c r="R102" s="33" t="s">
        <v>30</v>
      </c>
    </row>
    <row r="103" spans="2:18" x14ac:dyDescent="0.15">
      <c r="B103" s="121" t="s">
        <v>160</v>
      </c>
      <c r="C103" s="121" t="s">
        <v>294</v>
      </c>
      <c r="D103" s="122">
        <v>43280</v>
      </c>
      <c r="E103" s="122">
        <v>43311</v>
      </c>
      <c r="F103" s="121">
        <v>17200</v>
      </c>
      <c r="G103" s="121">
        <v>31</v>
      </c>
      <c r="H103" s="121">
        <v>8.4931506849315067E-2</v>
      </c>
      <c r="I103" s="121">
        <v>0</v>
      </c>
      <c r="J103" s="121">
        <v>0.33</v>
      </c>
      <c r="K103" s="121">
        <v>-462.21215526919605</v>
      </c>
      <c r="L103" s="121"/>
      <c r="M103" s="121">
        <v>0</v>
      </c>
      <c r="N103" s="123">
        <v>462.21215526919605</v>
      </c>
      <c r="O103" s="121">
        <v>16780</v>
      </c>
      <c r="P103" s="121" t="s">
        <v>24</v>
      </c>
      <c r="Q103" s="121">
        <v>-1</v>
      </c>
      <c r="R103" s="121" t="s">
        <v>20</v>
      </c>
    </row>
    <row r="104" spans="2:18" x14ac:dyDescent="0.15">
      <c r="B104" s="121" t="s">
        <v>160</v>
      </c>
      <c r="C104" s="121" t="s">
        <v>294</v>
      </c>
      <c r="D104" s="122">
        <v>43280</v>
      </c>
      <c r="E104" s="122">
        <v>43311</v>
      </c>
      <c r="F104" s="121">
        <v>16780</v>
      </c>
      <c r="G104" s="121">
        <v>31</v>
      </c>
      <c r="H104" s="121">
        <v>8.4931506849315067E-2</v>
      </c>
      <c r="I104" s="121">
        <v>0</v>
      </c>
      <c r="J104" s="121">
        <v>0.33</v>
      </c>
      <c r="K104" s="121">
        <v>-642.45887073404629</v>
      </c>
      <c r="L104" s="121"/>
      <c r="M104" s="121">
        <v>0</v>
      </c>
      <c r="N104" s="123">
        <v>642.45887073404629</v>
      </c>
      <c r="O104" s="121">
        <v>16780</v>
      </c>
      <c r="P104" s="121" t="s">
        <v>39</v>
      </c>
      <c r="Q104" s="121">
        <v>-1</v>
      </c>
      <c r="R104" s="121" t="s">
        <v>20</v>
      </c>
    </row>
    <row r="105" spans="2:18" x14ac:dyDescent="0.15">
      <c r="B105" s="91" t="s">
        <v>2</v>
      </c>
      <c r="C105" s="33" t="s">
        <v>181</v>
      </c>
      <c r="D105" s="33" t="s">
        <v>180</v>
      </c>
      <c r="E105" s="33" t="s">
        <v>10</v>
      </c>
      <c r="F105" s="33" t="s">
        <v>184</v>
      </c>
      <c r="G105" s="33" t="s">
        <v>11</v>
      </c>
      <c r="H105" s="33" t="s">
        <v>12</v>
      </c>
      <c r="I105" s="33" t="s">
        <v>47</v>
      </c>
      <c r="J105" s="33" t="s">
        <v>13</v>
      </c>
      <c r="K105" s="33" t="s">
        <v>14</v>
      </c>
      <c r="L105" s="33" t="s">
        <v>26</v>
      </c>
      <c r="M105" s="33" t="s">
        <v>28</v>
      </c>
      <c r="N105" s="33" t="s">
        <v>182</v>
      </c>
      <c r="O105" s="33" t="s">
        <v>8</v>
      </c>
      <c r="P105" s="33" t="s">
        <v>23</v>
      </c>
      <c r="Q105" s="33"/>
      <c r="R105" s="33" t="s">
        <v>30</v>
      </c>
    </row>
    <row r="106" spans="2:18" x14ac:dyDescent="0.15">
      <c r="B106" s="121" t="s">
        <v>160</v>
      </c>
      <c r="C106" s="121" t="s">
        <v>271</v>
      </c>
      <c r="D106" s="122">
        <v>43280</v>
      </c>
      <c r="E106" s="122">
        <v>43311</v>
      </c>
      <c r="F106" s="121">
        <v>100</v>
      </c>
      <c r="G106" s="121">
        <v>31</v>
      </c>
      <c r="H106" s="121">
        <v>8.4931506849315067E-2</v>
      </c>
      <c r="I106" s="121">
        <v>0</v>
      </c>
      <c r="J106" s="121">
        <v>0.24</v>
      </c>
      <c r="K106" s="121">
        <v>2.785027571861697</v>
      </c>
      <c r="L106" s="121"/>
      <c r="M106" s="121">
        <v>0</v>
      </c>
      <c r="N106" s="123">
        <v>2.785027571861697</v>
      </c>
      <c r="O106" s="121">
        <v>100</v>
      </c>
      <c r="P106" s="121" t="s">
        <v>24</v>
      </c>
      <c r="Q106" s="121">
        <v>1</v>
      </c>
      <c r="R106" s="121" t="s">
        <v>151</v>
      </c>
    </row>
    <row r="107" spans="2:18" x14ac:dyDescent="0.15">
      <c r="B107" s="121" t="s">
        <v>160</v>
      </c>
      <c r="C107" s="121" t="s">
        <v>271</v>
      </c>
      <c r="D107" s="122">
        <v>43280</v>
      </c>
      <c r="E107" s="122">
        <v>43311</v>
      </c>
      <c r="F107" s="121">
        <v>100</v>
      </c>
      <c r="G107" s="121">
        <v>31</v>
      </c>
      <c r="H107" s="121">
        <v>8.4931506849315067E-2</v>
      </c>
      <c r="I107" s="121">
        <v>0</v>
      </c>
      <c r="J107" s="121">
        <v>0.30499999999999999</v>
      </c>
      <c r="K107" s="121">
        <v>-3.5388622989368201</v>
      </c>
      <c r="L107" s="121"/>
      <c r="M107" s="121">
        <v>0</v>
      </c>
      <c r="N107" s="123">
        <v>3.5388622989368201</v>
      </c>
      <c r="O107" s="121">
        <v>100</v>
      </c>
      <c r="P107" s="121" t="s">
        <v>39</v>
      </c>
      <c r="Q107" s="121">
        <v>-1</v>
      </c>
      <c r="R107" s="121" t="s">
        <v>20</v>
      </c>
    </row>
    <row r="108" spans="2:18" x14ac:dyDescent="0.15">
      <c r="B108" s="91" t="s">
        <v>2</v>
      </c>
      <c r="C108" s="33" t="s">
        <v>181</v>
      </c>
      <c r="D108" s="33" t="s">
        <v>180</v>
      </c>
      <c r="E108" s="33" t="s">
        <v>10</v>
      </c>
      <c r="F108" s="33" t="s">
        <v>184</v>
      </c>
      <c r="G108" s="33" t="s">
        <v>11</v>
      </c>
      <c r="H108" s="33" t="s">
        <v>12</v>
      </c>
      <c r="I108" s="33" t="s">
        <v>47</v>
      </c>
      <c r="J108" s="33" t="s">
        <v>13</v>
      </c>
      <c r="K108" s="33" t="s">
        <v>14</v>
      </c>
      <c r="L108" s="33" t="s">
        <v>26</v>
      </c>
      <c r="M108" s="33" t="s">
        <v>28</v>
      </c>
      <c r="N108" s="33" t="s">
        <v>182</v>
      </c>
      <c r="O108" s="33" t="s">
        <v>8</v>
      </c>
      <c r="P108" s="33" t="s">
        <v>23</v>
      </c>
      <c r="Q108" s="33"/>
      <c r="R108" s="33" t="s">
        <v>30</v>
      </c>
    </row>
    <row r="109" spans="2:18" x14ac:dyDescent="0.15">
      <c r="B109" s="121" t="s">
        <v>160</v>
      </c>
      <c r="C109" s="121" t="s">
        <v>271</v>
      </c>
      <c r="D109" s="122">
        <v>43280</v>
      </c>
      <c r="E109" s="122">
        <v>43295</v>
      </c>
      <c r="F109" s="121">
        <v>500</v>
      </c>
      <c r="G109" s="121">
        <v>15</v>
      </c>
      <c r="H109" s="121">
        <v>4.1095890410958902E-2</v>
      </c>
      <c r="I109" s="121">
        <v>0</v>
      </c>
      <c r="J109" s="121">
        <v>0.23</v>
      </c>
      <c r="K109" s="121">
        <v>1.4216300906169153</v>
      </c>
      <c r="L109" s="121"/>
      <c r="M109" s="121">
        <v>0</v>
      </c>
      <c r="N109" s="123">
        <v>1.4216300906169153</v>
      </c>
      <c r="O109" s="121">
        <v>474</v>
      </c>
      <c r="P109" s="121" t="s">
        <v>39</v>
      </c>
      <c r="Q109" s="121">
        <v>1</v>
      </c>
      <c r="R109" s="121" t="s">
        <v>151</v>
      </c>
    </row>
    <row r="111" spans="2:18" x14ac:dyDescent="0.15">
      <c r="B111" s="91" t="s">
        <v>2</v>
      </c>
      <c r="C111" s="33" t="s">
        <v>181</v>
      </c>
      <c r="D111" s="33" t="s">
        <v>180</v>
      </c>
      <c r="E111" s="33" t="s">
        <v>10</v>
      </c>
      <c r="F111" s="33" t="s">
        <v>184</v>
      </c>
      <c r="G111" s="33" t="s">
        <v>11</v>
      </c>
      <c r="H111" s="33" t="s">
        <v>12</v>
      </c>
      <c r="I111" s="33" t="s">
        <v>47</v>
      </c>
      <c r="J111" s="33" t="s">
        <v>13</v>
      </c>
      <c r="K111" s="33" t="s">
        <v>14</v>
      </c>
      <c r="L111" s="33" t="s">
        <v>26</v>
      </c>
      <c r="M111" s="33" t="s">
        <v>28</v>
      </c>
      <c r="N111" s="33" t="s">
        <v>182</v>
      </c>
      <c r="O111" s="33" t="s">
        <v>8</v>
      </c>
      <c r="P111" s="33" t="s">
        <v>23</v>
      </c>
      <c r="Q111" s="33"/>
      <c r="R111" s="33" t="s">
        <v>30</v>
      </c>
    </row>
    <row r="112" spans="2:18" x14ac:dyDescent="0.15">
      <c r="B112" s="121" t="s">
        <v>160</v>
      </c>
      <c r="C112" s="121" t="s">
        <v>271</v>
      </c>
      <c r="D112" s="122">
        <v>43280</v>
      </c>
      <c r="E112" s="122">
        <v>43295</v>
      </c>
      <c r="F112" s="121">
        <v>500</v>
      </c>
      <c r="G112" s="121">
        <v>15</v>
      </c>
      <c r="H112" s="121">
        <v>3.5616438356164383E-2</v>
      </c>
      <c r="I112" s="121">
        <v>0</v>
      </c>
      <c r="J112" s="121">
        <v>0.23</v>
      </c>
      <c r="K112" s="121">
        <v>1.1128416413665505</v>
      </c>
      <c r="L112" s="121"/>
      <c r="M112" s="121">
        <v>0</v>
      </c>
      <c r="N112" s="123">
        <v>1.1128416413665505</v>
      </c>
      <c r="O112" s="121">
        <v>474</v>
      </c>
      <c r="P112" s="121" t="s">
        <v>39</v>
      </c>
      <c r="Q112" s="121">
        <v>1</v>
      </c>
      <c r="R112" s="121" t="s">
        <v>151</v>
      </c>
    </row>
    <row r="113" spans="2:18" x14ac:dyDescent="0.15">
      <c r="B113" s="91" t="s">
        <v>2</v>
      </c>
      <c r="C113" s="33" t="s">
        <v>181</v>
      </c>
      <c r="D113" s="33" t="s">
        <v>180</v>
      </c>
      <c r="E113" s="33" t="s">
        <v>10</v>
      </c>
      <c r="F113" s="33" t="s">
        <v>184</v>
      </c>
      <c r="G113" s="33" t="s">
        <v>11</v>
      </c>
      <c r="H113" s="33" t="s">
        <v>12</v>
      </c>
      <c r="I113" s="33" t="s">
        <v>47</v>
      </c>
      <c r="J113" s="33" t="s">
        <v>13</v>
      </c>
      <c r="K113" s="33" t="s">
        <v>14</v>
      </c>
      <c r="L113" s="33" t="s">
        <v>26</v>
      </c>
      <c r="M113" s="33" t="s">
        <v>28</v>
      </c>
      <c r="N113" s="33" t="s">
        <v>182</v>
      </c>
      <c r="O113" s="33" t="s">
        <v>8</v>
      </c>
      <c r="P113" s="33" t="s">
        <v>23</v>
      </c>
      <c r="Q113" s="33"/>
      <c r="R113" s="33" t="s">
        <v>30</v>
      </c>
    </row>
    <row r="114" spans="2:18" x14ac:dyDescent="0.15">
      <c r="B114" s="121" t="s">
        <v>160</v>
      </c>
      <c r="C114" s="121" t="s">
        <v>295</v>
      </c>
      <c r="D114" s="122">
        <v>43283</v>
      </c>
      <c r="E114" s="122">
        <v>43314</v>
      </c>
      <c r="F114" s="121">
        <v>3900</v>
      </c>
      <c r="G114" s="121">
        <v>31</v>
      </c>
      <c r="H114" s="121">
        <v>8.4931506849315067E-2</v>
      </c>
      <c r="I114" s="121">
        <v>0</v>
      </c>
      <c r="J114" s="121">
        <v>0.28499999999999998</v>
      </c>
      <c r="K114" s="121">
        <v>-134.18900833008797</v>
      </c>
      <c r="L114" s="121"/>
      <c r="M114" s="121">
        <v>0</v>
      </c>
      <c r="N114" s="123">
        <v>134.18900833008797</v>
      </c>
      <c r="O114" s="121">
        <v>3910</v>
      </c>
      <c r="P114" s="121" t="s">
        <v>39</v>
      </c>
      <c r="Q114" s="121">
        <v>-1</v>
      </c>
      <c r="R114" s="121" t="s">
        <v>20</v>
      </c>
    </row>
    <row r="115" spans="2:18" x14ac:dyDescent="0.15">
      <c r="B115" s="91" t="s">
        <v>2</v>
      </c>
      <c r="C115" s="33" t="s">
        <v>181</v>
      </c>
      <c r="D115" s="33" t="s">
        <v>180</v>
      </c>
      <c r="E115" s="33" t="s">
        <v>10</v>
      </c>
      <c r="F115" s="33" t="s">
        <v>184</v>
      </c>
      <c r="G115" s="33" t="s">
        <v>11</v>
      </c>
      <c r="H115" s="33" t="s">
        <v>12</v>
      </c>
      <c r="I115" s="33" t="s">
        <v>47</v>
      </c>
      <c r="J115" s="33" t="s">
        <v>13</v>
      </c>
      <c r="K115" s="33" t="s">
        <v>14</v>
      </c>
      <c r="L115" s="33" t="s">
        <v>26</v>
      </c>
      <c r="M115" s="33" t="s">
        <v>28</v>
      </c>
      <c r="N115" s="33" t="s">
        <v>182</v>
      </c>
      <c r="O115" s="33" t="s">
        <v>8</v>
      </c>
      <c r="P115" s="33" t="s">
        <v>23</v>
      </c>
      <c r="Q115" s="33"/>
      <c r="R115" s="33" t="s">
        <v>30</v>
      </c>
    </row>
    <row r="116" spans="2:18" x14ac:dyDescent="0.15">
      <c r="B116" s="92" t="s">
        <v>160</v>
      </c>
      <c r="C116" s="92" t="s">
        <v>299</v>
      </c>
      <c r="D116" s="93">
        <v>43283</v>
      </c>
      <c r="E116" s="93">
        <v>43314</v>
      </c>
      <c r="F116" s="92">
        <v>450</v>
      </c>
      <c r="G116" s="92">
        <v>31</v>
      </c>
      <c r="H116" s="92">
        <v>8.4931506849315067E-2</v>
      </c>
      <c r="I116" s="92">
        <v>0</v>
      </c>
      <c r="J116" s="92">
        <v>0.26</v>
      </c>
      <c r="K116" s="92">
        <v>6.2545243907727865</v>
      </c>
      <c r="L116" s="92"/>
      <c r="M116" s="92">
        <v>0</v>
      </c>
      <c r="N116" s="99">
        <v>6.2545243907727865</v>
      </c>
      <c r="O116" s="92">
        <v>469.5</v>
      </c>
      <c r="P116" s="92" t="s">
        <v>85</v>
      </c>
      <c r="Q116" s="92">
        <v>1</v>
      </c>
      <c r="R116" s="92" t="s">
        <v>151</v>
      </c>
    </row>
    <row r="117" spans="2:18" x14ac:dyDescent="0.15">
      <c r="B117" s="92" t="s">
        <v>160</v>
      </c>
      <c r="C117" s="92" t="s">
        <v>299</v>
      </c>
      <c r="D117" s="93">
        <v>43283</v>
      </c>
      <c r="E117" s="93">
        <v>43314</v>
      </c>
      <c r="F117" s="92">
        <v>430</v>
      </c>
      <c r="G117" s="92">
        <v>31</v>
      </c>
      <c r="H117" s="92">
        <v>8.4931506849315067E-2</v>
      </c>
      <c r="I117" s="92">
        <v>0</v>
      </c>
      <c r="J117" s="92">
        <v>0.26</v>
      </c>
      <c r="K117" s="92">
        <v>2.0682832665475672</v>
      </c>
      <c r="L117" s="92"/>
      <c r="M117" s="92">
        <v>0</v>
      </c>
      <c r="N117" s="99">
        <v>2.0682832665475672</v>
      </c>
      <c r="O117" s="92">
        <v>469.5</v>
      </c>
      <c r="P117" s="92" t="s">
        <v>85</v>
      </c>
      <c r="Q117" s="92">
        <v>1</v>
      </c>
      <c r="R117" s="92" t="s">
        <v>151</v>
      </c>
    </row>
    <row r="118" spans="2:18" x14ac:dyDescent="0.15">
      <c r="B118" s="92" t="s">
        <v>160</v>
      </c>
      <c r="C118" s="92" t="s">
        <v>299</v>
      </c>
      <c r="D118" s="93">
        <v>43283</v>
      </c>
      <c r="E118" s="93">
        <v>43314</v>
      </c>
      <c r="F118" s="92">
        <v>410</v>
      </c>
      <c r="G118" s="92">
        <v>31</v>
      </c>
      <c r="H118" s="92">
        <v>8.4931506849315067E-2</v>
      </c>
      <c r="I118" s="92">
        <v>0</v>
      </c>
      <c r="J118" s="92">
        <v>0.26</v>
      </c>
      <c r="K118" s="92">
        <v>0.48750697703461654</v>
      </c>
      <c r="L118" s="92"/>
      <c r="M118" s="92">
        <v>0</v>
      </c>
      <c r="N118" s="99">
        <v>0.48750697703461654</v>
      </c>
      <c r="O118" s="92">
        <v>469.5</v>
      </c>
      <c r="P118" s="92" t="s">
        <v>85</v>
      </c>
      <c r="Q118" s="92">
        <v>1</v>
      </c>
      <c r="R118" s="92" t="s">
        <v>151</v>
      </c>
    </row>
    <row r="119" spans="2:18" x14ac:dyDescent="0.15">
      <c r="B119" s="92" t="s">
        <v>160</v>
      </c>
      <c r="C119" s="92" t="s">
        <v>299</v>
      </c>
      <c r="D119" s="93">
        <v>43283</v>
      </c>
      <c r="E119" s="93">
        <v>43375</v>
      </c>
      <c r="F119" s="92">
        <v>450</v>
      </c>
      <c r="G119" s="92">
        <v>92</v>
      </c>
      <c r="H119" s="92">
        <v>0.25205479452054796</v>
      </c>
      <c r="I119" s="92">
        <v>0</v>
      </c>
      <c r="J119" s="92">
        <v>0.26</v>
      </c>
      <c r="K119" s="92">
        <v>15.3473716213378</v>
      </c>
      <c r="L119" s="92"/>
      <c r="M119" s="92">
        <v>0</v>
      </c>
      <c r="N119" s="99">
        <v>15.3473716213378</v>
      </c>
      <c r="O119" s="92">
        <v>469.5</v>
      </c>
      <c r="P119" s="92" t="s">
        <v>85</v>
      </c>
      <c r="Q119" s="92">
        <v>1</v>
      </c>
      <c r="R119" s="92" t="s">
        <v>151</v>
      </c>
    </row>
    <row r="120" spans="2:18" x14ac:dyDescent="0.15">
      <c r="B120" s="92" t="s">
        <v>160</v>
      </c>
      <c r="C120" s="92" t="s">
        <v>299</v>
      </c>
      <c r="D120" s="93">
        <v>43283</v>
      </c>
      <c r="E120" s="93">
        <v>43375</v>
      </c>
      <c r="F120" s="92">
        <v>430</v>
      </c>
      <c r="G120" s="92">
        <v>92</v>
      </c>
      <c r="H120" s="92">
        <v>0.25205479452054796</v>
      </c>
      <c r="I120" s="92">
        <v>0</v>
      </c>
      <c r="J120" s="92">
        <v>0.26</v>
      </c>
      <c r="K120" s="92">
        <v>8.7115536932733733</v>
      </c>
      <c r="L120" s="92"/>
      <c r="M120" s="92">
        <v>0</v>
      </c>
      <c r="N120" s="99">
        <v>8.7115536932733733</v>
      </c>
      <c r="O120" s="92">
        <v>469.5</v>
      </c>
      <c r="P120" s="92" t="s">
        <v>85</v>
      </c>
      <c r="Q120" s="92">
        <v>1</v>
      </c>
      <c r="R120" s="92" t="s">
        <v>151</v>
      </c>
    </row>
    <row r="121" spans="2:18" x14ac:dyDescent="0.15">
      <c r="B121" s="92" t="s">
        <v>160</v>
      </c>
      <c r="C121" s="92" t="s">
        <v>299</v>
      </c>
      <c r="D121" s="93">
        <v>43283</v>
      </c>
      <c r="E121" s="93">
        <v>43375</v>
      </c>
      <c r="F121" s="92">
        <v>410</v>
      </c>
      <c r="G121" s="92">
        <v>92</v>
      </c>
      <c r="H121" s="92">
        <v>0.25205479452054796</v>
      </c>
      <c r="I121" s="92">
        <v>0</v>
      </c>
      <c r="J121" s="92">
        <v>0.26</v>
      </c>
      <c r="K121" s="92">
        <v>4.4066156534176955</v>
      </c>
      <c r="L121" s="92"/>
      <c r="M121" s="92">
        <v>0</v>
      </c>
      <c r="N121" s="99">
        <v>4.4066156534176955</v>
      </c>
      <c r="O121" s="92">
        <v>469.5</v>
      </c>
      <c r="P121" s="92" t="s">
        <v>85</v>
      </c>
      <c r="Q121" s="92">
        <v>1</v>
      </c>
      <c r="R121" s="92" t="s">
        <v>151</v>
      </c>
    </row>
    <row r="122" spans="2:18" x14ac:dyDescent="0.15">
      <c r="B122" s="91" t="s">
        <v>2</v>
      </c>
      <c r="C122" s="33" t="s">
        <v>181</v>
      </c>
      <c r="D122" s="33" t="s">
        <v>180</v>
      </c>
      <c r="E122" s="33" t="s">
        <v>10</v>
      </c>
      <c r="F122" s="33" t="s">
        <v>184</v>
      </c>
      <c r="G122" s="33" t="s">
        <v>11</v>
      </c>
      <c r="H122" s="33" t="s">
        <v>12</v>
      </c>
      <c r="I122" s="33" t="s">
        <v>47</v>
      </c>
      <c r="J122" s="33" t="s">
        <v>13</v>
      </c>
      <c r="K122" s="33" t="s">
        <v>14</v>
      </c>
      <c r="L122" s="33" t="s">
        <v>26</v>
      </c>
      <c r="M122" s="33" t="s">
        <v>28</v>
      </c>
      <c r="N122" s="133" t="s">
        <v>182</v>
      </c>
      <c r="O122" s="33" t="s">
        <v>8</v>
      </c>
      <c r="P122" s="33" t="s">
        <v>23</v>
      </c>
      <c r="Q122" s="33"/>
      <c r="R122" s="33" t="s">
        <v>30</v>
      </c>
    </row>
    <row r="123" spans="2:18" x14ac:dyDescent="0.15">
      <c r="B123" s="92" t="s">
        <v>160</v>
      </c>
      <c r="C123" s="92" t="s">
        <v>299</v>
      </c>
      <c r="D123" s="93">
        <v>43283</v>
      </c>
      <c r="E123" s="93">
        <v>43314</v>
      </c>
      <c r="F123" s="92">
        <v>500</v>
      </c>
      <c r="G123" s="92">
        <v>31</v>
      </c>
      <c r="H123" s="92">
        <v>8.4931506849315067E-2</v>
      </c>
      <c r="I123" s="92">
        <v>0</v>
      </c>
      <c r="J123" s="92">
        <v>0.26</v>
      </c>
      <c r="K123" s="92">
        <v>4.1707672603012327</v>
      </c>
      <c r="L123" s="92"/>
      <c r="M123" s="92">
        <v>0</v>
      </c>
      <c r="N123" s="99">
        <v>4.1707672603012327</v>
      </c>
      <c r="O123" s="92">
        <v>469.5</v>
      </c>
      <c r="P123" s="92" t="s">
        <v>39</v>
      </c>
      <c r="Q123" s="92">
        <v>1</v>
      </c>
      <c r="R123" s="92" t="s">
        <v>151</v>
      </c>
    </row>
    <row r="124" spans="2:18" x14ac:dyDescent="0.15">
      <c r="B124" s="92" t="s">
        <v>160</v>
      </c>
      <c r="C124" s="92" t="s">
        <v>299</v>
      </c>
      <c r="D124" s="93">
        <v>43283</v>
      </c>
      <c r="E124" s="93">
        <v>43314</v>
      </c>
      <c r="F124" s="92">
        <v>480</v>
      </c>
      <c r="G124" s="92">
        <v>31</v>
      </c>
      <c r="H124" s="92">
        <v>8.4931506849315067E-2</v>
      </c>
      <c r="I124" s="92">
        <v>0</v>
      </c>
      <c r="J124" s="92">
        <v>0.26</v>
      </c>
      <c r="K124" s="92">
        <v>9.6877421607037775</v>
      </c>
      <c r="L124" s="92"/>
      <c r="M124" s="92">
        <v>0</v>
      </c>
      <c r="N124" s="99">
        <v>9.6877421607037775</v>
      </c>
      <c r="O124" s="92">
        <v>469.5</v>
      </c>
      <c r="P124" s="92" t="s">
        <v>39</v>
      </c>
      <c r="Q124" s="92">
        <v>1</v>
      </c>
      <c r="R124" s="92" t="s">
        <v>151</v>
      </c>
    </row>
    <row r="125" spans="2:18" x14ac:dyDescent="0.15">
      <c r="B125" s="92" t="s">
        <v>160</v>
      </c>
      <c r="C125" s="92" t="s">
        <v>299</v>
      </c>
      <c r="D125" s="93">
        <v>43283</v>
      </c>
      <c r="E125" s="93">
        <v>43314</v>
      </c>
      <c r="F125" s="92">
        <v>470</v>
      </c>
      <c r="G125" s="92">
        <v>31</v>
      </c>
      <c r="H125" s="92">
        <v>8.4931506849315067E-2</v>
      </c>
      <c r="I125" s="92">
        <v>0</v>
      </c>
      <c r="J125" s="92">
        <v>0.26</v>
      </c>
      <c r="K125" s="92">
        <v>13.924209732947872</v>
      </c>
      <c r="L125" s="92"/>
      <c r="M125" s="92">
        <v>0</v>
      </c>
      <c r="N125" s="99">
        <v>13.924209732947872</v>
      </c>
      <c r="O125" s="92">
        <v>469.5</v>
      </c>
      <c r="P125" s="92" t="s">
        <v>39</v>
      </c>
      <c r="Q125" s="92">
        <v>1</v>
      </c>
      <c r="R125" s="92" t="s">
        <v>151</v>
      </c>
    </row>
    <row r="126" spans="2:18" x14ac:dyDescent="0.15">
      <c r="B126" s="92" t="s">
        <v>160</v>
      </c>
      <c r="C126" s="92" t="s">
        <v>299</v>
      </c>
      <c r="D126" s="93">
        <v>43283</v>
      </c>
      <c r="E126" s="93">
        <v>43375</v>
      </c>
      <c r="F126" s="92">
        <v>500</v>
      </c>
      <c r="G126" s="92">
        <v>92</v>
      </c>
      <c r="H126" s="92">
        <v>0.25205479452054796</v>
      </c>
      <c r="I126" s="92">
        <v>0</v>
      </c>
      <c r="J126" s="92">
        <v>0.26</v>
      </c>
      <c r="K126" s="92">
        <v>12.782530644296543</v>
      </c>
      <c r="L126" s="92"/>
      <c r="M126" s="92">
        <v>0</v>
      </c>
      <c r="N126" s="99">
        <v>12.782530644296543</v>
      </c>
      <c r="O126" s="92">
        <v>469.5</v>
      </c>
      <c r="P126" s="92" t="s">
        <v>39</v>
      </c>
      <c r="Q126" s="92">
        <v>1</v>
      </c>
      <c r="R126" s="92" t="s">
        <v>151</v>
      </c>
    </row>
    <row r="127" spans="2:18" x14ac:dyDescent="0.15">
      <c r="B127" s="92" t="s">
        <v>160</v>
      </c>
      <c r="C127" s="92" t="s">
        <v>299</v>
      </c>
      <c r="D127" s="93">
        <v>43283</v>
      </c>
      <c r="E127" s="93">
        <v>43375</v>
      </c>
      <c r="F127" s="92">
        <v>510</v>
      </c>
      <c r="G127" s="92">
        <v>92</v>
      </c>
      <c r="H127" s="92">
        <v>0.25205479452054796</v>
      </c>
      <c r="I127" s="92">
        <v>0</v>
      </c>
      <c r="J127" s="92">
        <v>0.26</v>
      </c>
      <c r="K127" s="92">
        <v>10.129343598602915</v>
      </c>
      <c r="L127" s="92"/>
      <c r="M127" s="92">
        <v>0</v>
      </c>
      <c r="N127" s="99">
        <v>10.129343598602915</v>
      </c>
      <c r="O127" s="92">
        <v>469.5</v>
      </c>
      <c r="P127" s="92" t="s">
        <v>39</v>
      </c>
      <c r="Q127" s="92">
        <v>1</v>
      </c>
      <c r="R127" s="92" t="s">
        <v>151</v>
      </c>
    </row>
    <row r="128" spans="2:18" x14ac:dyDescent="0.15">
      <c r="B128" s="92" t="s">
        <v>160</v>
      </c>
      <c r="C128" s="92" t="s">
        <v>299</v>
      </c>
      <c r="D128" s="93">
        <v>43283</v>
      </c>
      <c r="E128" s="93">
        <v>43375</v>
      </c>
      <c r="F128" s="92">
        <v>520</v>
      </c>
      <c r="G128" s="92">
        <v>92</v>
      </c>
      <c r="H128" s="92">
        <v>0.25205479452054796</v>
      </c>
      <c r="I128" s="92">
        <v>0</v>
      </c>
      <c r="J128" s="92">
        <v>0.26</v>
      </c>
      <c r="K128" s="92">
        <v>7.9429441277310673</v>
      </c>
      <c r="L128" s="92"/>
      <c r="M128" s="92">
        <v>0</v>
      </c>
      <c r="N128" s="99">
        <v>7.9429441277310673</v>
      </c>
      <c r="O128" s="92">
        <v>469.5</v>
      </c>
      <c r="P128" s="92" t="s">
        <v>39</v>
      </c>
      <c r="Q128" s="92">
        <v>1</v>
      </c>
      <c r="R128" s="92" t="s">
        <v>151</v>
      </c>
    </row>
    <row r="130" spans="2:18" x14ac:dyDescent="0.15">
      <c r="B130" s="91" t="s">
        <v>2</v>
      </c>
      <c r="C130" s="33" t="s">
        <v>181</v>
      </c>
      <c r="D130" s="33" t="s">
        <v>180</v>
      </c>
      <c r="E130" s="33" t="s">
        <v>10</v>
      </c>
      <c r="F130" s="33" t="s">
        <v>184</v>
      </c>
      <c r="G130" s="33" t="s">
        <v>11</v>
      </c>
      <c r="H130" s="33" t="s">
        <v>12</v>
      </c>
      <c r="I130" s="33" t="s">
        <v>47</v>
      </c>
      <c r="J130" s="33" t="s">
        <v>13</v>
      </c>
      <c r="K130" s="33" t="s">
        <v>14</v>
      </c>
      <c r="L130" s="33" t="s">
        <v>26</v>
      </c>
      <c r="M130" s="33" t="s">
        <v>28</v>
      </c>
      <c r="N130" s="133" t="s">
        <v>182</v>
      </c>
      <c r="O130" s="33" t="s">
        <v>8</v>
      </c>
      <c r="P130" s="33" t="s">
        <v>23</v>
      </c>
      <c r="Q130" s="33"/>
      <c r="R130" s="33" t="s">
        <v>30</v>
      </c>
    </row>
    <row r="131" spans="2:18" x14ac:dyDescent="0.15">
      <c r="B131" s="121" t="s">
        <v>160</v>
      </c>
      <c r="C131" s="121" t="s">
        <v>299</v>
      </c>
      <c r="D131" s="122">
        <v>43283</v>
      </c>
      <c r="E131" s="122">
        <v>43314</v>
      </c>
      <c r="F131" s="121">
        <v>430</v>
      </c>
      <c r="G131" s="121">
        <v>31</v>
      </c>
      <c r="H131" s="121">
        <v>8.4931506849315067E-2</v>
      </c>
      <c r="I131" s="121">
        <v>0</v>
      </c>
      <c r="J131" s="121">
        <v>0.29000000000000004</v>
      </c>
      <c r="K131" s="121">
        <v>2.9242371163718985</v>
      </c>
      <c r="L131" s="121"/>
      <c r="M131" s="121"/>
      <c r="N131" s="123">
        <v>2.9242371163718985</v>
      </c>
      <c r="O131" s="121">
        <v>469.5</v>
      </c>
      <c r="P131" s="121" t="s">
        <v>85</v>
      </c>
      <c r="Q131" s="121">
        <v>1</v>
      </c>
      <c r="R131" s="121" t="s">
        <v>151</v>
      </c>
    </row>
    <row r="132" spans="2:18" x14ac:dyDescent="0.15">
      <c r="B132" s="124" t="s">
        <v>160</v>
      </c>
      <c r="C132" s="124" t="s">
        <v>299</v>
      </c>
      <c r="D132" s="125">
        <v>43283</v>
      </c>
      <c r="E132" s="125">
        <v>43314</v>
      </c>
      <c r="F132" s="124">
        <v>500</v>
      </c>
      <c r="G132" s="124">
        <v>31</v>
      </c>
      <c r="H132" s="124">
        <v>8.4931506849315067E-2</v>
      </c>
      <c r="I132" s="124">
        <v>0</v>
      </c>
      <c r="J132" s="124">
        <v>0.32250000000000001</v>
      </c>
      <c r="K132" s="124">
        <v>-6.8312770804356688</v>
      </c>
      <c r="L132" s="124"/>
      <c r="M132" s="124"/>
      <c r="N132" s="126">
        <v>6.8312770804356688</v>
      </c>
      <c r="O132" s="124">
        <v>469.5</v>
      </c>
      <c r="P132" s="124" t="s">
        <v>39</v>
      </c>
      <c r="Q132" s="124">
        <v>-1</v>
      </c>
      <c r="R132" s="124" t="s">
        <v>20</v>
      </c>
    </row>
    <row r="133" spans="2:18" x14ac:dyDescent="0.15">
      <c r="B133" s="127" t="s">
        <v>160</v>
      </c>
      <c r="C133" s="127" t="s">
        <v>299</v>
      </c>
      <c r="D133" s="128">
        <v>43283</v>
      </c>
      <c r="E133" s="128">
        <v>43314</v>
      </c>
      <c r="F133" s="127" t="s">
        <v>301</v>
      </c>
      <c r="G133" s="127">
        <v>31</v>
      </c>
      <c r="H133" s="127">
        <v>8.4931506849315067E-2</v>
      </c>
      <c r="I133" s="127"/>
      <c r="J133" s="127"/>
      <c r="K133" s="127">
        <v>-3.9070399640637703</v>
      </c>
      <c r="L133" s="127">
        <v>0</v>
      </c>
      <c r="M133" s="127">
        <v>0</v>
      </c>
      <c r="N133" s="129">
        <v>3.9070399640637703</v>
      </c>
      <c r="O133" s="127">
        <v>469.5</v>
      </c>
      <c r="P133" s="127"/>
      <c r="Q133" s="127"/>
      <c r="R133" s="127"/>
    </row>
    <row r="134" spans="2:18" x14ac:dyDescent="0.15">
      <c r="B134" s="121" t="s">
        <v>160</v>
      </c>
      <c r="C134" s="121" t="s">
        <v>299</v>
      </c>
      <c r="D134" s="122">
        <v>43283</v>
      </c>
      <c r="E134" s="122">
        <v>43314</v>
      </c>
      <c r="F134" s="121">
        <v>440</v>
      </c>
      <c r="G134" s="121">
        <v>31</v>
      </c>
      <c r="H134" s="121">
        <v>8.4931506849315067E-2</v>
      </c>
      <c r="I134" s="121">
        <v>0</v>
      </c>
      <c r="J134" s="121">
        <v>0.29000000000000004</v>
      </c>
      <c r="K134" s="121">
        <v>4.8742205855309351</v>
      </c>
      <c r="L134" s="121"/>
      <c r="M134" s="121"/>
      <c r="N134" s="123">
        <v>4.8742205855309351</v>
      </c>
      <c r="O134" s="121">
        <v>469.5</v>
      </c>
      <c r="P134" s="121" t="s">
        <v>85</v>
      </c>
      <c r="Q134" s="121">
        <v>1</v>
      </c>
      <c r="R134" s="121" t="s">
        <v>151</v>
      </c>
    </row>
    <row r="135" spans="2:18" x14ac:dyDescent="0.15">
      <c r="B135" s="124" t="s">
        <v>160</v>
      </c>
      <c r="C135" s="124" t="s">
        <v>299</v>
      </c>
      <c r="D135" s="125">
        <v>43283</v>
      </c>
      <c r="E135" s="125">
        <v>43314</v>
      </c>
      <c r="F135" s="124">
        <v>470</v>
      </c>
      <c r="G135" s="124">
        <v>31</v>
      </c>
      <c r="H135" s="124">
        <v>8.4931506849315067E-2</v>
      </c>
      <c r="I135" s="124">
        <v>0</v>
      </c>
      <c r="J135" s="124">
        <v>0.32250000000000001</v>
      </c>
      <c r="K135" s="124">
        <v>-17.328498321608265</v>
      </c>
      <c r="L135" s="124"/>
      <c r="M135" s="124"/>
      <c r="N135" s="126">
        <v>17.328498321608265</v>
      </c>
      <c r="O135" s="124">
        <v>469.5</v>
      </c>
      <c r="P135" s="124" t="s">
        <v>39</v>
      </c>
      <c r="Q135" s="124">
        <v>-1</v>
      </c>
      <c r="R135" s="124" t="s">
        <v>20</v>
      </c>
    </row>
    <row r="136" spans="2:18" x14ac:dyDescent="0.15">
      <c r="B136" s="127" t="s">
        <v>160</v>
      </c>
      <c r="C136" s="127" t="s">
        <v>299</v>
      </c>
      <c r="D136" s="128">
        <v>43283</v>
      </c>
      <c r="E136" s="128">
        <v>43314</v>
      </c>
      <c r="F136" s="127" t="s">
        <v>302</v>
      </c>
      <c r="G136" s="127">
        <v>31</v>
      </c>
      <c r="H136" s="127">
        <v>8.4931506849315067E-2</v>
      </c>
      <c r="I136" s="127"/>
      <c r="J136" s="127"/>
      <c r="K136" s="127">
        <v>-12.45427773607733</v>
      </c>
      <c r="L136" s="127">
        <v>0</v>
      </c>
      <c r="M136" s="127">
        <v>0</v>
      </c>
      <c r="N136" s="129">
        <v>12.45427773607733</v>
      </c>
      <c r="O136" s="127">
        <v>469.5</v>
      </c>
      <c r="P136" s="127"/>
      <c r="Q136" s="127"/>
      <c r="R136" s="127"/>
    </row>
    <row r="137" spans="2:18" x14ac:dyDescent="0.15">
      <c r="B137" s="121" t="s">
        <v>160</v>
      </c>
      <c r="C137" s="121" t="s">
        <v>299</v>
      </c>
      <c r="D137" s="122">
        <v>43283</v>
      </c>
      <c r="E137" s="122">
        <v>43373</v>
      </c>
      <c r="F137" s="121">
        <v>420</v>
      </c>
      <c r="G137" s="121">
        <v>90</v>
      </c>
      <c r="H137" s="121">
        <v>0.24657534246575341</v>
      </c>
      <c r="I137" s="121">
        <v>0</v>
      </c>
      <c r="J137" s="121">
        <v>0.29000000000000004</v>
      </c>
      <c r="K137" s="121">
        <v>7.9980272765117348</v>
      </c>
      <c r="L137" s="121"/>
      <c r="M137" s="121"/>
      <c r="N137" s="123">
        <v>7.9980272765117348</v>
      </c>
      <c r="O137" s="121">
        <v>469.5</v>
      </c>
      <c r="P137" s="121" t="s">
        <v>85</v>
      </c>
      <c r="Q137" s="121">
        <v>1</v>
      </c>
      <c r="R137" s="121" t="s">
        <v>151</v>
      </c>
    </row>
    <row r="138" spans="2:18" x14ac:dyDescent="0.15">
      <c r="B138" s="124" t="s">
        <v>160</v>
      </c>
      <c r="C138" s="124" t="s">
        <v>299</v>
      </c>
      <c r="D138" s="125">
        <v>43283</v>
      </c>
      <c r="E138" s="125">
        <v>43373</v>
      </c>
      <c r="F138" s="124">
        <v>490</v>
      </c>
      <c r="G138" s="124">
        <v>90</v>
      </c>
      <c r="H138" s="124">
        <v>0.24657534246575341</v>
      </c>
      <c r="I138" s="124">
        <v>0</v>
      </c>
      <c r="J138" s="124">
        <v>0.32250000000000001</v>
      </c>
      <c r="K138" s="124">
        <v>-21.343035729627672</v>
      </c>
      <c r="L138" s="124"/>
      <c r="M138" s="124"/>
      <c r="N138" s="126">
        <v>21.343035729627672</v>
      </c>
      <c r="O138" s="124">
        <v>469.5</v>
      </c>
      <c r="P138" s="124" t="s">
        <v>39</v>
      </c>
      <c r="Q138" s="124">
        <v>-1</v>
      </c>
      <c r="R138" s="124" t="s">
        <v>20</v>
      </c>
    </row>
    <row r="139" spans="2:18" x14ac:dyDescent="0.15">
      <c r="B139" s="127" t="s">
        <v>160</v>
      </c>
      <c r="C139" s="127" t="s">
        <v>299</v>
      </c>
      <c r="D139" s="128">
        <v>43283</v>
      </c>
      <c r="E139" s="128">
        <v>43373</v>
      </c>
      <c r="F139" s="127" t="s">
        <v>303</v>
      </c>
      <c r="G139" s="127">
        <v>90</v>
      </c>
      <c r="H139" s="127">
        <v>0.24657534246575341</v>
      </c>
      <c r="I139" s="127"/>
      <c r="J139" s="127"/>
      <c r="K139" s="127">
        <v>-13.345008453115938</v>
      </c>
      <c r="L139" s="127">
        <v>0</v>
      </c>
      <c r="M139" s="127">
        <v>0</v>
      </c>
      <c r="N139" s="129">
        <v>13.345008453115938</v>
      </c>
      <c r="O139" s="127">
        <v>469.5</v>
      </c>
      <c r="P139" s="127"/>
      <c r="Q139" s="127"/>
      <c r="R139" s="127"/>
    </row>
    <row r="140" spans="2:18" x14ac:dyDescent="0.15">
      <c r="B140" s="92"/>
      <c r="C140" s="92"/>
      <c r="D140" s="93"/>
      <c r="E140" s="93"/>
      <c r="F140" s="92"/>
      <c r="G140" s="92"/>
      <c r="H140" s="92"/>
      <c r="I140" s="92"/>
      <c r="J140" s="92"/>
      <c r="K140" s="92"/>
      <c r="L140" s="92"/>
      <c r="M140" s="92"/>
      <c r="N140" s="99"/>
      <c r="O140" s="92"/>
      <c r="P140" s="92"/>
      <c r="Q140" s="92"/>
      <c r="R140" s="92"/>
    </row>
    <row r="141" spans="2:18" x14ac:dyDescent="0.15">
      <c r="B141" s="121" t="s">
        <v>160</v>
      </c>
      <c r="C141" s="121" t="s">
        <v>299</v>
      </c>
      <c r="D141" s="122">
        <v>43283</v>
      </c>
      <c r="E141" s="122">
        <v>43375</v>
      </c>
      <c r="F141" s="121">
        <v>430</v>
      </c>
      <c r="G141" s="121">
        <v>92</v>
      </c>
      <c r="H141" s="121">
        <v>0.25205479452054796</v>
      </c>
      <c r="I141" s="121">
        <v>0</v>
      </c>
      <c r="J141" s="121">
        <v>0.29000000000000004</v>
      </c>
      <c r="K141" s="121">
        <v>10.898780284091046</v>
      </c>
      <c r="L141" s="121"/>
      <c r="M141" s="121"/>
      <c r="N141" s="123">
        <v>10.898780284091046</v>
      </c>
      <c r="O141" s="121">
        <v>469.5</v>
      </c>
      <c r="P141" s="121" t="s">
        <v>85</v>
      </c>
      <c r="Q141" s="121">
        <v>1</v>
      </c>
      <c r="R141" s="121" t="s">
        <v>151</v>
      </c>
    </row>
    <row r="142" spans="2:18" x14ac:dyDescent="0.15">
      <c r="B142" s="124" t="s">
        <v>304</v>
      </c>
      <c r="C142" s="124" t="s">
        <v>299</v>
      </c>
      <c r="D142" s="125">
        <v>43283</v>
      </c>
      <c r="E142" s="125">
        <v>43375</v>
      </c>
      <c r="F142" s="124">
        <v>500</v>
      </c>
      <c r="G142" s="124">
        <v>92</v>
      </c>
      <c r="H142" s="124">
        <v>0.25205479452054796</v>
      </c>
      <c r="I142" s="124">
        <v>0</v>
      </c>
      <c r="J142" s="124">
        <v>0.32250000000000001</v>
      </c>
      <c r="K142" s="124">
        <v>-18.262935638180551</v>
      </c>
      <c r="L142" s="124"/>
      <c r="M142" s="124"/>
      <c r="N142" s="126">
        <v>18.262935638180551</v>
      </c>
      <c r="O142" s="124">
        <v>469.5</v>
      </c>
      <c r="P142" s="124" t="s">
        <v>39</v>
      </c>
      <c r="Q142" s="124">
        <v>-1</v>
      </c>
      <c r="R142" s="124" t="s">
        <v>20</v>
      </c>
    </row>
    <row r="143" spans="2:18" x14ac:dyDescent="0.15">
      <c r="B143" s="127" t="s">
        <v>160</v>
      </c>
      <c r="C143" s="127" t="s">
        <v>299</v>
      </c>
      <c r="D143" s="128">
        <v>43283</v>
      </c>
      <c r="E143" s="128">
        <v>43375</v>
      </c>
      <c r="F143" s="127" t="s">
        <v>301</v>
      </c>
      <c r="G143" s="127">
        <v>92</v>
      </c>
      <c r="H143" s="127">
        <v>0.25205479452054796</v>
      </c>
      <c r="I143" s="127"/>
      <c r="J143" s="127"/>
      <c r="K143" s="127">
        <v>-7.3641553540895046</v>
      </c>
      <c r="L143" s="127">
        <v>0</v>
      </c>
      <c r="M143" s="127">
        <v>0</v>
      </c>
      <c r="N143" s="129">
        <v>7.3641553540895046</v>
      </c>
      <c r="O143" s="127">
        <v>469.5</v>
      </c>
      <c r="P143" s="127"/>
      <c r="Q143" s="127"/>
      <c r="R143" s="127"/>
    </row>
    <row r="144" spans="2:18" x14ac:dyDescent="0.15">
      <c r="B144" s="121" t="s">
        <v>160</v>
      </c>
      <c r="C144" s="121" t="s">
        <v>299</v>
      </c>
      <c r="D144" s="122">
        <v>43283</v>
      </c>
      <c r="E144" s="122">
        <v>43375</v>
      </c>
      <c r="F144" s="121">
        <v>440</v>
      </c>
      <c r="G144" s="121">
        <v>92</v>
      </c>
      <c r="H144" s="121">
        <v>0.25205479452054796</v>
      </c>
      <c r="I144" s="121">
        <v>0</v>
      </c>
      <c r="J144" s="121">
        <v>0.29000000000000004</v>
      </c>
      <c r="K144" s="121">
        <v>14.141992358788684</v>
      </c>
      <c r="L144" s="121"/>
      <c r="M144" s="121"/>
      <c r="N144" s="123">
        <v>14.141992358788684</v>
      </c>
      <c r="O144" s="121">
        <v>469.5</v>
      </c>
      <c r="P144" s="121" t="s">
        <v>85</v>
      </c>
      <c r="Q144" s="121">
        <v>1</v>
      </c>
      <c r="R144" s="121" t="s">
        <v>151</v>
      </c>
    </row>
    <row r="145" spans="1:18" x14ac:dyDescent="0.15">
      <c r="B145" s="124" t="s">
        <v>160</v>
      </c>
      <c r="C145" s="124" t="s">
        <v>299</v>
      </c>
      <c r="D145" s="125">
        <v>43283</v>
      </c>
      <c r="E145" s="125">
        <v>43375</v>
      </c>
      <c r="F145" s="124">
        <v>470</v>
      </c>
      <c r="G145" s="124">
        <v>92</v>
      </c>
      <c r="H145" s="124">
        <v>0.25205479452054796</v>
      </c>
      <c r="I145" s="124">
        <v>0</v>
      </c>
      <c r="J145" s="124">
        <v>0.32250000000000001</v>
      </c>
      <c r="K145" s="124">
        <v>-29.909075709200607</v>
      </c>
      <c r="L145" s="124"/>
      <c r="M145" s="124"/>
      <c r="N145" s="126">
        <v>29.909075709200607</v>
      </c>
      <c r="O145" s="124">
        <v>469.5</v>
      </c>
      <c r="P145" s="124" t="s">
        <v>39</v>
      </c>
      <c r="Q145" s="124">
        <v>-1</v>
      </c>
      <c r="R145" s="124" t="s">
        <v>20</v>
      </c>
    </row>
    <row r="146" spans="1:18" x14ac:dyDescent="0.15">
      <c r="B146" s="127" t="s">
        <v>160</v>
      </c>
      <c r="C146" s="127" t="s">
        <v>299</v>
      </c>
      <c r="D146" s="128">
        <v>43283</v>
      </c>
      <c r="E146" s="128">
        <v>43375</v>
      </c>
      <c r="F146" s="127" t="s">
        <v>302</v>
      </c>
      <c r="G146" s="127">
        <v>92</v>
      </c>
      <c r="H146" s="127">
        <v>0.25205479452054796</v>
      </c>
      <c r="I146" s="127"/>
      <c r="J146" s="127"/>
      <c r="K146" s="127">
        <v>-15.767083350411923</v>
      </c>
      <c r="L146" s="127">
        <v>0</v>
      </c>
      <c r="M146" s="127">
        <v>0</v>
      </c>
      <c r="N146" s="129">
        <v>15.767083350411923</v>
      </c>
      <c r="O146" s="127">
        <v>469.5</v>
      </c>
      <c r="P146" s="127"/>
      <c r="Q146" s="127"/>
      <c r="R146" s="127"/>
    </row>
    <row r="147" spans="1:18" x14ac:dyDescent="0.15">
      <c r="B147" s="121" t="s">
        <v>160</v>
      </c>
      <c r="C147" s="121" t="s">
        <v>299</v>
      </c>
      <c r="D147" s="122">
        <v>43283</v>
      </c>
      <c r="E147" s="122">
        <v>43375</v>
      </c>
      <c r="F147" s="121">
        <v>420</v>
      </c>
      <c r="G147" s="121">
        <v>92</v>
      </c>
      <c r="H147" s="121">
        <v>0.25205479452054796</v>
      </c>
      <c r="I147" s="121">
        <v>0</v>
      </c>
      <c r="J147" s="121">
        <v>0.29000000000000004</v>
      </c>
      <c r="K147" s="121">
        <v>8.2052168782229273</v>
      </c>
      <c r="L147" s="121"/>
      <c r="M147" s="121"/>
      <c r="N147" s="123">
        <v>8.2052168782229273</v>
      </c>
      <c r="O147" s="121">
        <v>469.5</v>
      </c>
      <c r="P147" s="121" t="s">
        <v>85</v>
      </c>
      <c r="Q147" s="121">
        <v>1</v>
      </c>
      <c r="R147" s="121" t="s">
        <v>151</v>
      </c>
    </row>
    <row r="148" spans="1:18" x14ac:dyDescent="0.15">
      <c r="B148" s="124" t="s">
        <v>160</v>
      </c>
      <c r="C148" s="124" t="s">
        <v>299</v>
      </c>
      <c r="D148" s="125">
        <v>43283</v>
      </c>
      <c r="E148" s="125">
        <v>43375</v>
      </c>
      <c r="F148" s="124">
        <v>490</v>
      </c>
      <c r="G148" s="124">
        <v>92</v>
      </c>
      <c r="H148" s="124">
        <v>0.25205479452054796</v>
      </c>
      <c r="I148" s="124">
        <v>0</v>
      </c>
      <c r="J148" s="124">
        <v>0.32250000000000001</v>
      </c>
      <c r="K148" s="124">
        <v>-21.664888623151256</v>
      </c>
      <c r="L148" s="124"/>
      <c r="M148" s="124"/>
      <c r="N148" s="126">
        <v>21.664888623151256</v>
      </c>
      <c r="O148" s="124">
        <v>469.5</v>
      </c>
      <c r="P148" s="124" t="s">
        <v>39</v>
      </c>
      <c r="Q148" s="124">
        <v>-1</v>
      </c>
      <c r="R148" s="124" t="s">
        <v>20</v>
      </c>
    </row>
    <row r="149" spans="1:18" x14ac:dyDescent="0.15">
      <c r="B149" s="127" t="s">
        <v>160</v>
      </c>
      <c r="C149" s="127" t="s">
        <v>299</v>
      </c>
      <c r="D149" s="128">
        <v>43283</v>
      </c>
      <c r="E149" s="128">
        <v>43375</v>
      </c>
      <c r="F149" s="127" t="s">
        <v>303</v>
      </c>
      <c r="G149" s="127">
        <v>92</v>
      </c>
      <c r="H149" s="127">
        <v>0.25205479452054796</v>
      </c>
      <c r="I149" s="127"/>
      <c r="J149" s="127"/>
      <c r="K149" s="127">
        <v>-13.459671744928329</v>
      </c>
      <c r="L149" s="127">
        <v>1</v>
      </c>
      <c r="M149" s="127">
        <v>1.1833972602739726E-2</v>
      </c>
      <c r="N149" s="129">
        <v>13.471505717531068</v>
      </c>
      <c r="O149" s="127">
        <v>469.5</v>
      </c>
      <c r="P149" s="127"/>
      <c r="Q149" s="127"/>
      <c r="R149" s="127"/>
    </row>
    <row r="150" spans="1:18" x14ac:dyDescent="0.15">
      <c r="B150" s="91" t="s">
        <v>2</v>
      </c>
      <c r="C150" s="33" t="s">
        <v>181</v>
      </c>
      <c r="D150" s="33" t="s">
        <v>180</v>
      </c>
      <c r="E150" s="33" t="s">
        <v>10</v>
      </c>
      <c r="F150" s="33" t="s">
        <v>184</v>
      </c>
      <c r="G150" s="33" t="s">
        <v>11</v>
      </c>
      <c r="H150" s="33" t="s">
        <v>12</v>
      </c>
      <c r="I150" s="33" t="s">
        <v>47</v>
      </c>
      <c r="J150" s="33" t="s">
        <v>13</v>
      </c>
      <c r="K150" s="33" t="s">
        <v>14</v>
      </c>
      <c r="L150" s="33" t="s">
        <v>26</v>
      </c>
      <c r="M150" s="33" t="s">
        <v>28</v>
      </c>
      <c r="N150" s="133" t="s">
        <v>182</v>
      </c>
      <c r="O150" s="33" t="s">
        <v>8</v>
      </c>
      <c r="P150" s="33" t="s">
        <v>23</v>
      </c>
      <c r="Q150" s="33"/>
      <c r="R150" s="33" t="s">
        <v>30</v>
      </c>
    </row>
    <row r="151" spans="1:18" x14ac:dyDescent="0.15">
      <c r="B151" s="124" t="s">
        <v>160</v>
      </c>
      <c r="C151" s="124" t="s">
        <v>308</v>
      </c>
      <c r="D151" s="125">
        <v>43283</v>
      </c>
      <c r="E151" s="125">
        <v>43322</v>
      </c>
      <c r="F151" s="124" t="s">
        <v>306</v>
      </c>
      <c r="G151" s="124">
        <v>39</v>
      </c>
      <c r="H151" s="124">
        <v>0.10684931506849316</v>
      </c>
      <c r="I151" s="124"/>
      <c r="J151" s="124"/>
      <c r="K151" s="124">
        <v>-109.52931659658259</v>
      </c>
      <c r="L151" s="124">
        <v>1</v>
      </c>
      <c r="M151" s="124">
        <v>4.0602739726027404E-2</v>
      </c>
      <c r="N151" s="126">
        <v>109.56991933630862</v>
      </c>
      <c r="O151" s="124">
        <v>3800</v>
      </c>
      <c r="P151" s="124" t="s">
        <v>307</v>
      </c>
      <c r="Q151" s="124"/>
      <c r="R151" s="124" t="s">
        <v>20</v>
      </c>
    </row>
    <row r="152" spans="1:18" x14ac:dyDescent="0.15">
      <c r="B152" s="91" t="s">
        <v>2</v>
      </c>
      <c r="C152" s="33" t="s">
        <v>181</v>
      </c>
      <c r="D152" s="33" t="s">
        <v>180</v>
      </c>
      <c r="E152" s="33" t="s">
        <v>10</v>
      </c>
      <c r="F152" s="33" t="s">
        <v>184</v>
      </c>
      <c r="G152" s="33" t="s">
        <v>11</v>
      </c>
      <c r="H152" s="33" t="s">
        <v>12</v>
      </c>
      <c r="I152" s="33" t="s">
        <v>47</v>
      </c>
      <c r="J152" s="33" t="s">
        <v>13</v>
      </c>
      <c r="K152" s="33" t="s">
        <v>14</v>
      </c>
      <c r="L152" s="33" t="s">
        <v>26</v>
      </c>
      <c r="M152" s="33" t="s">
        <v>28</v>
      </c>
      <c r="N152" s="133" t="s">
        <v>182</v>
      </c>
      <c r="O152" s="33" t="s">
        <v>8</v>
      </c>
      <c r="P152" s="33" t="s">
        <v>23</v>
      </c>
      <c r="Q152" s="33"/>
      <c r="R152" s="33" t="s">
        <v>30</v>
      </c>
    </row>
    <row r="153" spans="1:18" x14ac:dyDescent="0.15">
      <c r="B153" s="124" t="s">
        <v>160</v>
      </c>
      <c r="C153" s="124" t="s">
        <v>269</v>
      </c>
      <c r="D153" s="125">
        <v>43284</v>
      </c>
      <c r="E153" s="125">
        <v>43314</v>
      </c>
      <c r="F153" s="124">
        <v>53200</v>
      </c>
      <c r="G153" s="124">
        <v>30</v>
      </c>
      <c r="H153" s="124">
        <v>8.2191780821917804E-2</v>
      </c>
      <c r="I153" s="124">
        <v>0</v>
      </c>
      <c r="J153" s="124">
        <v>0.13250000000000001</v>
      </c>
      <c r="K153" s="124">
        <v>212.34618127701287</v>
      </c>
      <c r="L153" s="124">
        <v>30</v>
      </c>
      <c r="M153" s="124">
        <v>12.693698630136986</v>
      </c>
      <c r="N153" s="126">
        <v>199.65248264687588</v>
      </c>
      <c r="O153" s="124">
        <v>51480</v>
      </c>
      <c r="P153" s="124" t="s">
        <v>24</v>
      </c>
      <c r="Q153" s="124">
        <v>1</v>
      </c>
      <c r="R153" s="124" t="s">
        <v>151</v>
      </c>
    </row>
    <row r="154" spans="1:18" x14ac:dyDescent="0.15">
      <c r="A154" s="130">
        <v>43285</v>
      </c>
      <c r="B154" s="91" t="s">
        <v>2</v>
      </c>
      <c r="C154" s="33" t="s">
        <v>181</v>
      </c>
      <c r="D154" s="33" t="s">
        <v>180</v>
      </c>
      <c r="E154" s="33" t="s">
        <v>10</v>
      </c>
      <c r="F154" s="33" t="s">
        <v>184</v>
      </c>
      <c r="G154" s="33" t="s">
        <v>11</v>
      </c>
      <c r="H154" s="33" t="s">
        <v>12</v>
      </c>
      <c r="I154" s="33" t="s">
        <v>47</v>
      </c>
      <c r="J154" s="33" t="s">
        <v>13</v>
      </c>
      <c r="K154" s="33" t="s">
        <v>14</v>
      </c>
      <c r="L154" s="33" t="s">
        <v>26</v>
      </c>
      <c r="M154" s="33" t="s">
        <v>28</v>
      </c>
      <c r="N154" s="133" t="s">
        <v>182</v>
      </c>
      <c r="O154" s="33" t="s">
        <v>8</v>
      </c>
      <c r="P154" s="33" t="s">
        <v>23</v>
      </c>
      <c r="Q154" s="33"/>
      <c r="R154" s="33" t="s">
        <v>30</v>
      </c>
    </row>
    <row r="155" spans="1:18" x14ac:dyDescent="0.15">
      <c r="B155" s="124" t="s">
        <v>160</v>
      </c>
      <c r="C155" s="124" t="s">
        <v>310</v>
      </c>
      <c r="D155" s="125">
        <v>43285</v>
      </c>
      <c r="E155" s="125">
        <v>43315</v>
      </c>
      <c r="F155" s="124">
        <v>100</v>
      </c>
      <c r="G155" s="124">
        <v>30</v>
      </c>
      <c r="H155" s="124">
        <v>8.2191780821917804E-2</v>
      </c>
      <c r="I155" s="124">
        <v>0</v>
      </c>
      <c r="J155" s="124">
        <v>0.1</v>
      </c>
      <c r="K155" s="124">
        <v>1.1418143040559272</v>
      </c>
      <c r="L155" s="124"/>
      <c r="M155" s="124">
        <v>0</v>
      </c>
      <c r="N155" s="126">
        <v>1.17</v>
      </c>
      <c r="O155" s="124">
        <v>100</v>
      </c>
      <c r="P155" s="124" t="s">
        <v>24</v>
      </c>
      <c r="Q155" s="124">
        <v>1</v>
      </c>
      <c r="R155" s="124" t="s">
        <v>151</v>
      </c>
    </row>
    <row r="156" spans="1:18" x14ac:dyDescent="0.15">
      <c r="B156" s="124" t="s">
        <v>160</v>
      </c>
      <c r="C156" s="124" t="s">
        <v>310</v>
      </c>
      <c r="D156" s="125">
        <v>43285</v>
      </c>
      <c r="E156" s="125">
        <v>43347</v>
      </c>
      <c r="F156" s="124">
        <v>100</v>
      </c>
      <c r="G156" s="124">
        <v>62</v>
      </c>
      <c r="H156" s="124">
        <v>0.16986301369863013</v>
      </c>
      <c r="I156" s="124">
        <v>0</v>
      </c>
      <c r="J156" s="124">
        <v>0.1</v>
      </c>
      <c r="K156" s="124">
        <v>1.6385259734423272</v>
      </c>
      <c r="L156" s="124"/>
      <c r="M156" s="124">
        <v>0</v>
      </c>
      <c r="N156" s="126">
        <v>1.7</v>
      </c>
      <c r="O156" s="124">
        <v>100</v>
      </c>
      <c r="P156" s="124" t="s">
        <v>24</v>
      </c>
      <c r="Q156" s="124">
        <v>1</v>
      </c>
      <c r="R156" s="124" t="s">
        <v>151</v>
      </c>
    </row>
    <row r="157" spans="1:18" x14ac:dyDescent="0.15">
      <c r="B157" s="91" t="s">
        <v>2</v>
      </c>
      <c r="C157" s="33" t="s">
        <v>181</v>
      </c>
      <c r="D157" s="33" t="s">
        <v>180</v>
      </c>
      <c r="E157" s="33" t="s">
        <v>10</v>
      </c>
      <c r="F157" s="33" t="s">
        <v>184</v>
      </c>
      <c r="G157" s="33" t="s">
        <v>11</v>
      </c>
      <c r="H157" s="33" t="s">
        <v>12</v>
      </c>
      <c r="I157" s="33" t="s">
        <v>47</v>
      </c>
      <c r="J157" s="33" t="s">
        <v>13</v>
      </c>
      <c r="K157" s="33" t="s">
        <v>14</v>
      </c>
      <c r="L157" s="33" t="s">
        <v>26</v>
      </c>
      <c r="M157" s="33" t="s">
        <v>28</v>
      </c>
      <c r="N157" s="133" t="s">
        <v>182</v>
      </c>
      <c r="O157" s="33" t="s">
        <v>8</v>
      </c>
      <c r="P157" s="33" t="s">
        <v>23</v>
      </c>
      <c r="Q157" s="33"/>
      <c r="R157" s="33" t="s">
        <v>30</v>
      </c>
    </row>
    <row r="158" spans="1:18" x14ac:dyDescent="0.15">
      <c r="B158" s="124" t="s">
        <v>160</v>
      </c>
      <c r="C158" s="124" t="s">
        <v>312</v>
      </c>
      <c r="D158" s="125">
        <v>43285</v>
      </c>
      <c r="E158" s="125">
        <v>43315</v>
      </c>
      <c r="F158" s="124">
        <v>2100</v>
      </c>
      <c r="G158" s="124">
        <v>30</v>
      </c>
      <c r="H158" s="124">
        <v>8.2191780821917804E-2</v>
      </c>
      <c r="I158" s="124">
        <v>0</v>
      </c>
      <c r="J158" s="124">
        <v>0.30499999999999999</v>
      </c>
      <c r="K158" s="124">
        <v>47.996038049101003</v>
      </c>
      <c r="L158" s="124"/>
      <c r="M158" s="124">
        <v>0</v>
      </c>
      <c r="N158" s="126">
        <v>47.996038049101003</v>
      </c>
      <c r="O158" s="124">
        <v>2045</v>
      </c>
      <c r="P158" s="124" t="s">
        <v>39</v>
      </c>
      <c r="Q158" s="124">
        <v>1</v>
      </c>
      <c r="R158" s="124" t="s">
        <v>151</v>
      </c>
    </row>
    <row r="159" spans="1:18" x14ac:dyDescent="0.15">
      <c r="B159" s="124" t="s">
        <v>160</v>
      </c>
      <c r="C159" s="124" t="s">
        <v>312</v>
      </c>
      <c r="D159" s="125">
        <v>43285</v>
      </c>
      <c r="E159" s="125">
        <v>43315</v>
      </c>
      <c r="F159" s="124">
        <v>2150</v>
      </c>
      <c r="G159" s="124">
        <v>30</v>
      </c>
      <c r="H159" s="124">
        <v>8.2191780821917804E-2</v>
      </c>
      <c r="I159" s="124">
        <v>0</v>
      </c>
      <c r="J159" s="124">
        <v>0.30499999999999999</v>
      </c>
      <c r="K159" s="124">
        <v>32.256587290221205</v>
      </c>
      <c r="L159" s="124"/>
      <c r="M159" s="124">
        <v>0</v>
      </c>
      <c r="N159" s="126">
        <v>32.256587290221205</v>
      </c>
      <c r="O159" s="124">
        <v>2045</v>
      </c>
      <c r="P159" s="124" t="s">
        <v>39</v>
      </c>
      <c r="Q159" s="124">
        <v>1</v>
      </c>
      <c r="R159" s="124" t="s">
        <v>151</v>
      </c>
    </row>
    <row r="160" spans="1:18" x14ac:dyDescent="0.15">
      <c r="B160" s="124" t="s">
        <v>160</v>
      </c>
      <c r="C160" s="124" t="s">
        <v>312</v>
      </c>
      <c r="D160" s="125">
        <v>43285</v>
      </c>
      <c r="E160" s="125">
        <v>43315</v>
      </c>
      <c r="F160" s="124">
        <v>2200</v>
      </c>
      <c r="G160" s="124">
        <v>30</v>
      </c>
      <c r="H160" s="124">
        <v>8.2191780821917804E-2</v>
      </c>
      <c r="I160" s="124">
        <v>0</v>
      </c>
      <c r="J160" s="124">
        <v>0.30499999999999999</v>
      </c>
      <c r="K160" s="124">
        <v>20.885870467227733</v>
      </c>
      <c r="L160" s="124"/>
      <c r="M160" s="124">
        <v>0</v>
      </c>
      <c r="N160" s="126">
        <v>20.885870467227733</v>
      </c>
      <c r="O160" s="124">
        <v>2045</v>
      </c>
      <c r="P160" s="124" t="s">
        <v>39</v>
      </c>
      <c r="Q160" s="124">
        <v>1</v>
      </c>
      <c r="R160" s="124" t="s">
        <v>151</v>
      </c>
    </row>
    <row r="162" spans="2:18" x14ac:dyDescent="0.15">
      <c r="B162" s="91" t="s">
        <v>2</v>
      </c>
      <c r="C162" s="33" t="s">
        <v>181</v>
      </c>
      <c r="D162" s="33" t="s">
        <v>180</v>
      </c>
      <c r="E162" s="33" t="s">
        <v>10</v>
      </c>
      <c r="F162" s="33" t="s">
        <v>184</v>
      </c>
      <c r="G162" s="33" t="s">
        <v>11</v>
      </c>
      <c r="H162" s="33" t="s">
        <v>12</v>
      </c>
      <c r="I162" s="33" t="s">
        <v>47</v>
      </c>
      <c r="J162" s="33" t="s">
        <v>13</v>
      </c>
      <c r="K162" s="33" t="s">
        <v>14</v>
      </c>
      <c r="L162" s="33" t="s">
        <v>26</v>
      </c>
      <c r="M162" s="33" t="s">
        <v>28</v>
      </c>
      <c r="N162" s="133" t="s">
        <v>182</v>
      </c>
      <c r="O162" s="33" t="s">
        <v>8</v>
      </c>
      <c r="P162" s="33" t="s">
        <v>23</v>
      </c>
      <c r="Q162" s="33"/>
      <c r="R162" s="33" t="s">
        <v>30</v>
      </c>
    </row>
    <row r="163" spans="2:18" x14ac:dyDescent="0.15">
      <c r="B163" s="124" t="s">
        <v>160</v>
      </c>
      <c r="C163" s="124" t="s">
        <v>271</v>
      </c>
      <c r="D163" s="125">
        <v>43286</v>
      </c>
      <c r="E163" s="125">
        <v>43329</v>
      </c>
      <c r="F163" s="124">
        <v>410</v>
      </c>
      <c r="G163" s="124">
        <v>43</v>
      </c>
      <c r="H163" s="124">
        <v>0.11780821917808219</v>
      </c>
      <c r="I163" s="124">
        <v>0</v>
      </c>
      <c r="J163" s="124">
        <v>0.24</v>
      </c>
      <c r="K163" s="124">
        <v>1.9425419792219643</v>
      </c>
      <c r="L163" s="124"/>
      <c r="M163" s="124">
        <v>0</v>
      </c>
      <c r="N163" s="126">
        <v>1.9425419792219643</v>
      </c>
      <c r="O163" s="124">
        <v>453</v>
      </c>
      <c r="P163" s="124" t="s">
        <v>85</v>
      </c>
      <c r="Q163" s="124">
        <v>1</v>
      </c>
      <c r="R163" s="124" t="s">
        <v>151</v>
      </c>
    </row>
    <row r="164" spans="2:18" x14ac:dyDescent="0.15">
      <c r="B164" s="124" t="s">
        <v>160</v>
      </c>
      <c r="C164" s="124" t="s">
        <v>271</v>
      </c>
      <c r="D164" s="125">
        <v>43286</v>
      </c>
      <c r="E164" s="125">
        <v>43329</v>
      </c>
      <c r="F164" s="124">
        <v>415</v>
      </c>
      <c r="G164" s="124">
        <v>43</v>
      </c>
      <c r="H164" s="124">
        <v>0.11780821917808219</v>
      </c>
      <c r="I164" s="124">
        <v>0</v>
      </c>
      <c r="J164" s="124">
        <v>0.24</v>
      </c>
      <c r="K164" s="124">
        <v>2.6249042749864415</v>
      </c>
      <c r="L164" s="124"/>
      <c r="M164" s="124">
        <v>0</v>
      </c>
      <c r="N164" s="126">
        <v>2.6249042749864415</v>
      </c>
      <c r="O164" s="124">
        <v>453</v>
      </c>
      <c r="P164" s="124" t="s">
        <v>85</v>
      </c>
      <c r="Q164" s="124">
        <v>1</v>
      </c>
      <c r="R164" s="124" t="s">
        <v>151</v>
      </c>
    </row>
    <row r="165" spans="2:18" x14ac:dyDescent="0.15">
      <c r="B165" s="91" t="s">
        <v>2</v>
      </c>
      <c r="C165" s="33" t="s">
        <v>317</v>
      </c>
      <c r="D165" s="33" t="s">
        <v>318</v>
      </c>
      <c r="E165" s="33" t="s">
        <v>10</v>
      </c>
      <c r="F165" s="33" t="s">
        <v>319</v>
      </c>
      <c r="G165" s="33" t="s">
        <v>11</v>
      </c>
      <c r="H165" s="33" t="s">
        <v>12</v>
      </c>
      <c r="I165" s="33" t="s">
        <v>47</v>
      </c>
      <c r="J165" s="33" t="s">
        <v>13</v>
      </c>
      <c r="K165" s="33" t="s">
        <v>320</v>
      </c>
      <c r="L165" s="33" t="s">
        <v>321</v>
      </c>
      <c r="M165" s="33" t="s">
        <v>322</v>
      </c>
      <c r="N165" s="133" t="s">
        <v>323</v>
      </c>
      <c r="O165" s="33" t="s">
        <v>8</v>
      </c>
      <c r="P165" s="33" t="s">
        <v>23</v>
      </c>
      <c r="Q165" s="33"/>
      <c r="R165" s="33" t="s">
        <v>30</v>
      </c>
    </row>
    <row r="166" spans="2:18" x14ac:dyDescent="0.15">
      <c r="B166" s="124" t="s">
        <v>160</v>
      </c>
      <c r="C166" s="124" t="s">
        <v>314</v>
      </c>
      <c r="D166" s="125">
        <v>43286</v>
      </c>
      <c r="E166" s="125">
        <v>43318</v>
      </c>
      <c r="F166" s="124" t="s">
        <v>316</v>
      </c>
      <c r="G166" s="124">
        <v>32</v>
      </c>
      <c r="H166" s="124">
        <v>8.7671232876712329E-2</v>
      </c>
      <c r="I166" s="124"/>
      <c r="J166" s="124"/>
      <c r="K166" s="124">
        <v>-67.386679826663794</v>
      </c>
      <c r="L166" s="124"/>
      <c r="M166" s="124">
        <v>0</v>
      </c>
      <c r="N166" s="126">
        <v>67.386679826663794</v>
      </c>
      <c r="O166" s="124">
        <v>5580</v>
      </c>
      <c r="P166" s="124" t="s">
        <v>324</v>
      </c>
      <c r="Q166" s="124">
        <v>-1</v>
      </c>
      <c r="R166" s="124" t="s">
        <v>20</v>
      </c>
    </row>
    <row r="167" spans="2:18" x14ac:dyDescent="0.15">
      <c r="B167" s="91" t="s">
        <v>2</v>
      </c>
      <c r="C167" s="33" t="s">
        <v>317</v>
      </c>
      <c r="D167" s="33" t="s">
        <v>318</v>
      </c>
      <c r="E167" s="33" t="s">
        <v>10</v>
      </c>
      <c r="F167" s="33" t="s">
        <v>319</v>
      </c>
      <c r="G167" s="33" t="s">
        <v>11</v>
      </c>
      <c r="H167" s="33" t="s">
        <v>12</v>
      </c>
      <c r="I167" s="33" t="s">
        <v>47</v>
      </c>
      <c r="J167" s="33" t="s">
        <v>13</v>
      </c>
      <c r="K167" s="33" t="s">
        <v>320</v>
      </c>
      <c r="L167" s="33" t="s">
        <v>321</v>
      </c>
      <c r="M167" s="33" t="s">
        <v>322</v>
      </c>
      <c r="N167" s="133" t="s">
        <v>323</v>
      </c>
      <c r="O167" s="33" t="s">
        <v>8</v>
      </c>
      <c r="P167" s="33" t="s">
        <v>23</v>
      </c>
      <c r="Q167" s="33"/>
      <c r="R167" s="33" t="s">
        <v>30</v>
      </c>
    </row>
    <row r="168" spans="2:18" x14ac:dyDescent="0.15">
      <c r="B168" s="124" t="s">
        <v>160</v>
      </c>
      <c r="C168" s="124" t="s">
        <v>233</v>
      </c>
      <c r="D168" s="125">
        <v>43286</v>
      </c>
      <c r="E168" s="125">
        <v>43321</v>
      </c>
      <c r="F168" s="124">
        <v>13800</v>
      </c>
      <c r="G168" s="124">
        <v>35</v>
      </c>
      <c r="H168" s="124">
        <v>9.5890410958904104E-2</v>
      </c>
      <c r="I168" s="124">
        <v>0</v>
      </c>
      <c r="J168" s="124">
        <v>0.1225</v>
      </c>
      <c r="K168" s="124">
        <v>115.02362432575137</v>
      </c>
      <c r="L168" s="124">
        <v>30</v>
      </c>
      <c r="M168" s="124">
        <v>4.0360273972602734</v>
      </c>
      <c r="N168" s="126">
        <v>110.9875969284911</v>
      </c>
      <c r="O168" s="124">
        <v>14030</v>
      </c>
      <c r="P168" s="124" t="s">
        <v>85</v>
      </c>
      <c r="Q168" s="124">
        <v>1</v>
      </c>
      <c r="R168" s="124" t="s">
        <v>151</v>
      </c>
    </row>
    <row r="169" spans="2:18" x14ac:dyDescent="0.15">
      <c r="B169" s="124" t="s">
        <v>160</v>
      </c>
      <c r="C169" s="124" t="s">
        <v>233</v>
      </c>
      <c r="D169" s="125">
        <v>43286</v>
      </c>
      <c r="E169" s="125">
        <v>43321</v>
      </c>
      <c r="F169" s="124">
        <v>13500</v>
      </c>
      <c r="G169" s="124">
        <v>35</v>
      </c>
      <c r="H169" s="124">
        <v>9.5890410958904104E-2</v>
      </c>
      <c r="I169" s="124">
        <v>0</v>
      </c>
      <c r="J169" s="124">
        <v>0.1225</v>
      </c>
      <c r="K169" s="124">
        <v>42.169472849687281</v>
      </c>
      <c r="L169" s="124">
        <v>30</v>
      </c>
      <c r="M169" s="124">
        <v>4.0360273972602734</v>
      </c>
      <c r="N169" s="126">
        <v>38.133445452427011</v>
      </c>
      <c r="O169" s="124">
        <v>14030</v>
      </c>
      <c r="P169" s="124" t="s">
        <v>85</v>
      </c>
      <c r="Q169" s="124">
        <v>1</v>
      </c>
      <c r="R169" s="124" t="s">
        <v>151</v>
      </c>
    </row>
    <row r="170" spans="2:18" x14ac:dyDescent="0.15">
      <c r="B170" s="124" t="s">
        <v>160</v>
      </c>
      <c r="C170" s="124" t="s">
        <v>238</v>
      </c>
      <c r="D170" s="125">
        <v>43286</v>
      </c>
      <c r="E170" s="125">
        <v>43357</v>
      </c>
      <c r="F170" s="124">
        <v>13800</v>
      </c>
      <c r="G170" s="124">
        <v>71</v>
      </c>
      <c r="H170" s="124">
        <v>0.19452054794520549</v>
      </c>
      <c r="I170" s="124">
        <v>0</v>
      </c>
      <c r="J170" s="124">
        <v>0.1225</v>
      </c>
      <c r="K170" s="124">
        <v>171.80359716760086</v>
      </c>
      <c r="L170" s="124">
        <v>30</v>
      </c>
      <c r="M170" s="124">
        <v>8.2311369863013706</v>
      </c>
      <c r="N170" s="126">
        <v>163.57246018129948</v>
      </c>
      <c r="O170" s="124">
        <v>14105</v>
      </c>
      <c r="P170" s="124" t="s">
        <v>85</v>
      </c>
      <c r="Q170" s="124">
        <v>1</v>
      </c>
      <c r="R170" s="124" t="s">
        <v>151</v>
      </c>
    </row>
    <row r="171" spans="2:18" x14ac:dyDescent="0.15">
      <c r="B171" s="124" t="s">
        <v>160</v>
      </c>
      <c r="C171" s="124" t="s">
        <v>238</v>
      </c>
      <c r="D171" s="125">
        <v>43286</v>
      </c>
      <c r="E171" s="125">
        <v>43357</v>
      </c>
      <c r="F171" s="124">
        <v>13500</v>
      </c>
      <c r="G171" s="124">
        <v>71</v>
      </c>
      <c r="H171" s="124">
        <v>0.19452054794520549</v>
      </c>
      <c r="I171" s="124">
        <v>0</v>
      </c>
      <c r="J171" s="124">
        <v>0.1225</v>
      </c>
      <c r="K171" s="124">
        <v>87.469146375059154</v>
      </c>
      <c r="L171" s="124">
        <v>30</v>
      </c>
      <c r="M171" s="124">
        <v>8.2311369863013706</v>
      </c>
      <c r="N171" s="126">
        <v>79.238009388757789</v>
      </c>
      <c r="O171" s="124">
        <v>14105</v>
      </c>
      <c r="P171" s="124" t="s">
        <v>85</v>
      </c>
      <c r="Q171" s="124">
        <v>1</v>
      </c>
      <c r="R171" s="124" t="s">
        <v>151</v>
      </c>
    </row>
    <row r="172" spans="2:18" x14ac:dyDescent="0.15">
      <c r="B172" s="124" t="s">
        <v>160</v>
      </c>
      <c r="C172" s="124" t="s">
        <v>259</v>
      </c>
      <c r="D172" s="125">
        <v>43286</v>
      </c>
      <c r="E172" s="125">
        <v>43385</v>
      </c>
      <c r="F172" s="124">
        <v>13800</v>
      </c>
      <c r="G172" s="124">
        <v>99</v>
      </c>
      <c r="H172" s="124">
        <v>0.25753424657534246</v>
      </c>
      <c r="I172" s="124">
        <v>0</v>
      </c>
      <c r="J172" s="124">
        <v>0.1225</v>
      </c>
      <c r="K172" s="124">
        <v>186.93366010093723</v>
      </c>
      <c r="L172" s="124">
        <v>30</v>
      </c>
      <c r="M172" s="124">
        <v>10.9593698630137</v>
      </c>
      <c r="N172" s="126">
        <v>175.97429023792353</v>
      </c>
      <c r="O172" s="124">
        <v>14185</v>
      </c>
      <c r="P172" s="124" t="s">
        <v>85</v>
      </c>
      <c r="Q172" s="124">
        <v>1</v>
      </c>
      <c r="R172" s="124" t="s">
        <v>151</v>
      </c>
    </row>
    <row r="173" spans="2:18" x14ac:dyDescent="0.15">
      <c r="B173" s="124" t="s">
        <v>160</v>
      </c>
      <c r="C173" s="124" t="s">
        <v>259</v>
      </c>
      <c r="D173" s="125">
        <v>43286</v>
      </c>
      <c r="E173" s="125">
        <v>43385</v>
      </c>
      <c r="F173" s="124">
        <v>13500</v>
      </c>
      <c r="G173" s="124">
        <v>99</v>
      </c>
      <c r="H173" s="124">
        <v>0.25753424657534246</v>
      </c>
      <c r="I173" s="124">
        <v>0</v>
      </c>
      <c r="J173" s="124">
        <v>0.1225</v>
      </c>
      <c r="K173" s="124">
        <v>103.54452131443895</v>
      </c>
      <c r="L173" s="124">
        <v>30</v>
      </c>
      <c r="M173" s="124">
        <v>10.9593698630137</v>
      </c>
      <c r="N173" s="126">
        <v>92.585151451425247</v>
      </c>
      <c r="O173" s="124">
        <v>14185</v>
      </c>
      <c r="P173" s="124" t="s">
        <v>85</v>
      </c>
      <c r="Q173" s="124">
        <v>1</v>
      </c>
      <c r="R173" s="124" t="s">
        <v>151</v>
      </c>
    </row>
    <row r="174" spans="2:18" x14ac:dyDescent="0.15">
      <c r="B174" s="91" t="s">
        <v>2</v>
      </c>
      <c r="C174" s="33" t="s">
        <v>317</v>
      </c>
      <c r="D174" s="33" t="s">
        <v>318</v>
      </c>
      <c r="E174" s="33" t="s">
        <v>10</v>
      </c>
      <c r="F174" s="33" t="s">
        <v>319</v>
      </c>
      <c r="G174" s="33" t="s">
        <v>11</v>
      </c>
      <c r="H174" s="33" t="s">
        <v>12</v>
      </c>
      <c r="I174" s="33" t="s">
        <v>47</v>
      </c>
      <c r="J174" s="33" t="s">
        <v>13</v>
      </c>
      <c r="K174" s="33" t="s">
        <v>320</v>
      </c>
      <c r="L174" s="33" t="s">
        <v>321</v>
      </c>
      <c r="M174" s="33" t="s">
        <v>322</v>
      </c>
      <c r="N174" s="133" t="s">
        <v>323</v>
      </c>
      <c r="O174" s="33" t="s">
        <v>8</v>
      </c>
      <c r="P174" s="33" t="s">
        <v>23</v>
      </c>
      <c r="Q174" s="33"/>
      <c r="R174" s="33" t="s">
        <v>30</v>
      </c>
    </row>
    <row r="175" spans="2:18" x14ac:dyDescent="0.15">
      <c r="B175" s="124" t="s">
        <v>160</v>
      </c>
      <c r="C175" s="124" t="s">
        <v>312</v>
      </c>
      <c r="D175" s="125">
        <v>43286</v>
      </c>
      <c r="E175" s="125">
        <v>43318</v>
      </c>
      <c r="F175" s="124">
        <v>1950</v>
      </c>
      <c r="G175" s="124">
        <v>32</v>
      </c>
      <c r="H175" s="124">
        <v>8.7671232876712329E-2</v>
      </c>
      <c r="I175" s="124">
        <v>0</v>
      </c>
      <c r="J175" s="124">
        <v>0.3725</v>
      </c>
      <c r="K175" s="124">
        <v>-60.97909645991308</v>
      </c>
      <c r="L175" s="124">
        <v>0</v>
      </c>
      <c r="M175" s="124">
        <v>0</v>
      </c>
      <c r="N175" s="126">
        <v>60.97909645991308</v>
      </c>
      <c r="O175" s="124">
        <v>2008</v>
      </c>
      <c r="P175" s="124" t="s">
        <v>85</v>
      </c>
      <c r="Q175" s="124">
        <v>-1</v>
      </c>
      <c r="R175" s="124" t="s">
        <v>20</v>
      </c>
    </row>
    <row r="176" spans="2:18" x14ac:dyDescent="0.15">
      <c r="B176" s="124" t="s">
        <v>160</v>
      </c>
      <c r="C176" s="124" t="s">
        <v>271</v>
      </c>
      <c r="D176" s="125">
        <v>43286</v>
      </c>
      <c r="E176" s="125">
        <v>43318</v>
      </c>
      <c r="F176" s="124">
        <v>450</v>
      </c>
      <c r="G176" s="124">
        <v>32</v>
      </c>
      <c r="H176" s="124">
        <v>7.3972602739726029E-2</v>
      </c>
      <c r="I176" s="124">
        <v>0</v>
      </c>
      <c r="J176" s="124">
        <v>0.30249999999999999</v>
      </c>
      <c r="K176" s="124">
        <v>-12.46315134389593</v>
      </c>
      <c r="L176" s="124">
        <v>0</v>
      </c>
      <c r="M176" s="124">
        <v>0</v>
      </c>
      <c r="N176" s="126">
        <v>12.46315134389593</v>
      </c>
      <c r="O176" s="124">
        <v>455</v>
      </c>
      <c r="P176" s="124" t="s">
        <v>85</v>
      </c>
      <c r="Q176" s="124">
        <v>-1</v>
      </c>
      <c r="R176" s="124" t="s">
        <v>20</v>
      </c>
    </row>
    <row r="177" spans="2:18" x14ac:dyDescent="0.15">
      <c r="B177" s="124" t="s">
        <v>160</v>
      </c>
      <c r="C177" s="124" t="s">
        <v>271</v>
      </c>
      <c r="D177" s="125">
        <v>43286</v>
      </c>
      <c r="E177" s="125">
        <v>43318</v>
      </c>
      <c r="F177" s="124">
        <v>440</v>
      </c>
      <c r="G177" s="124">
        <v>32</v>
      </c>
      <c r="H177" s="124">
        <v>7.3972602739726029E-2</v>
      </c>
      <c r="I177" s="124">
        <v>0</v>
      </c>
      <c r="J177" s="124">
        <v>0.30249999999999999</v>
      </c>
      <c r="K177" s="124">
        <v>-8.3729975060313109</v>
      </c>
      <c r="L177" s="124">
        <v>0</v>
      </c>
      <c r="M177" s="124">
        <v>0</v>
      </c>
      <c r="N177" s="126">
        <v>8.3729975060313109</v>
      </c>
      <c r="O177" s="124">
        <v>455</v>
      </c>
      <c r="P177" s="124" t="s">
        <v>85</v>
      </c>
      <c r="Q177" s="124">
        <v>-1</v>
      </c>
      <c r="R177" s="124" t="s">
        <v>20</v>
      </c>
    </row>
    <row r="178" spans="2:18" x14ac:dyDescent="0.15">
      <c r="B178" s="91" t="s">
        <v>2</v>
      </c>
      <c r="C178" s="33" t="s">
        <v>317</v>
      </c>
      <c r="D178" s="33" t="s">
        <v>318</v>
      </c>
      <c r="E178" s="33" t="s">
        <v>10</v>
      </c>
      <c r="F178" s="33" t="s">
        <v>319</v>
      </c>
      <c r="G178" s="33" t="s">
        <v>11</v>
      </c>
      <c r="H178" s="33" t="s">
        <v>12</v>
      </c>
      <c r="I178" s="33" t="s">
        <v>47</v>
      </c>
      <c r="J178" s="33" t="s">
        <v>13</v>
      </c>
      <c r="K178" s="33" t="s">
        <v>320</v>
      </c>
      <c r="L178" s="33" t="s">
        <v>321</v>
      </c>
      <c r="M178" s="33" t="s">
        <v>322</v>
      </c>
      <c r="N178" s="133" t="s">
        <v>323</v>
      </c>
      <c r="O178" s="33" t="s">
        <v>8</v>
      </c>
      <c r="P178" s="33" t="s">
        <v>23</v>
      </c>
      <c r="Q178" s="33"/>
      <c r="R178" s="33" t="s">
        <v>30</v>
      </c>
    </row>
    <row r="179" spans="2:18" x14ac:dyDescent="0.15">
      <c r="B179" s="124" t="s">
        <v>160</v>
      </c>
      <c r="C179" s="124" t="s">
        <v>271</v>
      </c>
      <c r="D179" s="125">
        <v>43286</v>
      </c>
      <c r="E179" s="125">
        <v>43318</v>
      </c>
      <c r="F179" s="124">
        <v>440</v>
      </c>
      <c r="G179" s="124">
        <v>32</v>
      </c>
      <c r="H179" s="124">
        <v>7.3972602739726029E-2</v>
      </c>
      <c r="I179" s="124">
        <v>0</v>
      </c>
      <c r="J179" s="124">
        <v>0.30249999999999999</v>
      </c>
      <c r="K179" s="124">
        <v>-8.2110073009362736</v>
      </c>
      <c r="L179" s="124">
        <v>0</v>
      </c>
      <c r="M179" s="124">
        <v>0</v>
      </c>
      <c r="N179" s="126">
        <v>8.2110073009362736</v>
      </c>
      <c r="O179" s="124">
        <v>455.5</v>
      </c>
      <c r="P179" s="124" t="s">
        <v>85</v>
      </c>
      <c r="Q179" s="124">
        <v>-1</v>
      </c>
      <c r="R179" s="124" t="s">
        <v>20</v>
      </c>
    </row>
    <row r="181" spans="2:18" x14ac:dyDescent="0.15">
      <c r="B181" s="91" t="s">
        <v>2</v>
      </c>
      <c r="C181" s="33" t="s">
        <v>317</v>
      </c>
      <c r="D181" s="33" t="s">
        <v>318</v>
      </c>
      <c r="E181" s="33" t="s">
        <v>10</v>
      </c>
      <c r="F181" s="33" t="s">
        <v>319</v>
      </c>
      <c r="G181" s="33" t="s">
        <v>11</v>
      </c>
      <c r="H181" s="33" t="s">
        <v>12</v>
      </c>
      <c r="I181" s="33" t="s">
        <v>47</v>
      </c>
      <c r="J181" s="33" t="s">
        <v>13</v>
      </c>
      <c r="K181" s="33" t="s">
        <v>320</v>
      </c>
      <c r="L181" s="33" t="s">
        <v>321</v>
      </c>
      <c r="M181" s="33" t="s">
        <v>322</v>
      </c>
      <c r="N181" s="133" t="s">
        <v>323</v>
      </c>
      <c r="O181" s="33" t="s">
        <v>8</v>
      </c>
      <c r="P181" s="33" t="s">
        <v>23</v>
      </c>
      <c r="Q181" s="33"/>
      <c r="R181" s="33" t="s">
        <v>30</v>
      </c>
    </row>
    <row r="182" spans="2:18" x14ac:dyDescent="0.15">
      <c r="B182" s="124" t="s">
        <v>160</v>
      </c>
      <c r="C182" s="124" t="s">
        <v>268</v>
      </c>
      <c r="D182" s="125">
        <v>43286</v>
      </c>
      <c r="E182" s="125">
        <v>43318</v>
      </c>
      <c r="F182" s="124" t="s">
        <v>335</v>
      </c>
      <c r="G182" s="124">
        <v>32</v>
      </c>
      <c r="H182" s="124">
        <v>8.7671232876712329E-2</v>
      </c>
      <c r="I182" s="124"/>
      <c r="J182" s="124"/>
      <c r="K182" s="124">
        <v>-732.0843457095616</v>
      </c>
      <c r="L182" s="124">
        <v>70</v>
      </c>
      <c r="M182" s="124">
        <v>30.482410958904108</v>
      </c>
      <c r="N182" s="126">
        <v>762.5667566684657</v>
      </c>
      <c r="O182" s="124">
        <v>49670</v>
      </c>
      <c r="P182" s="124" t="s">
        <v>39</v>
      </c>
      <c r="Q182" s="124">
        <v>-1</v>
      </c>
      <c r="R182" s="124" t="s">
        <v>20</v>
      </c>
    </row>
    <row r="183" spans="2:18" x14ac:dyDescent="0.15">
      <c r="B183" s="124" t="s">
        <v>160</v>
      </c>
      <c r="C183" s="124" t="s">
        <v>268</v>
      </c>
      <c r="D183" s="125">
        <v>43286</v>
      </c>
      <c r="E183" s="125">
        <v>43318</v>
      </c>
      <c r="F183" s="124">
        <v>51670</v>
      </c>
      <c r="G183" s="124">
        <v>32</v>
      </c>
      <c r="H183" s="124">
        <v>8.7671232876712329E-2</v>
      </c>
      <c r="I183" s="124">
        <v>0</v>
      </c>
      <c r="J183" s="124">
        <v>0.16500000000000001</v>
      </c>
      <c r="K183" s="124">
        <v>292.76669271917126</v>
      </c>
      <c r="L183" s="124"/>
      <c r="M183" s="124"/>
      <c r="N183" s="126">
        <v>292.76669271917126</v>
      </c>
      <c r="O183" s="124">
        <v>49670</v>
      </c>
      <c r="P183" s="124" t="s">
        <v>39</v>
      </c>
      <c r="Q183" s="124">
        <v>1</v>
      </c>
      <c r="R183" s="124" t="s">
        <v>151</v>
      </c>
    </row>
    <row r="184" spans="2:18" x14ac:dyDescent="0.15">
      <c r="B184" s="124" t="s">
        <v>160</v>
      </c>
      <c r="C184" s="124" t="s">
        <v>268</v>
      </c>
      <c r="D184" s="125">
        <v>43286</v>
      </c>
      <c r="E184" s="125">
        <v>43318</v>
      </c>
      <c r="F184" s="124" t="s">
        <v>335</v>
      </c>
      <c r="G184" s="124">
        <v>32</v>
      </c>
      <c r="H184" s="124">
        <v>8.7671232876712329E-2</v>
      </c>
      <c r="I184" s="124"/>
      <c r="J184" s="124"/>
      <c r="K184" s="124">
        <v>-732.0843457095616</v>
      </c>
      <c r="L184" s="124">
        <v>70</v>
      </c>
      <c r="M184" s="124">
        <v>30.482410958904108</v>
      </c>
      <c r="N184" s="126">
        <v>762.5667566684657</v>
      </c>
      <c r="O184" s="124">
        <v>49670</v>
      </c>
      <c r="P184" s="124"/>
      <c r="Q184" s="124"/>
      <c r="R184" s="124"/>
    </row>
    <row r="185" spans="2:18" x14ac:dyDescent="0.15">
      <c r="B185" s="91" t="s">
        <v>2</v>
      </c>
      <c r="C185" s="33" t="s">
        <v>317</v>
      </c>
      <c r="D185" s="33" t="s">
        <v>318</v>
      </c>
      <c r="E185" s="33" t="s">
        <v>10</v>
      </c>
      <c r="F185" s="33" t="s">
        <v>319</v>
      </c>
      <c r="G185" s="33" t="s">
        <v>11</v>
      </c>
      <c r="H185" s="33" t="s">
        <v>12</v>
      </c>
      <c r="I185" s="33" t="s">
        <v>47</v>
      </c>
      <c r="J185" s="33" t="s">
        <v>13</v>
      </c>
      <c r="K185" s="33" t="s">
        <v>14</v>
      </c>
      <c r="L185" s="33" t="s">
        <v>26</v>
      </c>
      <c r="M185" s="33" t="s">
        <v>322</v>
      </c>
      <c r="N185" s="133" t="s">
        <v>323</v>
      </c>
      <c r="O185" s="33" t="s">
        <v>8</v>
      </c>
      <c r="P185" s="33" t="s">
        <v>23</v>
      </c>
      <c r="Q185" s="33"/>
      <c r="R185" s="33" t="s">
        <v>30</v>
      </c>
    </row>
    <row r="186" spans="2:18" x14ac:dyDescent="0.15">
      <c r="B186" s="124" t="s">
        <v>338</v>
      </c>
      <c r="C186" s="124" t="s">
        <v>339</v>
      </c>
      <c r="D186" s="125">
        <v>43290</v>
      </c>
      <c r="E186" s="125">
        <v>43322</v>
      </c>
      <c r="F186" s="124">
        <v>430</v>
      </c>
      <c r="G186" s="124">
        <v>32</v>
      </c>
      <c r="H186" s="124">
        <v>8.7671232876712329E-2</v>
      </c>
      <c r="I186" s="124">
        <v>0</v>
      </c>
      <c r="J186" s="124">
        <v>0.245</v>
      </c>
      <c r="K186" s="124">
        <v>4.3137802368250391</v>
      </c>
      <c r="L186" s="124">
        <v>0</v>
      </c>
      <c r="M186" s="124">
        <v>0</v>
      </c>
      <c r="N186" s="126">
        <v>4.3137802368250391</v>
      </c>
      <c r="O186" s="124">
        <v>453.5</v>
      </c>
      <c r="P186" s="124" t="s">
        <v>340</v>
      </c>
      <c r="Q186" s="124">
        <v>1</v>
      </c>
      <c r="R186" s="124" t="s">
        <v>341</v>
      </c>
    </row>
    <row r="188" spans="2:18" x14ac:dyDescent="0.15">
      <c r="B188" s="91" t="s">
        <v>2</v>
      </c>
      <c r="C188" s="33" t="s">
        <v>181</v>
      </c>
      <c r="D188" s="33" t="s">
        <v>180</v>
      </c>
      <c r="E188" s="33" t="s">
        <v>10</v>
      </c>
      <c r="F188" s="33" t="s">
        <v>184</v>
      </c>
      <c r="G188" s="33" t="s">
        <v>11</v>
      </c>
      <c r="H188" s="33" t="s">
        <v>12</v>
      </c>
      <c r="I188" s="33" t="s">
        <v>47</v>
      </c>
      <c r="J188" s="33" t="s">
        <v>13</v>
      </c>
      <c r="K188" s="33" t="s">
        <v>14</v>
      </c>
      <c r="L188" s="33" t="s">
        <v>26</v>
      </c>
      <c r="M188" s="33" t="s">
        <v>322</v>
      </c>
      <c r="N188" s="133" t="s">
        <v>182</v>
      </c>
      <c r="O188" s="33" t="s">
        <v>8</v>
      </c>
      <c r="P188" s="33" t="s">
        <v>23</v>
      </c>
      <c r="Q188" s="33"/>
      <c r="R188" s="33" t="s">
        <v>30</v>
      </c>
    </row>
    <row r="189" spans="2:18" x14ac:dyDescent="0.15">
      <c r="B189" s="124" t="s">
        <v>161</v>
      </c>
      <c r="C189" s="124" t="s">
        <v>201</v>
      </c>
      <c r="D189" s="125">
        <v>43290</v>
      </c>
      <c r="E189" s="125">
        <v>43293</v>
      </c>
      <c r="F189" s="124">
        <v>14000</v>
      </c>
      <c r="G189" s="124">
        <v>3</v>
      </c>
      <c r="H189" s="124">
        <v>8.21917808219178E-3</v>
      </c>
      <c r="I189" s="124">
        <v>0</v>
      </c>
      <c r="J189" s="124">
        <v>0.22</v>
      </c>
      <c r="K189" s="124">
        <v>-68.825291606749488</v>
      </c>
      <c r="L189" s="124">
        <v>0</v>
      </c>
      <c r="M189" s="124">
        <v>0</v>
      </c>
      <c r="N189" s="126">
        <v>68.825291606749488</v>
      </c>
      <c r="O189" s="124">
        <v>14100</v>
      </c>
      <c r="P189" s="124" t="s">
        <v>263</v>
      </c>
      <c r="Q189" s="124">
        <v>-1</v>
      </c>
      <c r="R189" s="124" t="s">
        <v>31</v>
      </c>
    </row>
    <row r="190" spans="2:18" x14ac:dyDescent="0.15">
      <c r="B190" s="91" t="s">
        <v>2</v>
      </c>
      <c r="C190" s="33" t="s">
        <v>181</v>
      </c>
      <c r="D190" s="33" t="s">
        <v>180</v>
      </c>
      <c r="E190" s="33" t="s">
        <v>10</v>
      </c>
      <c r="F190" s="33" t="s">
        <v>184</v>
      </c>
      <c r="G190" s="33" t="s">
        <v>11</v>
      </c>
      <c r="H190" s="33" t="s">
        <v>12</v>
      </c>
      <c r="I190" s="33" t="s">
        <v>47</v>
      </c>
      <c r="J190" s="33" t="s">
        <v>13</v>
      </c>
      <c r="K190" s="33" t="s">
        <v>14</v>
      </c>
      <c r="L190" s="33" t="s">
        <v>26</v>
      </c>
      <c r="M190" s="33" t="s">
        <v>322</v>
      </c>
      <c r="N190" s="133" t="s">
        <v>182</v>
      </c>
      <c r="O190" s="33" t="s">
        <v>8</v>
      </c>
      <c r="P190" s="33" t="s">
        <v>23</v>
      </c>
      <c r="Q190" s="33"/>
      <c r="R190" s="33" t="s">
        <v>30</v>
      </c>
    </row>
    <row r="191" spans="2:18" x14ac:dyDescent="0.15">
      <c r="B191" s="124" t="s">
        <v>160</v>
      </c>
      <c r="C191" s="124" t="s">
        <v>343</v>
      </c>
      <c r="D191" s="125">
        <f t="shared" ref="D191" ca="1" si="6">TODAY()</f>
        <v>43301</v>
      </c>
      <c r="E191" s="125">
        <f t="shared" ref="E191" ca="1" si="7">D191+G191</f>
        <v>43444</v>
      </c>
      <c r="F191" s="124">
        <f>O191+150</f>
        <v>3917</v>
      </c>
      <c r="G191" s="124">
        <v>143</v>
      </c>
      <c r="H191" s="124">
        <f>(G191-5)/365</f>
        <v>0.37808219178082192</v>
      </c>
      <c r="I191" s="124" t="str">
        <f>I190</f>
        <v>Carry</v>
      </c>
      <c r="J191" s="124">
        <v>0.18</v>
      </c>
      <c r="K191" s="124" t="e">
        <f>_xll.dnetGBlackScholesNGreeks("price",$Q191,$P191,$G191,$I191,$C$3,$J191,$K191,$C$4)*Q191</f>
        <v>#VALUE!</v>
      </c>
      <c r="L191" s="124">
        <v>0</v>
      </c>
      <c r="M191" s="124">
        <f t="shared" ref="M191" si="8">L191/10000*H191*O191</f>
        <v>0</v>
      </c>
      <c r="N191" s="126" t="e">
        <f>IF(K191&lt;=0,ABS(K191)+M191,K191-M191)</f>
        <v>#VALUE!</v>
      </c>
      <c r="O191" s="124">
        <f>RTD("wdf.rtq",,C191,"LastPrice")</f>
        <v>3767</v>
      </c>
      <c r="P191" s="124" t="s">
        <v>39</v>
      </c>
      <c r="Q191" s="124">
        <f t="shared" ref="Q191" si="9">IF(R191="中金买入",1,-1)</f>
        <v>1</v>
      </c>
      <c r="R191" s="124" t="s">
        <v>151</v>
      </c>
    </row>
    <row r="192" spans="2:18" x14ac:dyDescent="0.15">
      <c r="B192" s="91" t="s">
        <v>2</v>
      </c>
      <c r="C192" s="33" t="s">
        <v>181</v>
      </c>
      <c r="D192" s="33" t="s">
        <v>180</v>
      </c>
      <c r="E192" s="33" t="s">
        <v>10</v>
      </c>
      <c r="F192" s="33" t="s">
        <v>184</v>
      </c>
      <c r="G192" s="33" t="s">
        <v>11</v>
      </c>
      <c r="H192" s="33" t="s">
        <v>12</v>
      </c>
      <c r="I192" s="33" t="s">
        <v>47</v>
      </c>
      <c r="J192" s="33" t="s">
        <v>13</v>
      </c>
      <c r="K192" s="33" t="s">
        <v>14</v>
      </c>
      <c r="L192" s="33" t="s">
        <v>26</v>
      </c>
      <c r="M192" s="33" t="s">
        <v>322</v>
      </c>
      <c r="N192" s="133" t="s">
        <v>182</v>
      </c>
      <c r="O192" s="33" t="s">
        <v>8</v>
      </c>
      <c r="P192" s="33" t="s">
        <v>23</v>
      </c>
      <c r="Q192" s="33"/>
      <c r="R192" s="33" t="s">
        <v>30</v>
      </c>
    </row>
    <row r="193" spans="2:18" x14ac:dyDescent="0.15">
      <c r="B193" s="124" t="s">
        <v>160</v>
      </c>
      <c r="C193" s="124" t="s">
        <v>294</v>
      </c>
      <c r="D193" s="125">
        <v>43292</v>
      </c>
      <c r="E193" s="125">
        <v>43353</v>
      </c>
      <c r="F193" s="124">
        <v>16400</v>
      </c>
      <c r="G193" s="124">
        <v>61</v>
      </c>
      <c r="H193" s="124">
        <v>0.16712328767123288</v>
      </c>
      <c r="I193" s="124">
        <v>0</v>
      </c>
      <c r="J193" s="124">
        <v>0.25</v>
      </c>
      <c r="K193" s="124">
        <v>-663.76251563162168</v>
      </c>
      <c r="L193" s="124">
        <v>0</v>
      </c>
      <c r="M193" s="124">
        <v>0</v>
      </c>
      <c r="N193" s="126">
        <v>663.76251563162168</v>
      </c>
      <c r="O193" s="124">
        <v>16405</v>
      </c>
      <c r="P193" s="124" t="s">
        <v>85</v>
      </c>
      <c r="Q193" s="124">
        <v>-1</v>
      </c>
      <c r="R193" s="124" t="s">
        <v>20</v>
      </c>
    </row>
    <row r="194" spans="2:18" x14ac:dyDescent="0.15">
      <c r="B194" s="91" t="s">
        <v>2</v>
      </c>
      <c r="C194" s="33" t="s">
        <v>181</v>
      </c>
      <c r="D194" s="33" t="s">
        <v>180</v>
      </c>
      <c r="E194" s="33" t="s">
        <v>10</v>
      </c>
      <c r="F194" s="33" t="s">
        <v>184</v>
      </c>
      <c r="G194" s="33" t="s">
        <v>11</v>
      </c>
      <c r="H194" s="33" t="s">
        <v>12</v>
      </c>
      <c r="I194" s="33" t="s">
        <v>47</v>
      </c>
      <c r="J194" s="33" t="s">
        <v>13</v>
      </c>
      <c r="K194" s="33" t="s">
        <v>14</v>
      </c>
      <c r="L194" s="33" t="s">
        <v>26</v>
      </c>
      <c r="M194" s="33" t="s">
        <v>322</v>
      </c>
      <c r="N194" s="133" t="s">
        <v>182</v>
      </c>
      <c r="O194" s="33" t="s">
        <v>8</v>
      </c>
      <c r="P194" s="33" t="s">
        <v>23</v>
      </c>
      <c r="Q194" s="33"/>
      <c r="R194" s="33" t="s">
        <v>30</v>
      </c>
    </row>
    <row r="195" spans="2:18" x14ac:dyDescent="0.15">
      <c r="B195" s="124" t="s">
        <v>160</v>
      </c>
      <c r="C195" s="124" t="s">
        <v>312</v>
      </c>
      <c r="D195" s="125">
        <v>43293</v>
      </c>
      <c r="E195" s="125">
        <v>43315</v>
      </c>
      <c r="F195" s="124">
        <v>1900</v>
      </c>
      <c r="G195" s="124">
        <v>22</v>
      </c>
      <c r="H195" s="124">
        <v>6.0273972602739728E-2</v>
      </c>
      <c r="I195" s="124">
        <v>0</v>
      </c>
      <c r="J195" s="124">
        <v>0.28000000000000003</v>
      </c>
      <c r="K195" s="124">
        <v>8.16847068240628</v>
      </c>
      <c r="L195" s="124">
        <v>0</v>
      </c>
      <c r="M195" s="124">
        <v>0</v>
      </c>
      <c r="N195" s="126">
        <v>8.16847068240628</v>
      </c>
      <c r="O195" s="124">
        <v>2058.5</v>
      </c>
      <c r="P195" s="124" t="s">
        <v>85</v>
      </c>
      <c r="Q195" s="124">
        <v>1</v>
      </c>
      <c r="R195" s="124" t="s">
        <v>151</v>
      </c>
    </row>
    <row r="196" spans="2:18" x14ac:dyDescent="0.15">
      <c r="B196" s="124" t="s">
        <v>160</v>
      </c>
      <c r="C196" s="124" t="s">
        <v>312</v>
      </c>
      <c r="D196" s="125">
        <v>43293</v>
      </c>
      <c r="E196" s="125">
        <v>43315</v>
      </c>
      <c r="F196" s="124">
        <v>1950</v>
      </c>
      <c r="G196" s="124">
        <v>22</v>
      </c>
      <c r="H196" s="124">
        <v>6.0273972602739728E-2</v>
      </c>
      <c r="I196" s="124">
        <v>0</v>
      </c>
      <c r="J196" s="124">
        <v>0.28999999999999998</v>
      </c>
      <c r="K196" s="124">
        <v>18.343093935957768</v>
      </c>
      <c r="L196" s="124">
        <v>0</v>
      </c>
      <c r="M196" s="124">
        <v>0</v>
      </c>
      <c r="N196" s="126">
        <v>18.343093935957768</v>
      </c>
      <c r="O196" s="124">
        <v>2058.5</v>
      </c>
      <c r="P196" s="124" t="s">
        <v>85</v>
      </c>
      <c r="Q196" s="124">
        <v>1</v>
      </c>
      <c r="R196" s="124" t="s">
        <v>151</v>
      </c>
    </row>
    <row r="197" spans="2:18" x14ac:dyDescent="0.15">
      <c r="B197" s="124" t="s">
        <v>160</v>
      </c>
      <c r="C197" s="124" t="s">
        <v>312</v>
      </c>
      <c r="D197" s="125">
        <v>43293</v>
      </c>
      <c r="E197" s="125">
        <v>43315</v>
      </c>
      <c r="F197" s="124">
        <v>2000</v>
      </c>
      <c r="G197" s="124">
        <v>22</v>
      </c>
      <c r="H197" s="124">
        <v>6.0273972602739728E-2</v>
      </c>
      <c r="I197" s="124">
        <v>0</v>
      </c>
      <c r="J197" s="124">
        <v>0.29849999999999999</v>
      </c>
      <c r="K197" s="124">
        <v>34.551646031220571</v>
      </c>
      <c r="L197" s="124">
        <v>0</v>
      </c>
      <c r="M197" s="124">
        <v>0</v>
      </c>
      <c r="N197" s="126">
        <v>34.551646031220571</v>
      </c>
      <c r="O197" s="124">
        <v>2058.5</v>
      </c>
      <c r="P197" s="124" t="s">
        <v>85</v>
      </c>
      <c r="Q197" s="124">
        <v>1</v>
      </c>
      <c r="R197" s="124" t="s">
        <v>151</v>
      </c>
    </row>
    <row r="198" spans="2:18" x14ac:dyDescent="0.15">
      <c r="B198" s="91" t="s">
        <v>2</v>
      </c>
      <c r="C198" s="33" t="s">
        <v>181</v>
      </c>
      <c r="D198" s="33" t="s">
        <v>180</v>
      </c>
      <c r="E198" s="33" t="s">
        <v>10</v>
      </c>
      <c r="F198" s="33" t="s">
        <v>184</v>
      </c>
      <c r="G198" s="33" t="s">
        <v>11</v>
      </c>
      <c r="H198" s="33" t="s">
        <v>12</v>
      </c>
      <c r="I198" s="33" t="s">
        <v>47</v>
      </c>
      <c r="J198" s="33" t="s">
        <v>13</v>
      </c>
      <c r="K198" s="33" t="s">
        <v>14</v>
      </c>
      <c r="L198" s="33" t="s">
        <v>26</v>
      </c>
      <c r="M198" s="33" t="s">
        <v>322</v>
      </c>
      <c r="N198" s="133" t="s">
        <v>182</v>
      </c>
      <c r="O198" s="33" t="s">
        <v>8</v>
      </c>
      <c r="P198" s="33" t="s">
        <v>23</v>
      </c>
      <c r="Q198" s="33"/>
      <c r="R198" s="33" t="s">
        <v>30</v>
      </c>
    </row>
    <row r="199" spans="2:18" x14ac:dyDescent="0.15">
      <c r="B199" s="124" t="s">
        <v>160</v>
      </c>
      <c r="C199" s="124" t="s">
        <v>312</v>
      </c>
      <c r="D199" s="125">
        <v>43293</v>
      </c>
      <c r="E199" s="125">
        <v>43315</v>
      </c>
      <c r="F199" s="124">
        <v>1900</v>
      </c>
      <c r="G199" s="124">
        <v>22</v>
      </c>
      <c r="H199" s="124">
        <v>6.0273972602739728E-2</v>
      </c>
      <c r="I199" s="124">
        <v>0</v>
      </c>
      <c r="J199" s="124">
        <v>0.28000000000000003</v>
      </c>
      <c r="K199" s="124">
        <v>7.9975918054692556</v>
      </c>
      <c r="L199" s="124">
        <v>0</v>
      </c>
      <c r="M199" s="124">
        <v>0</v>
      </c>
      <c r="N199" s="126">
        <v>7.9975918054692556</v>
      </c>
      <c r="O199" s="124">
        <v>2060</v>
      </c>
      <c r="P199" s="124" t="s">
        <v>85</v>
      </c>
      <c r="Q199" s="124">
        <v>1</v>
      </c>
      <c r="R199" s="124" t="s">
        <v>151</v>
      </c>
    </row>
    <row r="200" spans="2:18" x14ac:dyDescent="0.15">
      <c r="B200" s="124" t="s">
        <v>160</v>
      </c>
      <c r="C200" s="124" t="s">
        <v>312</v>
      </c>
      <c r="D200" s="125">
        <v>43293</v>
      </c>
      <c r="E200" s="125">
        <v>43315</v>
      </c>
      <c r="F200" s="124">
        <v>1950</v>
      </c>
      <c r="G200" s="124">
        <v>22</v>
      </c>
      <c r="H200" s="124">
        <v>6.0273972602739728E-2</v>
      </c>
      <c r="I200" s="124">
        <v>0</v>
      </c>
      <c r="J200" s="124">
        <v>0.28999999999999998</v>
      </c>
      <c r="K200" s="124">
        <v>18.026235693560238</v>
      </c>
      <c r="L200" s="124">
        <v>0</v>
      </c>
      <c r="M200" s="124">
        <v>0</v>
      </c>
      <c r="N200" s="126">
        <v>18.026235693560238</v>
      </c>
      <c r="O200" s="124">
        <v>2060</v>
      </c>
      <c r="P200" s="124" t="s">
        <v>85</v>
      </c>
      <c r="Q200" s="124">
        <v>1</v>
      </c>
      <c r="R200" s="124" t="s">
        <v>151</v>
      </c>
    </row>
    <row r="201" spans="2:18" x14ac:dyDescent="0.15">
      <c r="B201" s="124" t="s">
        <v>160</v>
      </c>
      <c r="C201" s="124" t="s">
        <v>312</v>
      </c>
      <c r="D201" s="125">
        <v>43293</v>
      </c>
      <c r="E201" s="125">
        <v>43315</v>
      </c>
      <c r="F201" s="124">
        <v>2000</v>
      </c>
      <c r="G201" s="124">
        <v>22</v>
      </c>
      <c r="H201" s="124">
        <v>6.0273972602739728E-2</v>
      </c>
      <c r="I201" s="124">
        <v>0</v>
      </c>
      <c r="J201" s="124">
        <v>0.29849999999999999</v>
      </c>
      <c r="K201" s="124">
        <v>34.054582927128877</v>
      </c>
      <c r="L201" s="124">
        <v>0</v>
      </c>
      <c r="M201" s="124">
        <v>0</v>
      </c>
      <c r="N201" s="126">
        <v>34.054582927128877</v>
      </c>
      <c r="O201" s="124">
        <v>2060</v>
      </c>
      <c r="P201" s="124" t="s">
        <v>85</v>
      </c>
      <c r="Q201" s="124">
        <v>1</v>
      </c>
      <c r="R201" s="124" t="s">
        <v>151</v>
      </c>
    </row>
    <row r="202" spans="2:18" x14ac:dyDescent="0.15">
      <c r="B202" s="91" t="s">
        <v>2</v>
      </c>
      <c r="C202" s="33" t="s">
        <v>181</v>
      </c>
      <c r="D202" s="33" t="s">
        <v>180</v>
      </c>
      <c r="E202" s="33" t="s">
        <v>10</v>
      </c>
      <c r="F202" s="33" t="s">
        <v>184</v>
      </c>
      <c r="G202" s="33" t="s">
        <v>11</v>
      </c>
      <c r="H202" s="33" t="s">
        <v>12</v>
      </c>
      <c r="I202" s="33" t="s">
        <v>47</v>
      </c>
      <c r="J202" s="33" t="s">
        <v>13</v>
      </c>
      <c r="K202" s="33" t="s">
        <v>14</v>
      </c>
      <c r="L202" s="33" t="s">
        <v>26</v>
      </c>
      <c r="M202" s="33" t="s">
        <v>322</v>
      </c>
      <c r="N202" s="133" t="s">
        <v>182</v>
      </c>
      <c r="O202" s="33" t="s">
        <v>8</v>
      </c>
      <c r="P202" s="33" t="s">
        <v>23</v>
      </c>
      <c r="Q202" s="33"/>
      <c r="R202" s="33" t="s">
        <v>30</v>
      </c>
    </row>
    <row r="203" spans="2:18" x14ac:dyDescent="0.15">
      <c r="B203" s="124" t="s">
        <v>160</v>
      </c>
      <c r="C203" s="124" t="s">
        <v>351</v>
      </c>
      <c r="D203" s="125">
        <v>43313</v>
      </c>
      <c r="E203" s="125">
        <v>43405</v>
      </c>
      <c r="F203" s="124">
        <v>100</v>
      </c>
      <c r="G203" s="124">
        <v>92</v>
      </c>
      <c r="H203" s="124">
        <v>0.25205479452054796</v>
      </c>
      <c r="I203" s="124">
        <v>0</v>
      </c>
      <c r="J203" s="124">
        <v>0.13</v>
      </c>
      <c r="K203" s="124">
        <v>-2.5902071782528537</v>
      </c>
      <c r="L203" s="124">
        <v>80</v>
      </c>
      <c r="M203" s="124">
        <v>0.20164383561643837</v>
      </c>
      <c r="N203" s="126">
        <v>2.7918510138692922</v>
      </c>
      <c r="O203" s="124">
        <v>100</v>
      </c>
      <c r="P203" s="124" t="s">
        <v>85</v>
      </c>
      <c r="Q203" s="124">
        <v>-1</v>
      </c>
      <c r="R203" s="124" t="s">
        <v>20</v>
      </c>
    </row>
    <row r="204" spans="2:18" x14ac:dyDescent="0.15">
      <c r="B204" s="124" t="s">
        <v>160</v>
      </c>
      <c r="C204" s="124" t="s">
        <v>354</v>
      </c>
      <c r="D204" s="125">
        <v>43313</v>
      </c>
      <c r="E204" s="125">
        <v>43405</v>
      </c>
      <c r="F204" s="124">
        <v>100</v>
      </c>
      <c r="G204" s="124">
        <v>92</v>
      </c>
      <c r="H204" s="124">
        <v>0.25205479452054796</v>
      </c>
      <c r="I204" s="124">
        <v>0</v>
      </c>
      <c r="J204" s="124">
        <v>0.2</v>
      </c>
      <c r="K204" s="124">
        <v>-3.9839677127218067</v>
      </c>
      <c r="L204" s="124">
        <v>80</v>
      </c>
      <c r="M204" s="124">
        <v>0.20164383561643837</v>
      </c>
      <c r="N204" s="126">
        <v>4.1856115483382448</v>
      </c>
      <c r="O204" s="124">
        <v>100</v>
      </c>
      <c r="P204" s="124" t="s">
        <v>85</v>
      </c>
      <c r="Q204" s="124">
        <v>-1</v>
      </c>
      <c r="R204" s="124" t="s">
        <v>20</v>
      </c>
    </row>
    <row r="205" spans="2:18" x14ac:dyDescent="0.15">
      <c r="B205" s="124" t="s">
        <v>160</v>
      </c>
      <c r="C205" s="124" t="s">
        <v>356</v>
      </c>
      <c r="D205" s="125">
        <v>43313</v>
      </c>
      <c r="E205" s="125">
        <v>43405</v>
      </c>
      <c r="F205" s="124">
        <v>100</v>
      </c>
      <c r="G205" s="124">
        <v>92</v>
      </c>
      <c r="H205" s="124">
        <v>0.25205479452054796</v>
      </c>
      <c r="I205" s="124">
        <v>0</v>
      </c>
      <c r="J205" s="124">
        <v>0.37</v>
      </c>
      <c r="K205" s="124">
        <v>-7.3628490672383009</v>
      </c>
      <c r="L205" s="124">
        <v>80</v>
      </c>
      <c r="M205" s="124">
        <v>0.20164383561643837</v>
      </c>
      <c r="N205" s="126">
        <v>7.564492902854739</v>
      </c>
      <c r="O205" s="124">
        <v>100</v>
      </c>
      <c r="P205" s="124" t="s">
        <v>85</v>
      </c>
      <c r="Q205" s="124">
        <v>-1</v>
      </c>
      <c r="R205" s="124" t="s">
        <v>20</v>
      </c>
    </row>
    <row r="206" spans="2:18" x14ac:dyDescent="0.15">
      <c r="B206" s="124" t="s">
        <v>160</v>
      </c>
      <c r="C206" s="124" t="s">
        <v>359</v>
      </c>
      <c r="D206" s="125">
        <v>43313</v>
      </c>
      <c r="E206" s="125">
        <v>43405</v>
      </c>
      <c r="F206" s="124">
        <v>100</v>
      </c>
      <c r="G206" s="124">
        <v>92</v>
      </c>
      <c r="H206" s="124">
        <v>0.25205479452054796</v>
      </c>
      <c r="I206" s="124">
        <v>0</v>
      </c>
      <c r="J206" s="124">
        <v>0.37</v>
      </c>
      <c r="K206" s="124">
        <v>-7.3628490672383009</v>
      </c>
      <c r="L206" s="124">
        <v>80</v>
      </c>
      <c r="M206" s="124">
        <v>0.20164383561643837</v>
      </c>
      <c r="N206" s="126">
        <v>4.18</v>
      </c>
      <c r="O206" s="124">
        <v>100</v>
      </c>
      <c r="P206" s="124" t="s">
        <v>85</v>
      </c>
      <c r="Q206" s="124">
        <v>-1</v>
      </c>
      <c r="R206" s="124" t="s">
        <v>20</v>
      </c>
    </row>
    <row r="207" spans="2:18" x14ac:dyDescent="0.15">
      <c r="B207" s="91" t="s">
        <v>2</v>
      </c>
      <c r="C207" s="33" t="s">
        <v>181</v>
      </c>
      <c r="D207" s="33" t="s">
        <v>180</v>
      </c>
      <c r="E207" s="33" t="s">
        <v>10</v>
      </c>
      <c r="F207" s="33" t="s">
        <v>184</v>
      </c>
      <c r="G207" s="33" t="s">
        <v>11</v>
      </c>
      <c r="H207" s="33" t="s">
        <v>12</v>
      </c>
      <c r="I207" s="33" t="s">
        <v>47</v>
      </c>
      <c r="J207" s="33" t="s">
        <v>13</v>
      </c>
      <c r="K207" s="33" t="s">
        <v>14</v>
      </c>
      <c r="L207" s="33" t="s">
        <v>26</v>
      </c>
      <c r="M207" s="33" t="s">
        <v>322</v>
      </c>
      <c r="N207" s="133" t="s">
        <v>182</v>
      </c>
      <c r="O207" s="33" t="s">
        <v>8</v>
      </c>
      <c r="P207" s="33" t="s">
        <v>23</v>
      </c>
      <c r="Q207" s="33"/>
      <c r="R207" s="33" t="s">
        <v>30</v>
      </c>
    </row>
    <row r="208" spans="2:18" x14ac:dyDescent="0.15">
      <c r="B208" s="124" t="s">
        <v>160</v>
      </c>
      <c r="C208" s="124" t="s">
        <v>39</v>
      </c>
      <c r="D208" s="125">
        <v>43313</v>
      </c>
      <c r="E208" s="125">
        <v>43405</v>
      </c>
      <c r="F208" s="124" t="s">
        <v>360</v>
      </c>
      <c r="G208" s="124">
        <v>92</v>
      </c>
      <c r="H208" s="124">
        <v>0.25205479452054796</v>
      </c>
      <c r="I208" s="124"/>
      <c r="J208" s="124"/>
      <c r="K208" s="124">
        <v>-2.4979978420392728</v>
      </c>
      <c r="L208" s="124">
        <v>20</v>
      </c>
      <c r="M208" s="124">
        <v>5.0410958904109592E-2</v>
      </c>
      <c r="N208" s="126">
        <v>2.6996416776557113</v>
      </c>
      <c r="O208" s="124">
        <v>100</v>
      </c>
      <c r="P208" s="124" t="s">
        <v>361</v>
      </c>
      <c r="Q208" s="124"/>
      <c r="R208" s="124" t="s">
        <v>20</v>
      </c>
    </row>
    <row r="209" spans="2:19" x14ac:dyDescent="0.15">
      <c r="B209" s="124" t="s">
        <v>160</v>
      </c>
      <c r="C209" s="124" t="s">
        <v>83</v>
      </c>
      <c r="D209" s="125">
        <v>43313</v>
      </c>
      <c r="E209" s="125">
        <v>43405</v>
      </c>
      <c r="F209" s="124" t="s">
        <v>360</v>
      </c>
      <c r="G209" s="124">
        <v>92</v>
      </c>
      <c r="H209" s="124">
        <v>0.25205479452054796</v>
      </c>
      <c r="I209" s="124"/>
      <c r="J209" s="124"/>
      <c r="K209" s="124">
        <v>-3.3720889653884942</v>
      </c>
      <c r="L209" s="124">
        <v>20</v>
      </c>
      <c r="M209" s="124">
        <v>5.0410958904109592E-2</v>
      </c>
      <c r="N209" s="126">
        <v>3.5737328010049327</v>
      </c>
      <c r="O209" s="124">
        <v>100</v>
      </c>
      <c r="P209" s="124" t="s">
        <v>361</v>
      </c>
      <c r="Q209" s="124"/>
      <c r="R209" s="124" t="s">
        <v>20</v>
      </c>
    </row>
    <row r="210" spans="2:19" x14ac:dyDescent="0.15">
      <c r="B210" s="124" t="s">
        <v>160</v>
      </c>
      <c r="C210" s="124" t="s">
        <v>355</v>
      </c>
      <c r="D210" s="125">
        <v>43313</v>
      </c>
      <c r="E210" s="125">
        <v>43405</v>
      </c>
      <c r="F210" s="124" t="s">
        <v>360</v>
      </c>
      <c r="G210" s="124">
        <v>92</v>
      </c>
      <c r="H210" s="124">
        <v>0.25205479452054796</v>
      </c>
      <c r="I210" s="124"/>
      <c r="J210" s="124"/>
      <c r="K210" s="124">
        <v>-4.5692004371438415</v>
      </c>
      <c r="L210" s="124">
        <v>20</v>
      </c>
      <c r="M210" s="124">
        <v>5.0410958904109592E-2</v>
      </c>
      <c r="N210" s="126">
        <v>4.7708442727602796</v>
      </c>
      <c r="O210" s="124">
        <v>100</v>
      </c>
      <c r="P210" s="124" t="s">
        <v>361</v>
      </c>
      <c r="Q210" s="124"/>
      <c r="R210" s="124" t="s">
        <v>20</v>
      </c>
    </row>
    <row r="211" spans="2:19" x14ac:dyDescent="0.15">
      <c r="B211" s="124" t="s">
        <v>160</v>
      </c>
      <c r="C211" s="124" t="s">
        <v>97</v>
      </c>
      <c r="D211" s="125">
        <v>43313</v>
      </c>
      <c r="E211" s="125">
        <v>43405</v>
      </c>
      <c r="F211" s="124" t="s">
        <v>360</v>
      </c>
      <c r="G211" s="124">
        <v>92</v>
      </c>
      <c r="H211" s="124">
        <v>0.25205479452054796</v>
      </c>
      <c r="I211" s="124"/>
      <c r="J211" s="124"/>
      <c r="K211" s="124">
        <v>-3.3720889653884942</v>
      </c>
      <c r="L211" s="124">
        <v>20</v>
      </c>
      <c r="M211" s="124">
        <v>5.0410958904109592E-2</v>
      </c>
      <c r="N211" s="126">
        <v>3.5737328010049327</v>
      </c>
      <c r="O211" s="124">
        <v>100</v>
      </c>
      <c r="P211" s="124" t="s">
        <v>361</v>
      </c>
      <c r="Q211" s="124"/>
      <c r="R211" s="124" t="s">
        <v>20</v>
      </c>
    </row>
    <row r="212" spans="2:19" x14ac:dyDescent="0.15">
      <c r="B212" s="91" t="s">
        <v>2</v>
      </c>
      <c r="C212" s="33" t="s">
        <v>181</v>
      </c>
      <c r="D212" s="33" t="s">
        <v>180</v>
      </c>
      <c r="E212" s="33" t="s">
        <v>10</v>
      </c>
      <c r="F212" s="33" t="s">
        <v>184</v>
      </c>
      <c r="G212" s="33" t="s">
        <v>11</v>
      </c>
      <c r="H212" s="33" t="s">
        <v>12</v>
      </c>
      <c r="I212" s="33" t="s">
        <v>47</v>
      </c>
      <c r="J212" s="33" t="s">
        <v>13</v>
      </c>
      <c r="K212" s="33" t="s">
        <v>14</v>
      </c>
      <c r="L212" s="33" t="s">
        <v>26</v>
      </c>
      <c r="M212" s="33" t="s">
        <v>322</v>
      </c>
      <c r="N212" s="133" t="s">
        <v>182</v>
      </c>
      <c r="O212" s="33" t="s">
        <v>8</v>
      </c>
      <c r="P212" s="33" t="s">
        <v>23</v>
      </c>
      <c r="Q212" s="33"/>
      <c r="R212" s="33" t="s">
        <v>30</v>
      </c>
    </row>
    <row r="213" spans="2:19" x14ac:dyDescent="0.15">
      <c r="B213" s="124" t="s">
        <v>160</v>
      </c>
      <c r="C213" s="124">
        <v>300</v>
      </c>
      <c r="D213" s="125">
        <v>43313</v>
      </c>
      <c r="E213" s="125">
        <v>43405</v>
      </c>
      <c r="F213" s="124">
        <v>100</v>
      </c>
      <c r="G213" s="124">
        <v>92</v>
      </c>
      <c r="H213" s="124">
        <v>0.25205479452054796</v>
      </c>
      <c r="I213" s="124">
        <v>-0.02</v>
      </c>
      <c r="J213" s="124">
        <v>0.24</v>
      </c>
      <c r="K213" s="124">
        <v>-5.022183845824074</v>
      </c>
      <c r="L213" s="124"/>
      <c r="M213" s="124">
        <v>0</v>
      </c>
      <c r="N213" s="126">
        <v>5.022183845824074</v>
      </c>
      <c r="O213" s="124">
        <v>100</v>
      </c>
      <c r="P213" s="124" t="s">
        <v>352</v>
      </c>
      <c r="Q213" s="124">
        <v>-1</v>
      </c>
      <c r="R213" s="124" t="s">
        <v>20</v>
      </c>
    </row>
    <row r="214" spans="2:19" x14ac:dyDescent="0.15">
      <c r="B214" s="124" t="s">
        <v>160</v>
      </c>
      <c r="C214" s="124">
        <v>300</v>
      </c>
      <c r="D214" s="125">
        <v>43313</v>
      </c>
      <c r="E214" s="125">
        <v>43497</v>
      </c>
      <c r="F214" s="124">
        <v>100</v>
      </c>
      <c r="G214" s="124">
        <v>184</v>
      </c>
      <c r="H214" s="124">
        <v>0.50410958904109593</v>
      </c>
      <c r="I214" s="124">
        <v>-0.02</v>
      </c>
      <c r="J214" s="124">
        <v>0.24</v>
      </c>
      <c r="K214" s="124">
        <v>-7.1962183941503497</v>
      </c>
      <c r="L214" s="124"/>
      <c r="M214" s="124">
        <v>0</v>
      </c>
      <c r="N214" s="126">
        <v>7.1962183941503497</v>
      </c>
      <c r="O214" s="124">
        <v>100</v>
      </c>
      <c r="P214" s="124" t="s">
        <v>352</v>
      </c>
      <c r="Q214" s="124">
        <v>-1</v>
      </c>
      <c r="R214" s="124" t="s">
        <v>20</v>
      </c>
    </row>
    <row r="215" spans="2:19" x14ac:dyDescent="0.15">
      <c r="B215" s="124" t="s">
        <v>160</v>
      </c>
      <c r="C215" s="124">
        <v>905</v>
      </c>
      <c r="D215" s="125">
        <v>43313</v>
      </c>
      <c r="E215" s="125">
        <v>43405</v>
      </c>
      <c r="F215" s="124">
        <v>100</v>
      </c>
      <c r="G215" s="124">
        <v>92</v>
      </c>
      <c r="H215" s="124">
        <v>0.25205479452054796</v>
      </c>
      <c r="I215" s="124">
        <v>-0.04</v>
      </c>
      <c r="J215" s="124">
        <v>0.28999999999999998</v>
      </c>
      <c r="K215" s="124">
        <v>-6.2579178813579617</v>
      </c>
      <c r="L215" s="124"/>
      <c r="M215" s="124">
        <v>0</v>
      </c>
      <c r="N215" s="126">
        <v>6.2579178813579617</v>
      </c>
      <c r="O215" s="124">
        <v>100</v>
      </c>
      <c r="P215" s="124" t="s">
        <v>352</v>
      </c>
      <c r="Q215" s="124">
        <v>-1</v>
      </c>
      <c r="R215" s="124" t="s">
        <v>20</v>
      </c>
    </row>
    <row r="216" spans="2:19" x14ac:dyDescent="0.15">
      <c r="B216" s="124" t="s">
        <v>160</v>
      </c>
      <c r="C216" s="124">
        <v>905</v>
      </c>
      <c r="D216" s="125">
        <v>43313</v>
      </c>
      <c r="E216" s="125">
        <v>43497</v>
      </c>
      <c r="F216" s="124">
        <v>100</v>
      </c>
      <c r="G216" s="124">
        <v>184</v>
      </c>
      <c r="H216" s="124">
        <v>0.50410958904109593</v>
      </c>
      <c r="I216" s="124">
        <v>-0.04</v>
      </c>
      <c r="J216" s="124">
        <v>0.28999999999999998</v>
      </c>
      <c r="K216" s="124">
        <v>-9.0630114730961822</v>
      </c>
      <c r="L216" s="124"/>
      <c r="M216" s="124">
        <v>0</v>
      </c>
      <c r="N216" s="126">
        <v>9.0630114730961822</v>
      </c>
      <c r="O216" s="124">
        <v>100</v>
      </c>
      <c r="P216" s="124" t="s">
        <v>352</v>
      </c>
      <c r="Q216" s="124">
        <v>-1</v>
      </c>
      <c r="R216" s="124" t="s">
        <v>20</v>
      </c>
    </row>
    <row r="217" spans="2:19" x14ac:dyDescent="0.15">
      <c r="B217" s="91" t="s">
        <v>2</v>
      </c>
      <c r="C217" s="33" t="s">
        <v>181</v>
      </c>
      <c r="D217" s="33" t="s">
        <v>180</v>
      </c>
      <c r="E217" s="33" t="s">
        <v>10</v>
      </c>
      <c r="F217" s="33" t="s">
        <v>184</v>
      </c>
      <c r="G217" s="33" t="s">
        <v>11</v>
      </c>
      <c r="H217" s="33" t="s">
        <v>12</v>
      </c>
      <c r="I217" s="33" t="s">
        <v>47</v>
      </c>
      <c r="J217" s="33" t="s">
        <v>13</v>
      </c>
      <c r="K217" s="33" t="s">
        <v>14</v>
      </c>
      <c r="L217" s="33" t="s">
        <v>26</v>
      </c>
      <c r="M217" s="33" t="s">
        <v>322</v>
      </c>
      <c r="N217" s="133" t="s">
        <v>182</v>
      </c>
      <c r="O217" s="33" t="s">
        <v>8</v>
      </c>
      <c r="P217" s="33" t="s">
        <v>23</v>
      </c>
      <c r="Q217" s="33"/>
      <c r="R217" s="33" t="s">
        <v>30</v>
      </c>
    </row>
    <row r="218" spans="2:19" x14ac:dyDescent="0.15">
      <c r="B218" s="124" t="s">
        <v>160</v>
      </c>
      <c r="C218" s="124" t="s">
        <v>276</v>
      </c>
      <c r="D218" s="125">
        <v>43293</v>
      </c>
      <c r="E218" s="125">
        <v>43355</v>
      </c>
      <c r="F218" s="124">
        <v>4200</v>
      </c>
      <c r="G218" s="124">
        <v>62</v>
      </c>
      <c r="H218" s="124">
        <v>0.16986301369863013</v>
      </c>
      <c r="I218" s="124">
        <v>0</v>
      </c>
      <c r="J218" s="124">
        <v>0.19</v>
      </c>
      <c r="K218" s="124">
        <v>37.955671202520193</v>
      </c>
      <c r="L218" s="124"/>
      <c r="M218" s="124">
        <v>0</v>
      </c>
      <c r="N218" s="126">
        <v>37.955671202520193</v>
      </c>
      <c r="O218" s="124">
        <v>3944</v>
      </c>
      <c r="P218" s="124" t="s">
        <v>351</v>
      </c>
      <c r="Q218" s="124">
        <v>1</v>
      </c>
      <c r="R218" s="124" t="s">
        <v>151</v>
      </c>
    </row>
    <row r="219" spans="2:19" x14ac:dyDescent="0.15">
      <c r="B219" s="91" t="s">
        <v>2</v>
      </c>
      <c r="C219" s="33" t="s">
        <v>181</v>
      </c>
      <c r="D219" s="33" t="s">
        <v>180</v>
      </c>
      <c r="E219" s="33" t="s">
        <v>10</v>
      </c>
      <c r="F219" s="33" t="s">
        <v>184</v>
      </c>
      <c r="G219" s="33" t="s">
        <v>11</v>
      </c>
      <c r="H219" s="33" t="s">
        <v>12</v>
      </c>
      <c r="I219" s="33" t="s">
        <v>47</v>
      </c>
      <c r="J219" s="33" t="s">
        <v>13</v>
      </c>
      <c r="K219" s="33" t="s">
        <v>14</v>
      </c>
      <c r="L219" s="33" t="s">
        <v>26</v>
      </c>
      <c r="M219" s="33" t="s">
        <v>322</v>
      </c>
      <c r="N219" s="133" t="s">
        <v>182</v>
      </c>
      <c r="O219" s="33" t="s">
        <v>8</v>
      </c>
      <c r="P219" s="33" t="s">
        <v>23</v>
      </c>
      <c r="Q219" s="33"/>
      <c r="R219" s="33" t="s">
        <v>30</v>
      </c>
    </row>
    <row r="220" spans="2:19" x14ac:dyDescent="0.15">
      <c r="B220" s="124" t="s">
        <v>160</v>
      </c>
      <c r="C220" s="124" t="s">
        <v>364</v>
      </c>
      <c r="D220" s="125">
        <v>43293</v>
      </c>
      <c r="E220" s="125">
        <v>43385</v>
      </c>
      <c r="F220" s="124">
        <v>98000</v>
      </c>
      <c r="G220" s="124">
        <v>92</v>
      </c>
      <c r="H220" s="124">
        <v>0.25205479452054796</v>
      </c>
      <c r="I220" s="124">
        <v>0</v>
      </c>
      <c r="J220" s="124">
        <v>0.3</v>
      </c>
      <c r="K220" s="124">
        <v>-1308.4811218002706</v>
      </c>
      <c r="L220" s="124"/>
      <c r="M220" s="124">
        <v>0</v>
      </c>
      <c r="N220" s="126">
        <v>1308.4811218002706</v>
      </c>
      <c r="O220" s="124">
        <v>113990</v>
      </c>
      <c r="P220" s="124" t="s">
        <v>366</v>
      </c>
      <c r="Q220" s="124">
        <v>-1</v>
      </c>
      <c r="R220" s="124" t="s">
        <v>20</v>
      </c>
    </row>
    <row r="221" spans="2:19" x14ac:dyDescent="0.15">
      <c r="B221" s="91" t="s">
        <v>2</v>
      </c>
      <c r="C221" s="33" t="s">
        <v>181</v>
      </c>
      <c r="D221" s="33" t="s">
        <v>180</v>
      </c>
      <c r="E221" s="33" t="s">
        <v>10</v>
      </c>
      <c r="F221" s="33" t="s">
        <v>184</v>
      </c>
      <c r="G221" s="33" t="s">
        <v>11</v>
      </c>
      <c r="H221" s="33" t="s">
        <v>12</v>
      </c>
      <c r="I221" s="33" t="s">
        <v>47</v>
      </c>
      <c r="J221" s="33" t="s">
        <v>13</v>
      </c>
      <c r="K221" s="33" t="s">
        <v>14</v>
      </c>
      <c r="L221" s="33" t="s">
        <v>26</v>
      </c>
      <c r="M221" s="33" t="s">
        <v>322</v>
      </c>
      <c r="N221" s="133" t="s">
        <v>182</v>
      </c>
      <c r="O221" s="33" t="s">
        <v>8</v>
      </c>
      <c r="P221" s="33" t="s">
        <v>23</v>
      </c>
      <c r="Q221" s="33"/>
      <c r="R221" s="33" t="s">
        <v>30</v>
      </c>
    </row>
    <row r="222" spans="2:19" x14ac:dyDescent="0.15">
      <c r="B222" s="124" t="s">
        <v>160</v>
      </c>
      <c r="C222" s="124" t="s">
        <v>259</v>
      </c>
      <c r="D222" s="125">
        <v>43293</v>
      </c>
      <c r="E222" s="125">
        <v>43355</v>
      </c>
      <c r="F222" s="124">
        <v>17070</v>
      </c>
      <c r="G222" s="124">
        <v>62</v>
      </c>
      <c r="H222" s="124">
        <v>0.16986301369863013</v>
      </c>
      <c r="I222" s="124">
        <v>0</v>
      </c>
      <c r="J222" s="124">
        <v>0.2</v>
      </c>
      <c r="K222" s="124">
        <v>-6.9994028408404745</v>
      </c>
      <c r="L222" s="124"/>
      <c r="M222" s="124">
        <v>0</v>
      </c>
      <c r="N222" s="126">
        <v>6.9994028408404745</v>
      </c>
      <c r="O222" s="124">
        <v>14285</v>
      </c>
      <c r="P222" s="124" t="s">
        <v>368</v>
      </c>
      <c r="Q222" s="124">
        <v>-1</v>
      </c>
      <c r="R222" s="124" t="s">
        <v>20</v>
      </c>
      <c r="S222" s="137">
        <f>N222/O222</f>
        <v>4.8998269799373293E-4</v>
      </c>
    </row>
    <row r="223" spans="2:19" x14ac:dyDescent="0.15">
      <c r="B223" s="124" t="s">
        <v>160</v>
      </c>
      <c r="C223" s="124" t="s">
        <v>259</v>
      </c>
      <c r="D223" s="125">
        <v>43293</v>
      </c>
      <c r="E223" s="125">
        <v>43355</v>
      </c>
      <c r="F223" s="124">
        <v>11500</v>
      </c>
      <c r="G223" s="124">
        <v>62</v>
      </c>
      <c r="H223" s="124">
        <v>0.16986301369863013</v>
      </c>
      <c r="I223" s="124">
        <v>0</v>
      </c>
      <c r="J223" s="124">
        <v>0.2</v>
      </c>
      <c r="K223" s="124">
        <v>-1.3952921194095254</v>
      </c>
      <c r="L223" s="124"/>
      <c r="M223" s="124">
        <v>0</v>
      </c>
      <c r="N223" s="126">
        <v>1.3952921194095254</v>
      </c>
      <c r="O223" s="124">
        <v>14285</v>
      </c>
      <c r="P223" s="124" t="s">
        <v>366</v>
      </c>
      <c r="Q223" s="124">
        <v>-1</v>
      </c>
      <c r="R223" s="124" t="s">
        <v>20</v>
      </c>
      <c r="S223" s="137">
        <f>N223/O223</f>
        <v>9.7675332125273033E-5</v>
      </c>
    </row>
    <row r="224" spans="2:19" x14ac:dyDescent="0.15">
      <c r="B224" s="91" t="s">
        <v>2</v>
      </c>
      <c r="C224" s="33" t="s">
        <v>181</v>
      </c>
      <c r="D224" s="33" t="s">
        <v>180</v>
      </c>
      <c r="E224" s="33" t="s">
        <v>10</v>
      </c>
      <c r="F224" s="33" t="s">
        <v>184</v>
      </c>
      <c r="G224" s="33" t="s">
        <v>11</v>
      </c>
      <c r="H224" s="33" t="s">
        <v>12</v>
      </c>
      <c r="I224" s="33" t="s">
        <v>47</v>
      </c>
      <c r="J224" s="33" t="s">
        <v>13</v>
      </c>
      <c r="K224" s="33" t="s">
        <v>14</v>
      </c>
      <c r="L224" s="33" t="s">
        <v>26</v>
      </c>
      <c r="M224" s="33" t="s">
        <v>322</v>
      </c>
      <c r="N224" s="133" t="s">
        <v>182</v>
      </c>
      <c r="O224" s="33" t="s">
        <v>8</v>
      </c>
      <c r="P224" s="33" t="s">
        <v>23</v>
      </c>
      <c r="Q224" s="33"/>
      <c r="R224" s="33" t="s">
        <v>30</v>
      </c>
    </row>
    <row r="225" spans="1:18" x14ac:dyDescent="0.15">
      <c r="A225" s="130">
        <v>43294</v>
      </c>
      <c r="B225" s="124" t="s">
        <v>160</v>
      </c>
      <c r="C225" s="124" t="s">
        <v>97</v>
      </c>
      <c r="D225" s="125">
        <v>43313</v>
      </c>
      <c r="E225" s="125">
        <v>43346</v>
      </c>
      <c r="F225" s="124">
        <v>100</v>
      </c>
      <c r="G225" s="124">
        <v>33</v>
      </c>
      <c r="H225" s="124">
        <v>9.0410958904109592E-2</v>
      </c>
      <c r="I225" s="124">
        <v>0</v>
      </c>
      <c r="J225" s="124">
        <v>0.2</v>
      </c>
      <c r="K225" s="124">
        <v>-2.3944174114397185</v>
      </c>
      <c r="L225" s="124"/>
      <c r="M225" s="124">
        <v>0</v>
      </c>
      <c r="N225" s="126">
        <v>2.61</v>
      </c>
      <c r="O225" s="124">
        <v>100</v>
      </c>
      <c r="P225" s="124" t="s">
        <v>352</v>
      </c>
      <c r="Q225" s="124">
        <v>-1</v>
      </c>
      <c r="R225" s="124" t="s">
        <v>20</v>
      </c>
    </row>
    <row r="226" spans="1:18" x14ac:dyDescent="0.15">
      <c r="B226" s="124" t="s">
        <v>160</v>
      </c>
      <c r="C226" s="124" t="s">
        <v>97</v>
      </c>
      <c r="D226" s="125">
        <v>43313</v>
      </c>
      <c r="E226" s="125">
        <v>43346</v>
      </c>
      <c r="F226" s="124" t="s">
        <v>360</v>
      </c>
      <c r="G226" s="124">
        <v>33</v>
      </c>
      <c r="H226" s="124">
        <v>9.0410958904109592E-2</v>
      </c>
      <c r="I226" s="124"/>
      <c r="J226" s="124"/>
      <c r="K226" s="124">
        <v>-2.3253974158753397</v>
      </c>
      <c r="L226" s="124">
        <v>80</v>
      </c>
      <c r="M226" s="124">
        <v>7.2328767123287674E-2</v>
      </c>
      <c r="N226" s="126">
        <v>2.54</v>
      </c>
      <c r="O226" s="124">
        <v>100</v>
      </c>
      <c r="P226" s="124" t="s">
        <v>370</v>
      </c>
      <c r="Q226" s="124"/>
      <c r="R226" s="124" t="s">
        <v>20</v>
      </c>
    </row>
    <row r="227" spans="1:18" x14ac:dyDescent="0.15">
      <c r="B227" s="91" t="s">
        <v>2</v>
      </c>
      <c r="C227" s="33" t="s">
        <v>181</v>
      </c>
      <c r="D227" s="33" t="s">
        <v>180</v>
      </c>
      <c r="E227" s="33" t="s">
        <v>10</v>
      </c>
      <c r="F227" s="33" t="s">
        <v>184</v>
      </c>
      <c r="G227" s="33" t="s">
        <v>11</v>
      </c>
      <c r="H227" s="33" t="s">
        <v>12</v>
      </c>
      <c r="I227" s="33" t="s">
        <v>47</v>
      </c>
      <c r="J227" s="33" t="s">
        <v>13</v>
      </c>
      <c r="K227" s="33" t="s">
        <v>14</v>
      </c>
      <c r="L227" s="33" t="s">
        <v>26</v>
      </c>
      <c r="M227" s="33" t="s">
        <v>322</v>
      </c>
      <c r="N227" s="133" t="s">
        <v>182</v>
      </c>
      <c r="O227" s="33" t="s">
        <v>8</v>
      </c>
      <c r="P227" s="33" t="s">
        <v>23</v>
      </c>
      <c r="Q227" s="33"/>
      <c r="R227" s="33" t="s">
        <v>30</v>
      </c>
    </row>
    <row r="228" spans="1:18" x14ac:dyDescent="0.15">
      <c r="B228" s="124" t="s">
        <v>160</v>
      </c>
      <c r="C228" s="124" t="s">
        <v>240</v>
      </c>
      <c r="D228" s="125">
        <v>43294</v>
      </c>
      <c r="E228" s="125">
        <v>43325</v>
      </c>
      <c r="F228" s="124">
        <v>4400</v>
      </c>
      <c r="G228" s="124">
        <v>31</v>
      </c>
      <c r="H228" s="124">
        <v>8.4931506849315067E-2</v>
      </c>
      <c r="I228" s="124">
        <v>0</v>
      </c>
      <c r="J228" s="124">
        <v>0.09</v>
      </c>
      <c r="K228" s="124">
        <v>1.2199734093161965</v>
      </c>
      <c r="L228" s="124">
        <v>0</v>
      </c>
      <c r="M228" s="124">
        <v>0</v>
      </c>
      <c r="N228" s="126">
        <v>1.2199734093161965</v>
      </c>
      <c r="O228" s="124">
        <v>4628</v>
      </c>
      <c r="P228" s="124" t="s">
        <v>25</v>
      </c>
      <c r="Q228" s="124">
        <v>1</v>
      </c>
      <c r="R228" s="124" t="s">
        <v>151</v>
      </c>
    </row>
    <row r="229" spans="1:18" x14ac:dyDescent="0.15">
      <c r="B229" s="124" t="s">
        <v>160</v>
      </c>
      <c r="C229" s="124" t="s">
        <v>372</v>
      </c>
      <c r="D229" s="125">
        <v>43294</v>
      </c>
      <c r="E229" s="125">
        <v>43325</v>
      </c>
      <c r="F229" s="124">
        <v>9000</v>
      </c>
      <c r="G229" s="124">
        <v>31</v>
      </c>
      <c r="H229" s="124">
        <v>8.4931506849315067E-2</v>
      </c>
      <c r="I229" s="124">
        <v>0</v>
      </c>
      <c r="J229" s="124">
        <v>0.2</v>
      </c>
      <c r="K229" s="124">
        <v>2.1628008411395285</v>
      </c>
      <c r="L229" s="124">
        <v>0</v>
      </c>
      <c r="M229" s="124">
        <v>0</v>
      </c>
      <c r="N229" s="126">
        <v>2.1628008411395285</v>
      </c>
      <c r="O229" s="124">
        <v>10280</v>
      </c>
      <c r="P229" s="124" t="s">
        <v>25</v>
      </c>
      <c r="Q229" s="124">
        <v>1</v>
      </c>
      <c r="R229" s="124" t="s">
        <v>151</v>
      </c>
    </row>
    <row r="230" spans="1:18" x14ac:dyDescent="0.15">
      <c r="B230" s="91" t="s">
        <v>2</v>
      </c>
      <c r="C230" s="33" t="s">
        <v>181</v>
      </c>
      <c r="D230" s="33" t="s">
        <v>180</v>
      </c>
      <c r="E230" s="33" t="s">
        <v>10</v>
      </c>
      <c r="F230" s="33" t="s">
        <v>184</v>
      </c>
      <c r="G230" s="33" t="s">
        <v>11</v>
      </c>
      <c r="H230" s="33" t="s">
        <v>12</v>
      </c>
      <c r="I230" s="33" t="s">
        <v>47</v>
      </c>
      <c r="J230" s="33" t="s">
        <v>13</v>
      </c>
      <c r="K230" s="33" t="s">
        <v>14</v>
      </c>
      <c r="L230" s="33" t="s">
        <v>26</v>
      </c>
      <c r="M230" s="33" t="s">
        <v>322</v>
      </c>
      <c r="N230" s="133" t="s">
        <v>182</v>
      </c>
      <c r="O230" s="33" t="s">
        <v>8</v>
      </c>
      <c r="P230" s="33" t="s">
        <v>23</v>
      </c>
      <c r="Q230" s="33"/>
      <c r="R230" s="33" t="s">
        <v>30</v>
      </c>
    </row>
    <row r="231" spans="1:18" x14ac:dyDescent="0.15">
      <c r="B231" s="124" t="s">
        <v>160</v>
      </c>
      <c r="C231" s="124" t="s">
        <v>374</v>
      </c>
      <c r="D231" s="125">
        <v>43294</v>
      </c>
      <c r="E231" s="125">
        <v>43434</v>
      </c>
      <c r="F231" s="124">
        <v>3500</v>
      </c>
      <c r="G231" s="124">
        <v>140</v>
      </c>
      <c r="H231" s="124">
        <v>0.38356164383561642</v>
      </c>
      <c r="I231" s="124">
        <v>0</v>
      </c>
      <c r="J231" s="124">
        <v>0.28999999999999998</v>
      </c>
      <c r="K231" s="124">
        <v>-117.34276992854575</v>
      </c>
      <c r="L231" s="124">
        <v>0</v>
      </c>
      <c r="M231" s="124">
        <v>0</v>
      </c>
      <c r="N231" s="126">
        <v>116</v>
      </c>
      <c r="O231" s="124">
        <v>3872</v>
      </c>
      <c r="P231" s="124" t="s">
        <v>25</v>
      </c>
      <c r="Q231" s="124">
        <v>-1</v>
      </c>
      <c r="R231" s="124" t="s">
        <v>20</v>
      </c>
    </row>
    <row r="232" spans="1:18" x14ac:dyDescent="0.15">
      <c r="B232" s="124" t="s">
        <v>160</v>
      </c>
      <c r="C232" s="124" t="s">
        <v>374</v>
      </c>
      <c r="D232" s="125">
        <v>43294</v>
      </c>
      <c r="E232" s="125">
        <v>43434</v>
      </c>
      <c r="F232" s="124">
        <v>3300</v>
      </c>
      <c r="G232" s="124">
        <v>140</v>
      </c>
      <c r="H232" s="124">
        <v>0.38356164383561642</v>
      </c>
      <c r="I232" s="124">
        <v>0</v>
      </c>
      <c r="J232" s="124">
        <v>0.28999999999999998</v>
      </c>
      <c r="K232" s="124">
        <v>-65.004832511004111</v>
      </c>
      <c r="L232" s="124">
        <v>0</v>
      </c>
      <c r="M232" s="124">
        <v>0</v>
      </c>
      <c r="N232" s="126">
        <v>64</v>
      </c>
      <c r="O232" s="124">
        <v>3872</v>
      </c>
      <c r="P232" s="124" t="s">
        <v>25</v>
      </c>
      <c r="Q232" s="124">
        <v>-1</v>
      </c>
      <c r="R232" s="124" t="s">
        <v>20</v>
      </c>
    </row>
    <row r="233" spans="1:18" x14ac:dyDescent="0.15">
      <c r="B233" s="91" t="s">
        <v>2</v>
      </c>
      <c r="C233" s="33" t="s">
        <v>181</v>
      </c>
      <c r="D233" s="33" t="s">
        <v>180</v>
      </c>
      <c r="E233" s="33" t="s">
        <v>10</v>
      </c>
      <c r="F233" s="33" t="s">
        <v>184</v>
      </c>
      <c r="G233" s="33" t="s">
        <v>11</v>
      </c>
      <c r="H233" s="33" t="s">
        <v>12</v>
      </c>
      <c r="I233" s="33" t="s">
        <v>47</v>
      </c>
      <c r="J233" s="33" t="s">
        <v>13</v>
      </c>
      <c r="K233" s="33" t="s">
        <v>14</v>
      </c>
      <c r="L233" s="33" t="s">
        <v>26</v>
      </c>
      <c r="M233" s="33" t="s">
        <v>322</v>
      </c>
      <c r="N233" s="133" t="s">
        <v>182</v>
      </c>
      <c r="O233" s="33" t="s">
        <v>8</v>
      </c>
      <c r="P233" s="33" t="s">
        <v>23</v>
      </c>
      <c r="Q233" s="33"/>
      <c r="R233" s="33" t="s">
        <v>30</v>
      </c>
    </row>
    <row r="234" spans="1:18" x14ac:dyDescent="0.15">
      <c r="B234" s="124" t="s">
        <v>160</v>
      </c>
      <c r="C234" s="124" t="s">
        <v>65</v>
      </c>
      <c r="D234" s="125">
        <v>43294</v>
      </c>
      <c r="E234" s="125">
        <v>43325</v>
      </c>
      <c r="F234" s="124">
        <v>101</v>
      </c>
      <c r="G234" s="124">
        <v>31</v>
      </c>
      <c r="H234" s="124">
        <v>8.4931506849315067E-2</v>
      </c>
      <c r="I234" s="124">
        <v>0</v>
      </c>
      <c r="J234" s="124">
        <v>0.19</v>
      </c>
      <c r="K234" s="124">
        <v>-1.7525292421227263</v>
      </c>
      <c r="L234" s="124">
        <v>240</v>
      </c>
      <c r="M234" s="124">
        <v>0.20383561643835618</v>
      </c>
      <c r="N234" s="126">
        <v>2</v>
      </c>
      <c r="O234" s="124">
        <v>100</v>
      </c>
      <c r="P234" s="124" t="s">
        <v>24</v>
      </c>
      <c r="Q234" s="124">
        <v>-1</v>
      </c>
      <c r="R234" s="124" t="s">
        <v>20</v>
      </c>
    </row>
    <row r="235" spans="1:18" x14ac:dyDescent="0.15">
      <c r="B235" s="124" t="s">
        <v>160</v>
      </c>
      <c r="C235" s="124" t="s">
        <v>65</v>
      </c>
      <c r="D235" s="125">
        <v>43294</v>
      </c>
      <c r="E235" s="125">
        <v>43325</v>
      </c>
      <c r="F235" s="124">
        <v>99</v>
      </c>
      <c r="G235" s="124">
        <v>31</v>
      </c>
      <c r="H235" s="124">
        <v>8.4931506849315067E-2</v>
      </c>
      <c r="I235" s="124">
        <v>0</v>
      </c>
      <c r="J235" s="124">
        <v>0.19</v>
      </c>
      <c r="K235" s="124">
        <v>-1.7308360207268976</v>
      </c>
      <c r="L235" s="124">
        <v>240</v>
      </c>
      <c r="M235" s="124">
        <v>0.20383561643835618</v>
      </c>
      <c r="N235" s="126">
        <v>2</v>
      </c>
      <c r="O235" s="124">
        <v>100</v>
      </c>
      <c r="P235" s="124" t="s">
        <v>25</v>
      </c>
      <c r="Q235" s="124">
        <v>-1</v>
      </c>
      <c r="R235" s="124" t="s">
        <v>20</v>
      </c>
    </row>
    <row r="236" spans="1:18" x14ac:dyDescent="0.15">
      <c r="B236" s="124" t="s">
        <v>160</v>
      </c>
      <c r="C236" s="124" t="s">
        <v>65</v>
      </c>
      <c r="D236" s="125">
        <v>43294</v>
      </c>
      <c r="E236" s="125">
        <v>43325</v>
      </c>
      <c r="F236" s="124">
        <v>104</v>
      </c>
      <c r="G236" s="124">
        <v>31</v>
      </c>
      <c r="H236" s="124">
        <v>8.4931506849315067E-2</v>
      </c>
      <c r="I236" s="124">
        <v>0</v>
      </c>
      <c r="J236" s="124">
        <v>0.19</v>
      </c>
      <c r="K236" s="124">
        <v>-0.79399027505212061</v>
      </c>
      <c r="L236" s="124">
        <v>240</v>
      </c>
      <c r="M236" s="124">
        <v>0.20383561643835618</v>
      </c>
      <c r="N236" s="126">
        <v>0.99782589149047674</v>
      </c>
      <c r="O236" s="124">
        <v>100</v>
      </c>
      <c r="P236" s="124" t="s">
        <v>24</v>
      </c>
      <c r="Q236" s="124">
        <v>-1</v>
      </c>
      <c r="R236" s="124" t="s">
        <v>20</v>
      </c>
    </row>
    <row r="237" spans="1:18" x14ac:dyDescent="0.15">
      <c r="B237" s="124" t="s">
        <v>160</v>
      </c>
      <c r="C237" s="124" t="s">
        <v>65</v>
      </c>
      <c r="D237" s="125">
        <v>43294</v>
      </c>
      <c r="E237" s="125">
        <v>43325</v>
      </c>
      <c r="F237" s="124">
        <v>96</v>
      </c>
      <c r="G237" s="124">
        <v>31</v>
      </c>
      <c r="H237" s="124">
        <v>8.4931506849315067E-2</v>
      </c>
      <c r="I237" s="124">
        <v>0</v>
      </c>
      <c r="J237" s="124">
        <v>0.19</v>
      </c>
      <c r="K237" s="124">
        <v>-0.72605297121326018</v>
      </c>
      <c r="L237" s="124">
        <v>240</v>
      </c>
      <c r="M237" s="124">
        <v>0.20383561643835618</v>
      </c>
      <c r="N237" s="126">
        <v>1</v>
      </c>
      <c r="O237" s="124">
        <v>100</v>
      </c>
      <c r="P237" s="124" t="s">
        <v>25</v>
      </c>
      <c r="Q237" s="124">
        <v>-1</v>
      </c>
      <c r="R237" s="124" t="s">
        <v>20</v>
      </c>
    </row>
    <row r="238" spans="1:18" x14ac:dyDescent="0.15">
      <c r="B238" s="91" t="s">
        <v>2</v>
      </c>
      <c r="C238" s="33" t="s">
        <v>181</v>
      </c>
      <c r="D238" s="33" t="s">
        <v>180</v>
      </c>
      <c r="E238" s="33" t="s">
        <v>10</v>
      </c>
      <c r="F238" s="33" t="s">
        <v>184</v>
      </c>
      <c r="G238" s="33" t="s">
        <v>11</v>
      </c>
      <c r="H238" s="33" t="s">
        <v>12</v>
      </c>
      <c r="I238" s="33" t="s">
        <v>47</v>
      </c>
      <c r="J238" s="33" t="s">
        <v>13</v>
      </c>
      <c r="K238" s="33" t="s">
        <v>14</v>
      </c>
      <c r="L238" s="33" t="s">
        <v>26</v>
      </c>
      <c r="M238" s="33" t="s">
        <v>322</v>
      </c>
      <c r="N238" s="133" t="s">
        <v>182</v>
      </c>
      <c r="O238" s="33" t="s">
        <v>8</v>
      </c>
      <c r="P238" s="33" t="s">
        <v>23</v>
      </c>
      <c r="Q238" s="33"/>
      <c r="R238" s="33" t="s">
        <v>30</v>
      </c>
    </row>
    <row r="239" spans="1:18" x14ac:dyDescent="0.15">
      <c r="B239" s="124" t="s">
        <v>160</v>
      </c>
      <c r="C239" s="124" t="s">
        <v>65</v>
      </c>
      <c r="D239" s="125">
        <v>43294</v>
      </c>
      <c r="E239" s="125">
        <v>43325</v>
      </c>
      <c r="F239" s="124" t="s">
        <v>381</v>
      </c>
      <c r="G239" s="124">
        <v>31</v>
      </c>
      <c r="H239" s="124">
        <v>8.4931506849315067E-2</v>
      </c>
      <c r="I239" s="124"/>
      <c r="J239" s="124"/>
      <c r="K239" s="124">
        <v>-1.7742769068469428</v>
      </c>
      <c r="L239" s="124">
        <v>240</v>
      </c>
      <c r="M239" s="124">
        <v>0.20383561643835618</v>
      </c>
      <c r="N239" s="126">
        <v>2</v>
      </c>
      <c r="O239" s="124">
        <v>100</v>
      </c>
      <c r="P239" s="124" t="s">
        <v>379</v>
      </c>
      <c r="Q239" s="124"/>
      <c r="R239" s="124" t="s">
        <v>20</v>
      </c>
    </row>
    <row r="240" spans="1:18" x14ac:dyDescent="0.15">
      <c r="B240" s="124" t="s">
        <v>160</v>
      </c>
      <c r="C240" s="124" t="s">
        <v>65</v>
      </c>
      <c r="D240" s="125">
        <v>43294</v>
      </c>
      <c r="E240" s="125">
        <v>43325</v>
      </c>
      <c r="F240" s="124" t="s">
        <v>378</v>
      </c>
      <c r="G240" s="124">
        <v>31</v>
      </c>
      <c r="H240" s="124">
        <v>8.4931506849315067E-2</v>
      </c>
      <c r="I240" s="124"/>
      <c r="J240" s="124"/>
      <c r="K240" s="124">
        <v>-1.7615376457374197</v>
      </c>
      <c r="L240" s="124">
        <v>240</v>
      </c>
      <c r="M240" s="124">
        <v>0.20383561643835618</v>
      </c>
      <c r="N240" s="126">
        <v>2</v>
      </c>
      <c r="O240" s="124">
        <v>100</v>
      </c>
      <c r="P240" s="124" t="s">
        <v>380</v>
      </c>
      <c r="Q240" s="124"/>
      <c r="R240" s="124" t="s">
        <v>20</v>
      </c>
    </row>
    <row r="241" spans="2:18" x14ac:dyDescent="0.15">
      <c r="B241" s="124" t="s">
        <v>160</v>
      </c>
      <c r="C241" s="124" t="s">
        <v>65</v>
      </c>
      <c r="D241" s="125">
        <v>43294</v>
      </c>
      <c r="E241" s="125">
        <v>43325</v>
      </c>
      <c r="F241" s="124" t="s">
        <v>382</v>
      </c>
      <c r="G241" s="124">
        <v>31</v>
      </c>
      <c r="H241" s="124">
        <v>8.4931506849315067E-2</v>
      </c>
      <c r="I241" s="124"/>
      <c r="J241" s="124"/>
      <c r="K241" s="124">
        <v>-0.7649005679012717</v>
      </c>
      <c r="L241" s="124">
        <v>240</v>
      </c>
      <c r="M241" s="124">
        <v>0.20383561643835618</v>
      </c>
      <c r="N241" s="126">
        <v>1</v>
      </c>
      <c r="O241" s="124">
        <v>100</v>
      </c>
      <c r="P241" s="124" t="s">
        <v>379</v>
      </c>
      <c r="Q241" s="124"/>
      <c r="R241" s="124" t="s">
        <v>20</v>
      </c>
    </row>
    <row r="242" spans="2:18" x14ac:dyDescent="0.15">
      <c r="B242" s="124" t="s">
        <v>160</v>
      </c>
      <c r="C242" s="124" t="s">
        <v>65</v>
      </c>
      <c r="D242" s="125">
        <v>43294</v>
      </c>
      <c r="E242" s="125">
        <v>43325</v>
      </c>
      <c r="F242" s="124" t="s">
        <v>383</v>
      </c>
      <c r="G242" s="124">
        <v>31</v>
      </c>
      <c r="H242" s="124">
        <v>8.4931506849315067E-2</v>
      </c>
      <c r="I242" s="124"/>
      <c r="J242" s="124"/>
      <c r="K242" s="124">
        <v>-0.79497989284460857</v>
      </c>
      <c r="L242" s="124">
        <v>240</v>
      </c>
      <c r="M242" s="124">
        <v>0.20383561643835618</v>
      </c>
      <c r="N242" s="126">
        <v>0.9988155092829647</v>
      </c>
      <c r="O242" s="124">
        <v>100</v>
      </c>
      <c r="P242" s="124" t="s">
        <v>380</v>
      </c>
      <c r="Q242" s="124"/>
      <c r="R242" s="124" t="s">
        <v>20</v>
      </c>
    </row>
    <row r="243" spans="2:18" x14ac:dyDescent="0.15">
      <c r="B243" s="91" t="s">
        <v>2</v>
      </c>
      <c r="C243" s="33" t="s">
        <v>181</v>
      </c>
      <c r="D243" s="33" t="s">
        <v>180</v>
      </c>
      <c r="E243" s="33" t="s">
        <v>10</v>
      </c>
      <c r="F243" s="33" t="s">
        <v>184</v>
      </c>
      <c r="G243" s="33" t="s">
        <v>11</v>
      </c>
      <c r="H243" s="33" t="s">
        <v>12</v>
      </c>
      <c r="I243" s="33" t="s">
        <v>47</v>
      </c>
      <c r="J243" s="33" t="s">
        <v>13</v>
      </c>
      <c r="K243" s="33" t="s">
        <v>14</v>
      </c>
      <c r="L243" s="33" t="s">
        <v>26</v>
      </c>
      <c r="M243" s="33" t="s">
        <v>322</v>
      </c>
      <c r="N243" s="133" t="s">
        <v>182</v>
      </c>
      <c r="O243" s="33" t="s">
        <v>8</v>
      </c>
      <c r="P243" s="33" t="s">
        <v>23</v>
      </c>
      <c r="Q243" s="33"/>
      <c r="R243" s="33" t="s">
        <v>30</v>
      </c>
    </row>
    <row r="244" spans="2:18" x14ac:dyDescent="0.15">
      <c r="B244" s="124" t="s">
        <v>160</v>
      </c>
      <c r="C244" s="124" t="s">
        <v>65</v>
      </c>
      <c r="D244" s="125">
        <v>43294</v>
      </c>
      <c r="E244" s="125">
        <v>43325</v>
      </c>
      <c r="F244" s="124">
        <v>100</v>
      </c>
      <c r="G244" s="124">
        <v>31</v>
      </c>
      <c r="H244" s="124">
        <v>8.4931506849315067E-2</v>
      </c>
      <c r="I244" s="124">
        <v>0</v>
      </c>
      <c r="J244" s="124">
        <v>0.19500000000000001</v>
      </c>
      <c r="K244" s="124">
        <v>-2.2629916380370503</v>
      </c>
      <c r="L244" s="124"/>
      <c r="M244" s="124">
        <v>0</v>
      </c>
      <c r="N244" s="126">
        <v>2.2629916380370503</v>
      </c>
      <c r="O244" s="124">
        <v>100</v>
      </c>
      <c r="P244" s="124" t="s">
        <v>24</v>
      </c>
      <c r="Q244" s="124">
        <v>-1</v>
      </c>
      <c r="R244" s="124" t="s">
        <v>20</v>
      </c>
    </row>
    <row r="245" spans="2:18" x14ac:dyDescent="0.15">
      <c r="B245" s="124" t="s">
        <v>160</v>
      </c>
      <c r="C245" s="124" t="s">
        <v>65</v>
      </c>
      <c r="D245" s="125">
        <v>43294</v>
      </c>
      <c r="E245" s="125">
        <v>43325</v>
      </c>
      <c r="F245" s="124">
        <v>100</v>
      </c>
      <c r="G245" s="124">
        <v>31</v>
      </c>
      <c r="H245" s="124">
        <v>8.4931506849315067E-2</v>
      </c>
      <c r="I245" s="124">
        <v>0</v>
      </c>
      <c r="J245" s="124">
        <v>0.19500000000000001</v>
      </c>
      <c r="K245" s="124">
        <v>-2.2629916380370503</v>
      </c>
      <c r="L245" s="124"/>
      <c r="M245" s="124">
        <v>0</v>
      </c>
      <c r="N245" s="126">
        <v>2.2629916380370503</v>
      </c>
      <c r="O245" s="124">
        <v>100</v>
      </c>
      <c r="P245" s="124" t="s">
        <v>263</v>
      </c>
      <c r="Q245" s="124">
        <v>-1</v>
      </c>
      <c r="R245" s="124" t="s">
        <v>20</v>
      </c>
    </row>
    <row r="246" spans="2:18" x14ac:dyDescent="0.15">
      <c r="B246" s="91" t="s">
        <v>2</v>
      </c>
      <c r="C246" s="33" t="s">
        <v>181</v>
      </c>
      <c r="D246" s="33" t="s">
        <v>180</v>
      </c>
      <c r="E246" s="33" t="s">
        <v>10</v>
      </c>
      <c r="F246" s="33" t="s">
        <v>184</v>
      </c>
      <c r="G246" s="33" t="s">
        <v>11</v>
      </c>
      <c r="H246" s="33" t="s">
        <v>12</v>
      </c>
      <c r="I246" s="33" t="s">
        <v>47</v>
      </c>
      <c r="J246" s="33" t="s">
        <v>13</v>
      </c>
      <c r="K246" s="33" t="s">
        <v>14</v>
      </c>
      <c r="L246" s="33" t="s">
        <v>26</v>
      </c>
      <c r="M246" s="33" t="s">
        <v>28</v>
      </c>
      <c r="N246" s="133" t="s">
        <v>182</v>
      </c>
      <c r="O246" s="33" t="s">
        <v>8</v>
      </c>
      <c r="P246" s="33" t="s">
        <v>23</v>
      </c>
      <c r="Q246" s="33"/>
      <c r="R246" s="33" t="s">
        <v>30</v>
      </c>
    </row>
    <row r="247" spans="2:18" x14ac:dyDescent="0.15">
      <c r="B247" s="124" t="s">
        <v>160</v>
      </c>
      <c r="C247" s="124" t="s">
        <v>116</v>
      </c>
      <c r="D247" s="125">
        <v>43297</v>
      </c>
      <c r="E247" s="125">
        <v>43308</v>
      </c>
      <c r="F247" s="124">
        <v>100</v>
      </c>
      <c r="G247" s="124">
        <v>11</v>
      </c>
      <c r="H247" s="124">
        <v>2.7397260273972601E-2</v>
      </c>
      <c r="I247" s="124">
        <v>0</v>
      </c>
      <c r="J247" s="124">
        <v>9.5000000000000001E-2</v>
      </c>
      <c r="K247" s="124">
        <v>-0.62696716222549043</v>
      </c>
      <c r="L247" s="124">
        <v>0</v>
      </c>
      <c r="M247" s="124">
        <v>0</v>
      </c>
      <c r="N247" s="126">
        <v>0.62696716222549043</v>
      </c>
      <c r="O247" s="124">
        <v>100</v>
      </c>
      <c r="P247" s="124" t="s">
        <v>24</v>
      </c>
      <c r="Q247" s="124">
        <v>-1</v>
      </c>
      <c r="R247" s="124" t="s">
        <v>151</v>
      </c>
    </row>
    <row r="248" spans="2:18" x14ac:dyDescent="0.15">
      <c r="B248" s="91" t="s">
        <v>2</v>
      </c>
      <c r="C248" s="33" t="s">
        <v>181</v>
      </c>
      <c r="D248" s="33" t="s">
        <v>180</v>
      </c>
      <c r="E248" s="33" t="s">
        <v>10</v>
      </c>
      <c r="F248" s="33" t="s">
        <v>184</v>
      </c>
      <c r="G248" s="33" t="s">
        <v>11</v>
      </c>
      <c r="H248" s="33" t="s">
        <v>12</v>
      </c>
      <c r="I248" s="33" t="s">
        <v>47</v>
      </c>
      <c r="J248" s="33" t="s">
        <v>13</v>
      </c>
      <c r="K248" s="33" t="s">
        <v>14</v>
      </c>
      <c r="L248" s="33" t="s">
        <v>26</v>
      </c>
      <c r="M248" s="33" t="s">
        <v>28</v>
      </c>
      <c r="N248" s="133" t="s">
        <v>182</v>
      </c>
      <c r="O248" s="33" t="s">
        <v>8</v>
      </c>
      <c r="P248" s="33" t="s">
        <v>23</v>
      </c>
      <c r="Q248" s="33"/>
      <c r="R248" s="33" t="s">
        <v>30</v>
      </c>
    </row>
    <row r="249" spans="2:18" x14ac:dyDescent="0.15">
      <c r="B249" s="124" t="s">
        <v>160</v>
      </c>
      <c r="C249" s="124" t="s">
        <v>388</v>
      </c>
      <c r="D249" s="125">
        <v>43297</v>
      </c>
      <c r="E249" s="125">
        <v>43328</v>
      </c>
      <c r="F249" s="124">
        <v>100</v>
      </c>
      <c r="G249" s="124">
        <v>31</v>
      </c>
      <c r="H249" s="124">
        <v>8.4931506849315067E-2</v>
      </c>
      <c r="I249" s="124">
        <v>0</v>
      </c>
      <c r="J249" s="124">
        <v>6.25E-2</v>
      </c>
      <c r="K249" s="124">
        <v>0.72540540757271543</v>
      </c>
      <c r="L249" s="124">
        <v>0</v>
      </c>
      <c r="M249" s="124">
        <v>0</v>
      </c>
      <c r="N249" s="126">
        <v>0.72540540757271543</v>
      </c>
      <c r="O249" s="124">
        <v>100</v>
      </c>
      <c r="P249" s="124" t="s">
        <v>24</v>
      </c>
      <c r="Q249" s="124">
        <v>1</v>
      </c>
      <c r="R249" s="124" t="s">
        <v>151</v>
      </c>
    </row>
    <row r="250" spans="2:18" x14ac:dyDescent="0.15">
      <c r="B250" s="124" t="s">
        <v>160</v>
      </c>
      <c r="C250" s="124" t="s">
        <v>388</v>
      </c>
      <c r="D250" s="125">
        <v>43297</v>
      </c>
      <c r="E250" s="125">
        <v>43328</v>
      </c>
      <c r="F250" s="124">
        <v>100</v>
      </c>
      <c r="G250" s="124">
        <v>31</v>
      </c>
      <c r="H250" s="124">
        <v>8.4931506849315067E-2</v>
      </c>
      <c r="I250" s="124">
        <v>0</v>
      </c>
      <c r="J250" s="124">
        <v>8.5000000000000006E-2</v>
      </c>
      <c r="K250" s="124">
        <v>-0.98653976806129151</v>
      </c>
      <c r="L250" s="124">
        <v>0</v>
      </c>
      <c r="M250" s="124">
        <v>0</v>
      </c>
      <c r="N250" s="126">
        <v>0.98653976806129151</v>
      </c>
      <c r="O250" s="124">
        <v>100</v>
      </c>
      <c r="P250" s="124" t="s">
        <v>24</v>
      </c>
      <c r="Q250" s="124">
        <v>-1</v>
      </c>
      <c r="R250" s="124" t="s">
        <v>20</v>
      </c>
    </row>
    <row r="251" spans="2:18" x14ac:dyDescent="0.15">
      <c r="B251" s="91" t="s">
        <v>2</v>
      </c>
      <c r="C251" s="33" t="s">
        <v>181</v>
      </c>
      <c r="D251" s="33" t="s">
        <v>180</v>
      </c>
      <c r="E251" s="33" t="s">
        <v>10</v>
      </c>
      <c r="F251" s="33" t="s">
        <v>184</v>
      </c>
      <c r="G251" s="33" t="s">
        <v>11</v>
      </c>
      <c r="H251" s="33" t="s">
        <v>12</v>
      </c>
      <c r="I251" s="33" t="s">
        <v>47</v>
      </c>
      <c r="J251" s="33" t="s">
        <v>13</v>
      </c>
      <c r="K251" s="33" t="s">
        <v>14</v>
      </c>
      <c r="L251" s="33" t="s">
        <v>26</v>
      </c>
      <c r="M251" s="33" t="s">
        <v>28</v>
      </c>
      <c r="N251" s="133" t="s">
        <v>182</v>
      </c>
      <c r="O251" s="33" t="s">
        <v>8</v>
      </c>
      <c r="P251" s="33" t="s">
        <v>23</v>
      </c>
      <c r="Q251" s="33"/>
      <c r="R251" s="33" t="s">
        <v>30</v>
      </c>
    </row>
    <row r="252" spans="2:18" x14ac:dyDescent="0.15">
      <c r="B252" s="124" t="s">
        <v>160</v>
      </c>
      <c r="C252" s="124" t="s">
        <v>390</v>
      </c>
      <c r="D252" s="125">
        <v>43298</v>
      </c>
      <c r="E252" s="125">
        <v>43420</v>
      </c>
      <c r="F252" s="124" t="s">
        <v>391</v>
      </c>
      <c r="G252" s="124">
        <v>122</v>
      </c>
      <c r="H252" s="124">
        <v>0.33424657534246577</v>
      </c>
      <c r="I252" s="124"/>
      <c r="J252" s="124"/>
      <c r="K252" s="124">
        <v>-1.3219205129363409</v>
      </c>
      <c r="L252" s="124">
        <v>2</v>
      </c>
      <c r="M252" s="124">
        <v>6.6849315068493158E-3</v>
      </c>
      <c r="N252" s="126">
        <v>1.3286054444431903</v>
      </c>
      <c r="O252" s="124">
        <v>100</v>
      </c>
      <c r="P252" s="124" t="s">
        <v>392</v>
      </c>
      <c r="Q252" s="124"/>
      <c r="R252" s="124"/>
    </row>
    <row r="253" spans="2:18" x14ac:dyDescent="0.15">
      <c r="B253" s="91" t="s">
        <v>2</v>
      </c>
      <c r="C253" s="33" t="s">
        <v>181</v>
      </c>
      <c r="D253" s="33" t="s">
        <v>180</v>
      </c>
      <c r="E253" s="33" t="s">
        <v>10</v>
      </c>
      <c r="F253" s="33" t="s">
        <v>184</v>
      </c>
      <c r="G253" s="33" t="s">
        <v>11</v>
      </c>
      <c r="H253" s="33" t="s">
        <v>12</v>
      </c>
      <c r="I253" s="33" t="s">
        <v>47</v>
      </c>
      <c r="J253" s="33" t="s">
        <v>13</v>
      </c>
      <c r="K253" s="33" t="s">
        <v>14</v>
      </c>
      <c r="L253" s="33" t="s">
        <v>26</v>
      </c>
      <c r="M253" s="33" t="s">
        <v>28</v>
      </c>
      <c r="N253" s="133" t="s">
        <v>182</v>
      </c>
      <c r="O253" s="33" t="s">
        <v>8</v>
      </c>
      <c r="P253" s="33" t="s">
        <v>23</v>
      </c>
      <c r="Q253" s="33"/>
      <c r="R253" s="33" t="s">
        <v>30</v>
      </c>
    </row>
    <row r="254" spans="2:18" x14ac:dyDescent="0.15">
      <c r="B254" s="124" t="s">
        <v>160</v>
      </c>
      <c r="C254" s="124" t="s">
        <v>397</v>
      </c>
      <c r="D254" s="125">
        <v>43298</v>
      </c>
      <c r="E254" s="125">
        <v>43360</v>
      </c>
      <c r="F254" s="124">
        <v>5000</v>
      </c>
      <c r="G254" s="124">
        <v>62</v>
      </c>
      <c r="H254" s="124">
        <v>0.16986301369863013</v>
      </c>
      <c r="I254" s="124">
        <v>0</v>
      </c>
      <c r="J254" s="124">
        <v>0.15</v>
      </c>
      <c r="K254" s="124">
        <v>-143.20463885884874</v>
      </c>
      <c r="L254" s="124">
        <v>0</v>
      </c>
      <c r="M254" s="124">
        <v>0</v>
      </c>
      <c r="N254" s="126">
        <v>143.20463885884874</v>
      </c>
      <c r="O254" s="124">
        <v>5038</v>
      </c>
      <c r="P254" s="124" t="s">
        <v>24</v>
      </c>
      <c r="Q254" s="124">
        <v>-1</v>
      </c>
      <c r="R254" s="124" t="s">
        <v>20</v>
      </c>
    </row>
    <row r="256" spans="2:18" x14ac:dyDescent="0.15">
      <c r="B256" s="91" t="s">
        <v>2</v>
      </c>
      <c r="C256" s="33" t="s">
        <v>181</v>
      </c>
      <c r="D256" s="33" t="s">
        <v>180</v>
      </c>
      <c r="E256" s="33" t="s">
        <v>10</v>
      </c>
      <c r="F256" s="33" t="s">
        <v>184</v>
      </c>
      <c r="G256" s="33" t="s">
        <v>11</v>
      </c>
      <c r="H256" s="33" t="s">
        <v>12</v>
      </c>
      <c r="I256" s="33" t="s">
        <v>47</v>
      </c>
      <c r="J256" s="33" t="s">
        <v>13</v>
      </c>
      <c r="K256" s="33" t="s">
        <v>14</v>
      </c>
      <c r="L256" s="33" t="s">
        <v>26</v>
      </c>
      <c r="M256" s="33" t="s">
        <v>28</v>
      </c>
      <c r="N256" s="133" t="s">
        <v>182</v>
      </c>
      <c r="O256" s="33" t="s">
        <v>8</v>
      </c>
      <c r="P256" s="33" t="s">
        <v>23</v>
      </c>
      <c r="Q256" s="33"/>
      <c r="R256" s="33" t="s">
        <v>30</v>
      </c>
    </row>
    <row r="257" spans="2:18" x14ac:dyDescent="0.15">
      <c r="B257" s="124" t="s">
        <v>160</v>
      </c>
      <c r="C257" s="124" t="s">
        <v>397</v>
      </c>
      <c r="D257" s="125">
        <v>43298</v>
      </c>
      <c r="E257" s="125">
        <v>43360</v>
      </c>
      <c r="F257" s="124">
        <v>5000</v>
      </c>
      <c r="G257" s="124">
        <v>62</v>
      </c>
      <c r="H257" s="124">
        <v>0.16986301369863013</v>
      </c>
      <c r="I257" s="124">
        <v>0</v>
      </c>
      <c r="J257" s="124">
        <v>0.15</v>
      </c>
      <c r="K257" s="124">
        <v>-122.8785774205503</v>
      </c>
      <c r="L257" s="124">
        <v>0</v>
      </c>
      <c r="M257" s="124">
        <v>0</v>
      </c>
      <c r="N257" s="126">
        <v>122.8785774205503</v>
      </c>
      <c r="O257" s="124">
        <v>5000</v>
      </c>
      <c r="P257" s="124" t="s">
        <v>24</v>
      </c>
      <c r="Q257" s="124">
        <v>-1</v>
      </c>
      <c r="R257" s="124" t="s">
        <v>20</v>
      </c>
    </row>
    <row r="258" spans="2:18" x14ac:dyDescent="0.15">
      <c r="B258" s="91" t="s">
        <v>2</v>
      </c>
      <c r="C258" s="33" t="s">
        <v>181</v>
      </c>
      <c r="D258" s="33" t="s">
        <v>180</v>
      </c>
      <c r="E258" s="33" t="s">
        <v>10</v>
      </c>
      <c r="F258" s="33" t="s">
        <v>184</v>
      </c>
      <c r="G258" s="33" t="s">
        <v>11</v>
      </c>
      <c r="H258" s="33" t="s">
        <v>12</v>
      </c>
      <c r="I258" s="33" t="s">
        <v>47</v>
      </c>
      <c r="J258" s="33" t="s">
        <v>13</v>
      </c>
      <c r="K258" s="33" t="s">
        <v>14</v>
      </c>
      <c r="L258" s="33" t="s">
        <v>26</v>
      </c>
      <c r="M258" s="33" t="s">
        <v>28</v>
      </c>
      <c r="N258" s="133" t="s">
        <v>182</v>
      </c>
      <c r="O258" s="33" t="s">
        <v>8</v>
      </c>
      <c r="P258" s="33" t="s">
        <v>23</v>
      </c>
      <c r="Q258" s="33"/>
      <c r="R258" s="33" t="s">
        <v>30</v>
      </c>
    </row>
    <row r="259" spans="2:18" x14ac:dyDescent="0.15">
      <c r="B259" s="124" t="s">
        <v>160</v>
      </c>
      <c r="C259" s="124" t="s">
        <v>397</v>
      </c>
      <c r="D259" s="125">
        <v>43298</v>
      </c>
      <c r="E259" s="125">
        <v>43360</v>
      </c>
      <c r="F259" s="124">
        <v>5000</v>
      </c>
      <c r="G259" s="124">
        <v>62</v>
      </c>
      <c r="H259" s="124">
        <v>0.16986301369863013</v>
      </c>
      <c r="I259" s="124">
        <v>0</v>
      </c>
      <c r="J259" s="124">
        <v>0.15</v>
      </c>
      <c r="K259" s="124">
        <v>-78.255446425911714</v>
      </c>
      <c r="L259" s="124">
        <v>0</v>
      </c>
      <c r="M259" s="124">
        <v>0</v>
      </c>
      <c r="N259" s="126">
        <v>78.255446425911714</v>
      </c>
      <c r="O259" s="124">
        <v>4900</v>
      </c>
      <c r="P259" s="124" t="s">
        <v>24</v>
      </c>
      <c r="Q259" s="124">
        <v>-1</v>
      </c>
      <c r="R259" s="124" t="s">
        <v>20</v>
      </c>
    </row>
    <row r="260" spans="2:18" x14ac:dyDescent="0.15">
      <c r="B260" s="91" t="s">
        <v>2</v>
      </c>
      <c r="C260" s="33" t="s">
        <v>181</v>
      </c>
      <c r="D260" s="33" t="s">
        <v>180</v>
      </c>
      <c r="E260" s="33" t="s">
        <v>10</v>
      </c>
      <c r="F260" s="33" t="s">
        <v>184</v>
      </c>
      <c r="G260" s="33" t="s">
        <v>11</v>
      </c>
      <c r="H260" s="33" t="s">
        <v>12</v>
      </c>
      <c r="I260" s="33" t="s">
        <v>47</v>
      </c>
      <c r="J260" s="33" t="s">
        <v>13</v>
      </c>
      <c r="K260" s="33" t="s">
        <v>14</v>
      </c>
      <c r="L260" s="33" t="s">
        <v>26</v>
      </c>
      <c r="M260" s="33" t="s">
        <v>28</v>
      </c>
      <c r="N260" s="133" t="s">
        <v>182</v>
      </c>
      <c r="O260" s="33" t="s">
        <v>8</v>
      </c>
      <c r="P260" s="33" t="s">
        <v>23</v>
      </c>
      <c r="Q260" s="33"/>
      <c r="R260" s="33" t="s">
        <v>30</v>
      </c>
    </row>
    <row r="261" spans="2:18" x14ac:dyDescent="0.15">
      <c r="B261" s="124" t="s">
        <v>160</v>
      </c>
      <c r="C261" s="124" t="s">
        <v>399</v>
      </c>
      <c r="D261" s="125">
        <v>43298</v>
      </c>
      <c r="E261" s="125">
        <v>43360</v>
      </c>
      <c r="F261" s="124">
        <v>3100</v>
      </c>
      <c r="G261" s="124">
        <v>62</v>
      </c>
      <c r="H261" s="124">
        <v>0.16986301369863013</v>
      </c>
      <c r="I261" s="124">
        <v>0</v>
      </c>
      <c r="J261" s="124">
        <v>0.24</v>
      </c>
      <c r="K261" s="124">
        <v>-76.591430136917097</v>
      </c>
      <c r="L261" s="124">
        <v>0</v>
      </c>
      <c r="M261" s="124">
        <v>0</v>
      </c>
      <c r="N261" s="126">
        <v>76.591430136917097</v>
      </c>
      <c r="O261" s="124">
        <v>3000</v>
      </c>
      <c r="P261" s="124" t="s">
        <v>24</v>
      </c>
      <c r="Q261" s="124">
        <v>-1</v>
      </c>
      <c r="R261" s="124" t="s">
        <v>20</v>
      </c>
    </row>
    <row r="263" spans="2:18" x14ac:dyDescent="0.15">
      <c r="B263" s="91" t="s">
        <v>2</v>
      </c>
      <c r="C263" s="33" t="s">
        <v>181</v>
      </c>
      <c r="D263" s="33" t="s">
        <v>180</v>
      </c>
      <c r="E263" s="33" t="s">
        <v>10</v>
      </c>
      <c r="F263" s="33" t="s">
        <v>184</v>
      </c>
      <c r="G263" s="33" t="s">
        <v>11</v>
      </c>
      <c r="H263" s="33" t="s">
        <v>12</v>
      </c>
      <c r="I263" s="33" t="s">
        <v>47</v>
      </c>
      <c r="J263" s="33" t="s">
        <v>13</v>
      </c>
      <c r="K263" s="33" t="s">
        <v>14</v>
      </c>
      <c r="L263" s="33" t="s">
        <v>26</v>
      </c>
      <c r="M263" s="33" t="s">
        <v>28</v>
      </c>
      <c r="N263" s="133" t="s">
        <v>182</v>
      </c>
      <c r="O263" s="33" t="s">
        <v>8</v>
      </c>
      <c r="P263" s="33" t="s">
        <v>23</v>
      </c>
      <c r="Q263" s="33"/>
      <c r="R263" s="33" t="s">
        <v>30</v>
      </c>
    </row>
    <row r="264" spans="2:18" x14ac:dyDescent="0.15">
      <c r="B264" s="124" t="s">
        <v>160</v>
      </c>
      <c r="C264" s="124" t="s">
        <v>403</v>
      </c>
      <c r="D264" s="125">
        <v>43299</v>
      </c>
      <c r="E264" s="125">
        <v>43361</v>
      </c>
      <c r="F264" s="124" t="s">
        <v>406</v>
      </c>
      <c r="G264" s="124">
        <v>62</v>
      </c>
      <c r="H264" s="124">
        <v>0.16986301369863013</v>
      </c>
      <c r="I264" s="124"/>
      <c r="J264" s="124"/>
      <c r="K264" s="124">
        <v>-1.7042917544664817</v>
      </c>
      <c r="L264" s="124">
        <v>2</v>
      </c>
      <c r="M264" s="124">
        <v>2.0872767123287672E-2</v>
      </c>
      <c r="N264" s="126">
        <v>1.5</v>
      </c>
      <c r="O264" s="124">
        <v>614.4</v>
      </c>
      <c r="P264" s="124" t="s">
        <v>408</v>
      </c>
      <c r="Q264" s="124"/>
      <c r="R264" s="124" t="s">
        <v>407</v>
      </c>
    </row>
    <row r="265" spans="2:18" x14ac:dyDescent="0.15">
      <c r="B265" s="91" t="s">
        <v>2</v>
      </c>
      <c r="C265" s="33" t="s">
        <v>181</v>
      </c>
      <c r="D265" s="33" t="s">
        <v>180</v>
      </c>
      <c r="E265" s="33" t="s">
        <v>10</v>
      </c>
      <c r="F265" s="33" t="s">
        <v>184</v>
      </c>
      <c r="G265" s="33" t="s">
        <v>11</v>
      </c>
      <c r="H265" s="33" t="s">
        <v>12</v>
      </c>
      <c r="I265" s="33" t="s">
        <v>47</v>
      </c>
      <c r="J265" s="33" t="s">
        <v>13</v>
      </c>
      <c r="K265" s="33" t="s">
        <v>14</v>
      </c>
      <c r="L265" s="33" t="s">
        <v>26</v>
      </c>
      <c r="M265" s="33" t="s">
        <v>28</v>
      </c>
      <c r="N265" s="133" t="s">
        <v>182</v>
      </c>
      <c r="O265" s="33" t="s">
        <v>8</v>
      </c>
      <c r="P265" s="33" t="s">
        <v>23</v>
      </c>
      <c r="Q265" s="33"/>
      <c r="R265" s="33" t="s">
        <v>30</v>
      </c>
    </row>
    <row r="266" spans="2:18" x14ac:dyDescent="0.15">
      <c r="B266" s="124" t="s">
        <v>160</v>
      </c>
      <c r="C266" s="124" t="s">
        <v>409</v>
      </c>
      <c r="D266" s="125">
        <v>43299</v>
      </c>
      <c r="E266" s="125">
        <v>43363</v>
      </c>
      <c r="F266" s="124">
        <v>100</v>
      </c>
      <c r="G266" s="124">
        <v>64</v>
      </c>
      <c r="H266" s="124">
        <v>0.17534246575342466</v>
      </c>
      <c r="I266" s="124">
        <v>0</v>
      </c>
      <c r="J266" s="124">
        <v>0.26500000000000001</v>
      </c>
      <c r="K266" s="124">
        <v>-4.4091382459486113</v>
      </c>
      <c r="L266" s="124">
        <v>0</v>
      </c>
      <c r="M266" s="124">
        <v>0</v>
      </c>
      <c r="N266" s="126">
        <v>4.4091382459486113</v>
      </c>
      <c r="O266" s="124">
        <v>100</v>
      </c>
      <c r="P266" s="124" t="s">
        <v>263</v>
      </c>
      <c r="Q266" s="124">
        <v>-1</v>
      </c>
      <c r="R266" s="124" t="s">
        <v>411</v>
      </c>
    </row>
    <row r="267" spans="2:18" x14ac:dyDescent="0.15">
      <c r="B267" s="91" t="s">
        <v>2</v>
      </c>
      <c r="C267" s="33" t="s">
        <v>181</v>
      </c>
      <c r="D267" s="33" t="s">
        <v>180</v>
      </c>
      <c r="E267" s="33" t="s">
        <v>10</v>
      </c>
      <c r="F267" s="33" t="s">
        <v>184</v>
      </c>
      <c r="G267" s="33" t="s">
        <v>11</v>
      </c>
      <c r="H267" s="33" t="s">
        <v>12</v>
      </c>
      <c r="I267" s="33" t="s">
        <v>47</v>
      </c>
      <c r="J267" s="33" t="s">
        <v>13</v>
      </c>
      <c r="K267" s="33" t="s">
        <v>14</v>
      </c>
      <c r="L267" s="33" t="s">
        <v>26</v>
      </c>
      <c r="M267" s="33" t="s">
        <v>28</v>
      </c>
      <c r="N267" s="133" t="s">
        <v>182</v>
      </c>
      <c r="O267" s="33" t="s">
        <v>8</v>
      </c>
      <c r="P267" s="33" t="s">
        <v>23</v>
      </c>
      <c r="Q267" s="33"/>
      <c r="R267" s="33" t="s">
        <v>30</v>
      </c>
    </row>
    <row r="268" spans="2:18" x14ac:dyDescent="0.15">
      <c r="B268" s="124" t="s">
        <v>160</v>
      </c>
      <c r="C268" s="124" t="s">
        <v>271</v>
      </c>
      <c r="D268" s="125">
        <v>43299</v>
      </c>
      <c r="E268" s="125">
        <v>43330</v>
      </c>
      <c r="F268" s="124">
        <v>430</v>
      </c>
      <c r="G268" s="124">
        <v>31</v>
      </c>
      <c r="H268" s="124">
        <v>8.4931506849315067E-2</v>
      </c>
      <c r="I268" s="124">
        <v>0</v>
      </c>
      <c r="J268" s="124">
        <v>0.21</v>
      </c>
      <c r="K268" s="124">
        <v>1.2542062415416595</v>
      </c>
      <c r="L268" s="124">
        <v>0</v>
      </c>
      <c r="M268" s="124">
        <v>0</v>
      </c>
      <c r="N268" s="126">
        <v>1.2542062415416595</v>
      </c>
      <c r="O268" s="124">
        <v>465.5</v>
      </c>
      <c r="P268" s="124" t="s">
        <v>25</v>
      </c>
      <c r="Q268" s="124">
        <v>1</v>
      </c>
      <c r="R268" s="124" t="s">
        <v>19</v>
      </c>
    </row>
    <row r="269" spans="2:18" x14ac:dyDescent="0.15">
      <c r="B269" s="124" t="s">
        <v>160</v>
      </c>
      <c r="C269" s="124" t="s">
        <v>271</v>
      </c>
      <c r="D269" s="125">
        <v>43299</v>
      </c>
      <c r="E269" s="125">
        <v>43330</v>
      </c>
      <c r="F269" s="124">
        <v>425</v>
      </c>
      <c r="G269" s="124">
        <v>31</v>
      </c>
      <c r="H269" s="124">
        <v>8.4931506849315067E-2</v>
      </c>
      <c r="I269" s="124">
        <v>0</v>
      </c>
      <c r="J269" s="124">
        <v>0.21</v>
      </c>
      <c r="K269" s="124">
        <v>0.81948858314533979</v>
      </c>
      <c r="L269" s="124">
        <v>0</v>
      </c>
      <c r="M269" s="124">
        <v>0</v>
      </c>
      <c r="N269" s="126">
        <v>0.81948858314533979</v>
      </c>
      <c r="O269" s="124">
        <v>465.5</v>
      </c>
      <c r="P269" s="124" t="s">
        <v>25</v>
      </c>
      <c r="Q269" s="124">
        <v>1</v>
      </c>
      <c r="R269" s="124" t="s">
        <v>19</v>
      </c>
    </row>
    <row r="270" spans="2:18" x14ac:dyDescent="0.15">
      <c r="B270" s="124" t="s">
        <v>160</v>
      </c>
      <c r="C270" s="124" t="s">
        <v>271</v>
      </c>
      <c r="D270" s="125">
        <v>43299</v>
      </c>
      <c r="E270" s="125">
        <v>43330</v>
      </c>
      <c r="F270" s="124">
        <v>420</v>
      </c>
      <c r="G270" s="124">
        <v>31</v>
      </c>
      <c r="H270" s="124">
        <v>8.4931506849315067E-2</v>
      </c>
      <c r="I270" s="124">
        <v>0</v>
      </c>
      <c r="J270" s="124">
        <v>0.21</v>
      </c>
      <c r="K270" s="124">
        <v>0.51761319695118146</v>
      </c>
      <c r="L270" s="124">
        <v>0</v>
      </c>
      <c r="M270" s="124">
        <v>0</v>
      </c>
      <c r="N270" s="126">
        <v>0.51761319695118146</v>
      </c>
      <c r="O270" s="124">
        <v>465.5</v>
      </c>
      <c r="P270" s="124" t="s">
        <v>25</v>
      </c>
      <c r="Q270" s="124">
        <v>1</v>
      </c>
      <c r="R270" s="124" t="s">
        <v>19</v>
      </c>
    </row>
    <row r="271" spans="2:18" x14ac:dyDescent="0.15">
      <c r="B271" s="91" t="s">
        <v>2</v>
      </c>
      <c r="C271" s="33" t="s">
        <v>181</v>
      </c>
      <c r="D271" s="33" t="s">
        <v>180</v>
      </c>
      <c r="E271" s="33" t="s">
        <v>10</v>
      </c>
      <c r="F271" s="33" t="s">
        <v>184</v>
      </c>
      <c r="G271" s="33" t="s">
        <v>11</v>
      </c>
      <c r="H271" s="33" t="s">
        <v>12</v>
      </c>
      <c r="I271" s="33" t="s">
        <v>47</v>
      </c>
      <c r="J271" s="33" t="s">
        <v>13</v>
      </c>
      <c r="K271" s="33" t="s">
        <v>14</v>
      </c>
      <c r="L271" s="33" t="s">
        <v>26</v>
      </c>
      <c r="M271" s="33" t="s">
        <v>28</v>
      </c>
      <c r="N271" s="133" t="s">
        <v>182</v>
      </c>
      <c r="O271" s="33" t="s">
        <v>8</v>
      </c>
      <c r="P271" s="33" t="s">
        <v>23</v>
      </c>
      <c r="Q271" s="33"/>
      <c r="R271" s="33" t="s">
        <v>30</v>
      </c>
    </row>
    <row r="272" spans="2:18" x14ac:dyDescent="0.15">
      <c r="B272" s="124" t="s">
        <v>160</v>
      </c>
      <c r="C272" s="124" t="s">
        <v>412</v>
      </c>
      <c r="D272" s="125">
        <v>43301</v>
      </c>
      <c r="E272" s="125">
        <v>43332</v>
      </c>
      <c r="F272" s="124">
        <v>48360</v>
      </c>
      <c r="G272" s="124">
        <v>31</v>
      </c>
      <c r="H272" s="124">
        <v>8.4931506849315067E-2</v>
      </c>
      <c r="I272" s="124">
        <v>0</v>
      </c>
      <c r="J272" s="124">
        <v>0.2</v>
      </c>
      <c r="K272" s="124">
        <v>1122.4360084258515</v>
      </c>
      <c r="L272" s="124">
        <v>0</v>
      </c>
      <c r="M272" s="124">
        <v>0</v>
      </c>
      <c r="N272" s="126">
        <v>1122.4360084258515</v>
      </c>
      <c r="O272" s="124">
        <v>48360</v>
      </c>
      <c r="P272" s="124" t="s">
        <v>416</v>
      </c>
      <c r="Q272" s="124">
        <v>1</v>
      </c>
      <c r="R272" s="124" t="s">
        <v>21</v>
      </c>
    </row>
    <row r="273" spans="2:18" x14ac:dyDescent="0.15">
      <c r="B273" s="124" t="s">
        <v>160</v>
      </c>
      <c r="C273" s="124" t="s">
        <v>414</v>
      </c>
      <c r="D273" s="125">
        <v>43301</v>
      </c>
      <c r="E273" s="125">
        <v>43392</v>
      </c>
      <c r="F273" s="124">
        <v>48460</v>
      </c>
      <c r="G273" s="124">
        <v>91</v>
      </c>
      <c r="H273" s="124">
        <v>0.24931506849315069</v>
      </c>
      <c r="I273" s="124">
        <v>0</v>
      </c>
      <c r="J273" s="124">
        <v>0.2</v>
      </c>
      <c r="K273" s="124">
        <v>1920.2235062920772</v>
      </c>
      <c r="L273" s="124">
        <v>0</v>
      </c>
      <c r="M273" s="124">
        <v>0</v>
      </c>
      <c r="N273" s="126">
        <v>1920.2235062920772</v>
      </c>
      <c r="O273" s="124">
        <v>48460</v>
      </c>
      <c r="P273" s="124" t="s">
        <v>416</v>
      </c>
      <c r="Q273" s="124">
        <v>1</v>
      </c>
      <c r="R273" s="124" t="s">
        <v>21</v>
      </c>
    </row>
    <row r="274" spans="2:18" x14ac:dyDescent="0.15">
      <c r="B274" s="91" t="s">
        <v>2</v>
      </c>
      <c r="C274" s="33" t="s">
        <v>181</v>
      </c>
      <c r="D274" s="33" t="s">
        <v>180</v>
      </c>
      <c r="E274" s="33" t="s">
        <v>10</v>
      </c>
      <c r="F274" s="33" t="s">
        <v>184</v>
      </c>
      <c r="G274" s="33" t="s">
        <v>11</v>
      </c>
      <c r="H274" s="33" t="s">
        <v>12</v>
      </c>
      <c r="I274" s="33" t="s">
        <v>47</v>
      </c>
      <c r="J274" s="33" t="s">
        <v>13</v>
      </c>
      <c r="K274" s="33" t="s">
        <v>14</v>
      </c>
      <c r="L274" s="33" t="s">
        <v>26</v>
      </c>
      <c r="M274" s="33" t="s">
        <v>28</v>
      </c>
      <c r="N274" s="133" t="s">
        <v>182</v>
      </c>
      <c r="O274" s="33" t="s">
        <v>8</v>
      </c>
      <c r="P274" s="33" t="s">
        <v>23</v>
      </c>
      <c r="Q274" s="33"/>
      <c r="R274" s="33" t="s">
        <v>30</v>
      </c>
    </row>
    <row r="275" spans="2:18" x14ac:dyDescent="0.15">
      <c r="B275" s="124" t="s">
        <v>160</v>
      </c>
      <c r="C275" s="124" t="s">
        <v>284</v>
      </c>
      <c r="D275" s="125">
        <v>43301</v>
      </c>
      <c r="E275" s="125">
        <v>43332</v>
      </c>
      <c r="F275" s="124">
        <v>10339</v>
      </c>
      <c r="G275" s="124">
        <v>31</v>
      </c>
      <c r="H275" s="124">
        <v>8.4931506849315067E-2</v>
      </c>
      <c r="I275" s="124">
        <v>0</v>
      </c>
      <c r="J275" s="124">
        <v>0.39</v>
      </c>
      <c r="K275" s="124">
        <v>-467.75259655007721</v>
      </c>
      <c r="L275" s="124">
        <v>0</v>
      </c>
      <c r="M275" s="124">
        <v>0</v>
      </c>
      <c r="N275" s="126">
        <v>467.75259655007721</v>
      </c>
      <c r="O275" s="124">
        <v>10339</v>
      </c>
      <c r="P275" s="124" t="s">
        <v>25</v>
      </c>
      <c r="Q275" s="124">
        <v>-1</v>
      </c>
      <c r="R275" s="124" t="s">
        <v>21</v>
      </c>
    </row>
    <row r="276" spans="2:18" x14ac:dyDescent="0.15">
      <c r="B276" s="124" t="s">
        <v>160</v>
      </c>
      <c r="C276" s="124" t="s">
        <v>284</v>
      </c>
      <c r="D276" s="125">
        <v>43301</v>
      </c>
      <c r="E276" s="125">
        <v>43315</v>
      </c>
      <c r="F276" s="124">
        <v>10339</v>
      </c>
      <c r="G276" s="124">
        <v>14</v>
      </c>
      <c r="H276" s="124">
        <v>3.8356164383561646E-2</v>
      </c>
      <c r="I276" s="124">
        <v>0</v>
      </c>
      <c r="J276" s="124">
        <v>0.4</v>
      </c>
      <c r="K276" s="124">
        <v>-322.79141790522499</v>
      </c>
      <c r="L276" s="124">
        <v>0</v>
      </c>
      <c r="M276" s="124">
        <v>0</v>
      </c>
      <c r="N276" s="126">
        <v>322.79141790522499</v>
      </c>
      <c r="O276" s="124">
        <v>10339</v>
      </c>
      <c r="P276" s="124" t="s">
        <v>25</v>
      </c>
      <c r="Q276" s="124">
        <v>-1</v>
      </c>
      <c r="R276" s="124" t="s">
        <v>21</v>
      </c>
    </row>
    <row r="277" spans="2:18" x14ac:dyDescent="0.15">
      <c r="B277" s="124" t="s">
        <v>160</v>
      </c>
      <c r="C277" s="124" t="s">
        <v>284</v>
      </c>
      <c r="D277" s="125">
        <v>43301</v>
      </c>
      <c r="E277" s="125">
        <v>43308</v>
      </c>
      <c r="F277" s="124">
        <v>10339</v>
      </c>
      <c r="G277" s="124">
        <v>7</v>
      </c>
      <c r="H277" s="124">
        <v>1.9178082191780823E-2</v>
      </c>
      <c r="I277" s="124">
        <v>0</v>
      </c>
      <c r="J277" s="124">
        <v>0.41</v>
      </c>
      <c r="K277" s="124">
        <v>-234.07235943801606</v>
      </c>
      <c r="L277" s="124">
        <v>0</v>
      </c>
      <c r="M277" s="124">
        <v>0</v>
      </c>
      <c r="N277" s="126">
        <v>234.07235943801606</v>
      </c>
      <c r="O277" s="124">
        <v>10339</v>
      </c>
      <c r="P277" s="124" t="s">
        <v>25</v>
      </c>
      <c r="Q277" s="124">
        <v>-1</v>
      </c>
      <c r="R277" s="124" t="s">
        <v>21</v>
      </c>
    </row>
    <row r="278" spans="2:18" x14ac:dyDescent="0.15">
      <c r="B278" s="91" t="s">
        <v>2</v>
      </c>
      <c r="C278" s="33" t="s">
        <v>181</v>
      </c>
      <c r="D278" s="33" t="s">
        <v>180</v>
      </c>
      <c r="E278" s="33" t="s">
        <v>10</v>
      </c>
      <c r="F278" s="33" t="s">
        <v>184</v>
      </c>
      <c r="G278" s="33" t="s">
        <v>11</v>
      </c>
      <c r="H278" s="33" t="s">
        <v>12</v>
      </c>
      <c r="I278" s="33" t="s">
        <v>47</v>
      </c>
      <c r="J278" s="33" t="s">
        <v>13</v>
      </c>
      <c r="K278" s="33" t="s">
        <v>14</v>
      </c>
      <c r="L278" s="33" t="s">
        <v>26</v>
      </c>
      <c r="M278" s="33" t="s">
        <v>28</v>
      </c>
      <c r="N278" s="133" t="s">
        <v>182</v>
      </c>
      <c r="O278" s="33" t="s">
        <v>8</v>
      </c>
      <c r="P278" s="33" t="s">
        <v>23</v>
      </c>
      <c r="Q278" s="33"/>
      <c r="R278" s="33" t="s">
        <v>30</v>
      </c>
    </row>
    <row r="279" spans="2:18" x14ac:dyDescent="0.15">
      <c r="B279" s="124" t="s">
        <v>160</v>
      </c>
      <c r="C279" s="124" t="s">
        <v>271</v>
      </c>
      <c r="D279" s="125">
        <v>43301</v>
      </c>
      <c r="E279" s="125">
        <v>43322</v>
      </c>
      <c r="F279" s="124">
        <v>430</v>
      </c>
      <c r="G279" s="124">
        <v>21</v>
      </c>
      <c r="H279" s="124">
        <v>5.7534246575342465E-2</v>
      </c>
      <c r="I279" s="124">
        <v>-0.02</v>
      </c>
      <c r="J279" s="124">
        <v>0.22500000000000001</v>
      </c>
      <c r="K279" s="124">
        <v>0.41754887961606002</v>
      </c>
      <c r="L279" s="124"/>
      <c r="M279" s="124">
        <v>0</v>
      </c>
      <c r="N279" s="126">
        <v>0.38</v>
      </c>
      <c r="O279" s="124">
        <v>472.5</v>
      </c>
      <c r="P279" s="124" t="s">
        <v>418</v>
      </c>
      <c r="Q279" s="124">
        <v>1</v>
      </c>
      <c r="R279" s="124" t="s">
        <v>419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65" t="s">
        <v>37</v>
      </c>
      <c r="C1" s="165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0</v>
      </c>
      <c r="I8" s="19">
        <v>3800</v>
      </c>
      <c r="J8" s="21">
        <f ca="1">TODAY()</f>
        <v>43301</v>
      </c>
      <c r="K8" s="21">
        <f ca="1">J8+L8</f>
        <v>43331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0</v>
      </c>
      <c r="P8" s="25">
        <v>80</v>
      </c>
      <c r="Q8" s="24">
        <f>P8/10000*M8*H8*(-E8)</f>
        <v>0</v>
      </c>
      <c r="R8" s="24">
        <f>O8+Q8</f>
        <v>0</v>
      </c>
      <c r="S8" s="26" t="e">
        <f>R8/H8</f>
        <v>#DIV/0!</v>
      </c>
      <c r="T8" s="24" t="e">
        <f>_xll.dnetGBlackScholesNGreeks("delta",$G8,$H8,$I8,$M8,$C$3,$C$4,$N8,$C$4)</f>
        <v>#VALUE!</v>
      </c>
      <c r="U8" s="24">
        <f>_xll.dnetGBlackScholesNGreeks("vega",$G8,$H8,$I8,$M8,$C$3,$C$4,$N8)</f>
        <v>0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43301</v>
      </c>
      <c r="K9" s="8">
        <f ca="1">J9+L9</f>
        <v>43331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43301</v>
      </c>
      <c r="K10" s="8">
        <f ca="1">J10+L10</f>
        <v>43331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104"/>
  <sheetViews>
    <sheetView topLeftCell="F1" zoomScale="115" zoomScaleNormal="115" workbookViewId="0">
      <pane ySplit="17" topLeftCell="A84" activePane="bottomLeft" state="frozen"/>
      <selection pane="bottomLeft" activeCell="H110" sqref="H110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60" t="s">
        <v>118</v>
      </c>
      <c r="C1" s="160"/>
    </row>
    <row r="2" spans="2:20" ht="11.25" thickTop="1" x14ac:dyDescent="0.15"/>
    <row r="3" spans="2:20" ht="11.25" thickBot="1" x14ac:dyDescent="0.2">
      <c r="B3" s="159" t="s">
        <v>119</v>
      </c>
      <c r="C3" s="159"/>
      <c r="D3" s="159"/>
      <c r="E3" s="159"/>
      <c r="G3" s="158" t="s">
        <v>120</v>
      </c>
      <c r="H3" s="158"/>
      <c r="I3" s="158"/>
      <c r="J3" s="158"/>
      <c r="L3" s="159" t="s">
        <v>165</v>
      </c>
      <c r="M3" s="159"/>
      <c r="N3" s="159"/>
      <c r="O3" s="159"/>
      <c r="Q3" s="158" t="s">
        <v>166</v>
      </c>
      <c r="R3" s="158"/>
      <c r="S3" s="158"/>
      <c r="T3" s="158"/>
    </row>
    <row r="4" spans="2:20" ht="12" thickTop="1" thickBot="1" x14ac:dyDescent="0.2">
      <c r="B4" s="151" t="s">
        <v>121</v>
      </c>
      <c r="C4" s="151"/>
      <c r="D4" s="151"/>
      <c r="E4" s="151"/>
      <c r="G4" s="151" t="s">
        <v>34</v>
      </c>
      <c r="H4" s="151"/>
      <c r="I4" s="151"/>
      <c r="J4" s="151"/>
      <c r="L4" s="151" t="s">
        <v>121</v>
      </c>
      <c r="M4" s="151"/>
      <c r="N4" s="151"/>
      <c r="O4" s="151"/>
      <c r="Q4" s="151" t="s">
        <v>34</v>
      </c>
      <c r="R4" s="151"/>
      <c r="S4" s="151"/>
      <c r="T4" s="151"/>
    </row>
    <row r="5" spans="2:20" ht="15" customHeight="1" thickTop="1" x14ac:dyDescent="0.15">
      <c r="B5" s="155" t="s">
        <v>122</v>
      </c>
      <c r="C5" s="155"/>
      <c r="D5" s="161"/>
      <c r="E5" s="162"/>
      <c r="G5" s="155" t="s">
        <v>123</v>
      </c>
      <c r="H5" s="155"/>
      <c r="I5" s="103"/>
      <c r="J5" s="104"/>
      <c r="L5" s="101" t="s">
        <v>122</v>
      </c>
      <c r="M5" s="102"/>
      <c r="N5" s="103"/>
      <c r="O5" s="104"/>
      <c r="Q5" s="155" t="s">
        <v>123</v>
      </c>
      <c r="R5" s="155"/>
      <c r="S5" s="103"/>
      <c r="T5" s="104"/>
    </row>
    <row r="6" spans="2:20" x14ac:dyDescent="0.15">
      <c r="B6" s="155" t="s">
        <v>124</v>
      </c>
      <c r="C6" s="155"/>
      <c r="D6" s="156" t="s">
        <v>125</v>
      </c>
      <c r="E6" s="157"/>
      <c r="G6" s="155" t="s">
        <v>126</v>
      </c>
      <c r="H6" s="155"/>
      <c r="I6" s="156"/>
      <c r="J6" s="157"/>
      <c r="L6" s="155" t="s">
        <v>124</v>
      </c>
      <c r="M6" s="155"/>
      <c r="N6" s="156" t="s">
        <v>125</v>
      </c>
      <c r="O6" s="157"/>
      <c r="Q6" s="155" t="s">
        <v>126</v>
      </c>
      <c r="R6" s="155"/>
      <c r="S6" s="156"/>
      <c r="T6" s="157"/>
    </row>
    <row r="7" spans="2:20" ht="2.25" customHeight="1" x14ac:dyDescent="0.15">
      <c r="B7" s="155" t="s">
        <v>127</v>
      </c>
      <c r="C7" s="155"/>
      <c r="D7" s="156" t="s">
        <v>125</v>
      </c>
      <c r="E7" s="157"/>
      <c r="G7" s="155" t="s">
        <v>128</v>
      </c>
      <c r="H7" s="155"/>
      <c r="I7" s="156"/>
      <c r="J7" s="157"/>
      <c r="L7" s="155" t="s">
        <v>127</v>
      </c>
      <c r="M7" s="155"/>
      <c r="N7" s="156" t="s">
        <v>125</v>
      </c>
      <c r="O7" s="157"/>
      <c r="Q7" s="155" t="s">
        <v>128</v>
      </c>
      <c r="R7" s="155"/>
      <c r="S7" s="156"/>
      <c r="T7" s="157"/>
    </row>
    <row r="8" spans="2:20" hidden="1" x14ac:dyDescent="0.15">
      <c r="B8" s="155" t="s">
        <v>129</v>
      </c>
      <c r="C8" s="155"/>
      <c r="D8" s="156">
        <f>D13*D15</f>
        <v>305000</v>
      </c>
      <c r="E8" s="157"/>
      <c r="G8" s="155" t="s">
        <v>130</v>
      </c>
      <c r="H8" s="155"/>
      <c r="I8" s="156"/>
      <c r="J8" s="157"/>
      <c r="L8" s="155" t="s">
        <v>129</v>
      </c>
      <c r="M8" s="155"/>
      <c r="N8" s="156">
        <f>N14*N16</f>
        <v>305000</v>
      </c>
      <c r="O8" s="157"/>
      <c r="Q8" s="155" t="s">
        <v>130</v>
      </c>
      <c r="R8" s="155"/>
      <c r="S8" s="156"/>
      <c r="T8" s="157"/>
    </row>
    <row r="9" spans="2:20" hidden="1" x14ac:dyDescent="0.15">
      <c r="B9" s="155" t="s">
        <v>131</v>
      </c>
      <c r="C9" s="155"/>
      <c r="D9" s="156" t="s">
        <v>132</v>
      </c>
      <c r="E9" s="157"/>
      <c r="G9" s="155" t="s">
        <v>133</v>
      </c>
      <c r="H9" s="155"/>
      <c r="I9" s="156"/>
      <c r="J9" s="157"/>
      <c r="L9" s="155" t="s">
        <v>131</v>
      </c>
      <c r="M9" s="155"/>
      <c r="N9" s="156" t="s">
        <v>132</v>
      </c>
      <c r="O9" s="157"/>
      <c r="Q9" s="155" t="s">
        <v>133</v>
      </c>
      <c r="R9" s="155"/>
      <c r="S9" s="156"/>
      <c r="T9" s="157"/>
    </row>
    <row r="10" spans="2:20" hidden="1" x14ac:dyDescent="0.15">
      <c r="B10" s="155" t="s">
        <v>134</v>
      </c>
      <c r="C10" s="155"/>
      <c r="D10" s="156">
        <v>43084</v>
      </c>
      <c r="E10" s="157"/>
      <c r="G10" s="105" t="s">
        <v>135</v>
      </c>
      <c r="H10" s="105"/>
      <c r="I10" s="156"/>
      <c r="J10" s="157"/>
      <c r="L10" s="155" t="s">
        <v>134</v>
      </c>
      <c r="M10" s="155"/>
      <c r="N10" s="156">
        <v>43084</v>
      </c>
      <c r="O10" s="157"/>
      <c r="Q10" s="105" t="s">
        <v>135</v>
      </c>
      <c r="R10" s="105"/>
      <c r="S10" s="156"/>
      <c r="T10" s="157"/>
    </row>
    <row r="11" spans="2:20" hidden="1" x14ac:dyDescent="0.15">
      <c r="B11" s="155" t="s">
        <v>136</v>
      </c>
      <c r="C11" s="155"/>
      <c r="D11" s="156">
        <v>3935</v>
      </c>
      <c r="E11" s="157"/>
      <c r="G11" s="155" t="s">
        <v>137</v>
      </c>
      <c r="H11" s="155"/>
      <c r="I11" s="156"/>
      <c r="J11" s="157"/>
      <c r="L11" s="155" t="s">
        <v>136</v>
      </c>
      <c r="M11" s="155"/>
      <c r="N11" s="156">
        <v>3935</v>
      </c>
      <c r="O11" s="157"/>
      <c r="Q11" s="155" t="s">
        <v>137</v>
      </c>
      <c r="R11" s="155"/>
      <c r="S11" s="156"/>
      <c r="T11" s="157"/>
    </row>
    <row r="12" spans="2:20" hidden="1" x14ac:dyDescent="0.15">
      <c r="B12" s="155" t="s">
        <v>138</v>
      </c>
      <c r="C12" s="155"/>
      <c r="D12" s="156">
        <v>3800</v>
      </c>
      <c r="E12" s="157"/>
      <c r="G12" s="155" t="s">
        <v>139</v>
      </c>
      <c r="H12" s="155"/>
      <c r="I12" s="156"/>
      <c r="J12" s="157"/>
      <c r="L12" s="155" t="s">
        <v>163</v>
      </c>
      <c r="M12" s="155"/>
      <c r="N12" s="156">
        <v>3800</v>
      </c>
      <c r="O12" s="157"/>
      <c r="Q12" s="155" t="s">
        <v>167</v>
      </c>
      <c r="R12" s="155"/>
      <c r="S12" s="156"/>
      <c r="T12" s="157"/>
    </row>
    <row r="13" spans="2:20" hidden="1" x14ac:dyDescent="0.15">
      <c r="B13" s="155" t="s">
        <v>140</v>
      </c>
      <c r="C13" s="155"/>
      <c r="D13" s="156">
        <v>61</v>
      </c>
      <c r="E13" s="157"/>
      <c r="G13" s="155" t="s">
        <v>141</v>
      </c>
      <c r="H13" s="155"/>
      <c r="I13" s="156"/>
      <c r="J13" s="157"/>
      <c r="L13" s="155" t="s">
        <v>164</v>
      </c>
      <c r="M13" s="155"/>
      <c r="N13" s="156">
        <v>3800</v>
      </c>
      <c r="O13" s="157"/>
      <c r="Q13" s="155" t="s">
        <v>168</v>
      </c>
      <c r="R13" s="155"/>
      <c r="S13" s="156"/>
      <c r="T13" s="157"/>
    </row>
    <row r="14" spans="2:20" hidden="1" x14ac:dyDescent="0.15">
      <c r="B14" s="155" t="s">
        <v>142</v>
      </c>
      <c r="C14" s="155"/>
      <c r="D14" s="156" t="s">
        <v>143</v>
      </c>
      <c r="E14" s="157"/>
      <c r="G14" s="155" t="s">
        <v>144</v>
      </c>
      <c r="H14" s="155"/>
      <c r="I14" s="106"/>
      <c r="J14" s="107"/>
      <c r="L14" s="155" t="s">
        <v>140</v>
      </c>
      <c r="M14" s="155"/>
      <c r="N14" s="156">
        <v>61</v>
      </c>
      <c r="O14" s="157"/>
      <c r="Q14" s="155" t="s">
        <v>141</v>
      </c>
      <c r="R14" s="155"/>
      <c r="S14" s="156"/>
      <c r="T14" s="157"/>
    </row>
    <row r="15" spans="2:20" hidden="1" x14ac:dyDescent="0.15">
      <c r="B15" s="155" t="s">
        <v>145</v>
      </c>
      <c r="C15" s="155"/>
      <c r="D15" s="156">
        <v>5000</v>
      </c>
      <c r="E15" s="157"/>
      <c r="G15" s="155" t="s">
        <v>146</v>
      </c>
      <c r="H15" s="155"/>
      <c r="I15" s="156"/>
      <c r="J15" s="157"/>
      <c r="L15" s="155" t="s">
        <v>142</v>
      </c>
      <c r="M15" s="155"/>
      <c r="N15" s="156" t="s">
        <v>143</v>
      </c>
      <c r="O15" s="157"/>
      <c r="Q15" s="155" t="s">
        <v>144</v>
      </c>
      <c r="R15" s="155"/>
      <c r="S15" s="106"/>
      <c r="T15" s="107"/>
    </row>
    <row r="16" spans="2:20" ht="11.25" hidden="1" thickBot="1" x14ac:dyDescent="0.2">
      <c r="B16" s="152" t="s">
        <v>147</v>
      </c>
      <c r="C16" s="152"/>
      <c r="D16" s="153" t="s">
        <v>148</v>
      </c>
      <c r="E16" s="154"/>
      <c r="G16" s="152" t="s">
        <v>149</v>
      </c>
      <c r="H16" s="152"/>
      <c r="I16" s="153"/>
      <c r="J16" s="154"/>
      <c r="L16" s="155" t="s">
        <v>145</v>
      </c>
      <c r="M16" s="155"/>
      <c r="N16" s="156">
        <v>5000</v>
      </c>
      <c r="O16" s="157"/>
      <c r="Q16" s="155" t="s">
        <v>146</v>
      </c>
      <c r="R16" s="155"/>
      <c r="S16" s="156"/>
      <c r="T16" s="157"/>
    </row>
    <row r="17" spans="2:25" ht="12" hidden="1" thickTop="1" thickBot="1" x14ac:dyDescent="0.2">
      <c r="L17" s="152" t="s">
        <v>147</v>
      </c>
      <c r="M17" s="152"/>
      <c r="N17" s="153" t="s">
        <v>148</v>
      </c>
      <c r="O17" s="154"/>
      <c r="Q17" s="152" t="s">
        <v>149</v>
      </c>
      <c r="R17" s="152"/>
      <c r="S17" s="153"/>
      <c r="T17" s="154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46" t="s">
        <v>219</v>
      </c>
      <c r="C22" s="146"/>
      <c r="D22" s="146"/>
      <c r="E22" s="146"/>
      <c r="G22" s="146" t="s">
        <v>188</v>
      </c>
      <c r="H22" s="146"/>
      <c r="I22" s="146"/>
      <c r="J22" s="146"/>
      <c r="L22" s="151" t="s">
        <v>188</v>
      </c>
      <c r="M22" s="151"/>
      <c r="N22" s="151"/>
      <c r="O22" s="151"/>
      <c r="Q22" s="146" t="s">
        <v>187</v>
      </c>
      <c r="R22" s="146"/>
      <c r="S22" s="146"/>
      <c r="T22" s="146"/>
      <c r="V22" s="151" t="s">
        <v>188</v>
      </c>
      <c r="W22" s="151"/>
      <c r="X22" s="151"/>
      <c r="Y22" s="151"/>
    </row>
    <row r="23" spans="2:25" ht="12" thickTop="1" x14ac:dyDescent="0.15">
      <c r="B23" s="139" t="s">
        <v>122</v>
      </c>
      <c r="C23" s="139"/>
      <c r="D23" s="145">
        <v>43209</v>
      </c>
      <c r="E23" s="147"/>
      <c r="G23" s="139" t="s">
        <v>122</v>
      </c>
      <c r="H23" s="139"/>
      <c r="I23" s="145">
        <f ca="1">TODAY()</f>
        <v>43301</v>
      </c>
      <c r="J23" s="147"/>
      <c r="L23" s="139" t="s">
        <v>122</v>
      </c>
      <c r="M23" s="139"/>
      <c r="N23" s="145">
        <f ca="1">TODAY()</f>
        <v>43301</v>
      </c>
      <c r="O23" s="147"/>
      <c r="Q23" s="139" t="s">
        <v>122</v>
      </c>
      <c r="R23" s="139"/>
      <c r="S23" s="145">
        <f ca="1">TODAY()-1</f>
        <v>43300</v>
      </c>
      <c r="T23" s="147"/>
      <c r="V23" s="139" t="s">
        <v>122</v>
      </c>
      <c r="W23" s="139"/>
      <c r="X23" s="145">
        <f ca="1">TODAY()-1</f>
        <v>43300</v>
      </c>
      <c r="Y23" s="147"/>
    </row>
    <row r="24" spans="2:25" ht="11.25" x14ac:dyDescent="0.15">
      <c r="B24" s="139" t="s">
        <v>124</v>
      </c>
      <c r="C24" s="139"/>
      <c r="D24" s="140" t="s">
        <v>185</v>
      </c>
      <c r="E24" s="141"/>
      <c r="G24" s="139" t="s">
        <v>124</v>
      </c>
      <c r="H24" s="139"/>
      <c r="I24" s="140" t="s">
        <v>185</v>
      </c>
      <c r="J24" s="141"/>
      <c r="L24" s="139" t="s">
        <v>124</v>
      </c>
      <c r="M24" s="139"/>
      <c r="N24" s="140" t="s">
        <v>36</v>
      </c>
      <c r="O24" s="141"/>
      <c r="Q24" s="139" t="s">
        <v>124</v>
      </c>
      <c r="R24" s="139"/>
      <c r="S24" s="140" t="s">
        <v>36</v>
      </c>
      <c r="T24" s="141"/>
      <c r="V24" s="139" t="s">
        <v>124</v>
      </c>
      <c r="W24" s="139"/>
      <c r="X24" s="140" t="s">
        <v>36</v>
      </c>
      <c r="Y24" s="141"/>
    </row>
    <row r="25" spans="2:25" ht="11.25" x14ac:dyDescent="0.15">
      <c r="B25" s="139" t="s">
        <v>127</v>
      </c>
      <c r="C25" s="139"/>
      <c r="D25" s="140" t="s">
        <v>220</v>
      </c>
      <c r="E25" s="141"/>
      <c r="G25" s="139" t="s">
        <v>127</v>
      </c>
      <c r="H25" s="139"/>
      <c r="I25" s="140" t="s">
        <v>5</v>
      </c>
      <c r="J25" s="141"/>
      <c r="L25" s="139" t="s">
        <v>127</v>
      </c>
      <c r="M25" s="139"/>
      <c r="N25" s="140" t="s">
        <v>193</v>
      </c>
      <c r="O25" s="141"/>
      <c r="Q25" s="139" t="s">
        <v>127</v>
      </c>
      <c r="R25" s="139"/>
      <c r="S25" s="140" t="s">
        <v>186</v>
      </c>
      <c r="T25" s="141"/>
      <c r="V25" s="139" t="s">
        <v>127</v>
      </c>
      <c r="W25" s="139"/>
      <c r="X25" s="140" t="s">
        <v>186</v>
      </c>
      <c r="Y25" s="141"/>
    </row>
    <row r="26" spans="2:25" ht="11.25" x14ac:dyDescent="0.15">
      <c r="B26" s="139" t="s">
        <v>129</v>
      </c>
      <c r="C26" s="139"/>
      <c r="D26" s="140">
        <f>D31*D33</f>
        <v>290000</v>
      </c>
      <c r="E26" s="141"/>
      <c r="G26" s="139" t="s">
        <v>179</v>
      </c>
      <c r="H26" s="139"/>
      <c r="I26" s="140">
        <f>I31*I33</f>
        <v>271800</v>
      </c>
      <c r="J26" s="141"/>
      <c r="L26" s="139" t="s">
        <v>129</v>
      </c>
      <c r="M26" s="139"/>
      <c r="N26" s="140">
        <f>N31*N33</f>
        <v>275000</v>
      </c>
      <c r="O26" s="141"/>
      <c r="Q26" s="139" t="s">
        <v>129</v>
      </c>
      <c r="R26" s="139"/>
      <c r="S26" s="140">
        <f>S31*S33</f>
        <v>235799.99999999997</v>
      </c>
      <c r="T26" s="141"/>
      <c r="V26" s="139" t="s">
        <v>129</v>
      </c>
      <c r="W26" s="139"/>
      <c r="X26" s="140">
        <f>X31*X33</f>
        <v>235799.99999999997</v>
      </c>
      <c r="Y26" s="141"/>
    </row>
    <row r="27" spans="2:25" ht="11.25" x14ac:dyDescent="0.15">
      <c r="B27" s="139" t="s">
        <v>131</v>
      </c>
      <c r="C27" s="139"/>
      <c r="D27" s="140" t="s">
        <v>190</v>
      </c>
      <c r="E27" s="141"/>
      <c r="F27" s="100">
        <f>1160*250</f>
        <v>290000</v>
      </c>
      <c r="G27" s="139" t="s">
        <v>131</v>
      </c>
      <c r="H27" s="139"/>
      <c r="I27" s="140" t="s">
        <v>195</v>
      </c>
      <c r="J27" s="141"/>
      <c r="L27" s="139" t="s">
        <v>131</v>
      </c>
      <c r="M27" s="139"/>
      <c r="N27" s="140" t="s">
        <v>189</v>
      </c>
      <c r="O27" s="141"/>
      <c r="Q27" s="139" t="s">
        <v>131</v>
      </c>
      <c r="R27" s="139"/>
      <c r="S27" s="140" t="s">
        <v>190</v>
      </c>
      <c r="T27" s="141"/>
      <c r="V27" s="139" t="s">
        <v>131</v>
      </c>
      <c r="W27" s="139"/>
      <c r="X27" s="140" t="s">
        <v>189</v>
      </c>
      <c r="Y27" s="141"/>
    </row>
    <row r="28" spans="2:25" ht="11.25" x14ac:dyDescent="0.15">
      <c r="B28" s="139" t="s">
        <v>134</v>
      </c>
      <c r="C28" s="139"/>
      <c r="D28" s="145">
        <v>43222</v>
      </c>
      <c r="E28" s="141"/>
      <c r="G28" s="139" t="s">
        <v>134</v>
      </c>
      <c r="H28" s="139"/>
      <c r="I28" s="145">
        <v>43182</v>
      </c>
      <c r="J28" s="141"/>
      <c r="L28" s="139" t="s">
        <v>134</v>
      </c>
      <c r="M28" s="139"/>
      <c r="N28" s="145">
        <v>43219</v>
      </c>
      <c r="O28" s="141"/>
      <c r="Q28" s="139" t="s">
        <v>134</v>
      </c>
      <c r="R28" s="139"/>
      <c r="S28" s="145">
        <v>43201</v>
      </c>
      <c r="T28" s="141"/>
      <c r="V28" s="139" t="s">
        <v>134</v>
      </c>
      <c r="W28" s="139"/>
      <c r="X28" s="145">
        <v>43201</v>
      </c>
      <c r="Y28" s="141"/>
    </row>
    <row r="29" spans="2:25" ht="11.25" x14ac:dyDescent="0.15">
      <c r="B29" s="139" t="s">
        <v>136</v>
      </c>
      <c r="C29" s="139"/>
      <c r="D29" s="140">
        <v>108500</v>
      </c>
      <c r="E29" s="141"/>
      <c r="G29" s="139" t="s">
        <v>136</v>
      </c>
      <c r="H29" s="139"/>
      <c r="I29" s="140">
        <v>3856</v>
      </c>
      <c r="J29" s="141"/>
      <c r="L29" s="139" t="s">
        <v>136</v>
      </c>
      <c r="M29" s="139"/>
      <c r="N29" s="140">
        <v>3760</v>
      </c>
      <c r="O29" s="141"/>
      <c r="Q29" s="139" t="s">
        <v>136</v>
      </c>
      <c r="R29" s="139"/>
      <c r="S29" s="140">
        <v>524</v>
      </c>
      <c r="T29" s="141"/>
      <c r="V29" s="139" t="s">
        <v>136</v>
      </c>
      <c r="W29" s="139"/>
      <c r="X29" s="140">
        <v>524</v>
      </c>
      <c r="Y29" s="141"/>
    </row>
    <row r="30" spans="2:25" ht="11.25" x14ac:dyDescent="0.15">
      <c r="B30" s="139" t="s">
        <v>138</v>
      </c>
      <c r="C30" s="139"/>
      <c r="D30" s="140">
        <v>110000</v>
      </c>
      <c r="E30" s="141"/>
      <c r="G30" s="139" t="s">
        <v>138</v>
      </c>
      <c r="H30" s="139"/>
      <c r="I30" s="140">
        <v>3930</v>
      </c>
      <c r="J30" s="141"/>
      <c r="L30" s="139" t="s">
        <v>138</v>
      </c>
      <c r="M30" s="139"/>
      <c r="N30" s="140">
        <v>3700</v>
      </c>
      <c r="O30" s="141"/>
      <c r="Q30" s="139" t="s">
        <v>138</v>
      </c>
      <c r="R30" s="139"/>
      <c r="S30" s="140">
        <v>524</v>
      </c>
      <c r="T30" s="141"/>
      <c r="V30" s="139" t="s">
        <v>138</v>
      </c>
      <c r="W30" s="139"/>
      <c r="X30" s="140">
        <v>524</v>
      </c>
      <c r="Y30" s="141"/>
    </row>
    <row r="31" spans="2:25" ht="11.25" x14ac:dyDescent="0.15">
      <c r="B31" s="139" t="s">
        <v>140</v>
      </c>
      <c r="C31" s="139"/>
      <c r="D31" s="140">
        <v>1160</v>
      </c>
      <c r="E31" s="141"/>
      <c r="G31" s="139" t="s">
        <v>196</v>
      </c>
      <c r="H31" s="139"/>
      <c r="I31" s="140">
        <v>27.18</v>
      </c>
      <c r="J31" s="141"/>
      <c r="L31" s="139" t="s">
        <v>140</v>
      </c>
      <c r="M31" s="139"/>
      <c r="N31" s="140">
        <v>55</v>
      </c>
      <c r="O31" s="141"/>
      <c r="Q31" s="139" t="s">
        <v>140</v>
      </c>
      <c r="R31" s="139"/>
      <c r="S31" s="140">
        <v>23.58</v>
      </c>
      <c r="T31" s="141"/>
      <c r="V31" s="139" t="s">
        <v>140</v>
      </c>
      <c r="W31" s="139"/>
      <c r="X31" s="140">
        <v>23.58</v>
      </c>
      <c r="Y31" s="141"/>
    </row>
    <row r="32" spans="2:25" ht="11.25" x14ac:dyDescent="0.15">
      <c r="B32" s="139" t="s">
        <v>142</v>
      </c>
      <c r="C32" s="139"/>
      <c r="D32" s="140" t="s">
        <v>207</v>
      </c>
      <c r="E32" s="141"/>
      <c r="G32" s="139" t="s">
        <v>197</v>
      </c>
      <c r="H32" s="139"/>
      <c r="I32" s="140" t="s">
        <v>194</v>
      </c>
      <c r="J32" s="141"/>
      <c r="L32" s="139" t="s">
        <v>142</v>
      </c>
      <c r="M32" s="139"/>
      <c r="N32" s="140" t="s">
        <v>192</v>
      </c>
      <c r="O32" s="141"/>
      <c r="Q32" s="139" t="s">
        <v>142</v>
      </c>
      <c r="R32" s="139"/>
      <c r="S32" s="140" t="s">
        <v>191</v>
      </c>
      <c r="T32" s="141"/>
      <c r="V32" s="139" t="s">
        <v>142</v>
      </c>
      <c r="W32" s="139"/>
      <c r="X32" s="140" t="s">
        <v>191</v>
      </c>
      <c r="Y32" s="141"/>
    </row>
    <row r="33" spans="2:25" ht="11.25" x14ac:dyDescent="0.15">
      <c r="B33" s="139" t="s">
        <v>145</v>
      </c>
      <c r="C33" s="139"/>
      <c r="D33" s="140">
        <v>250</v>
      </c>
      <c r="E33" s="141"/>
      <c r="G33" s="139" t="s">
        <v>198</v>
      </c>
      <c r="H33" s="139"/>
      <c r="I33" s="140">
        <v>10000</v>
      </c>
      <c r="J33" s="141"/>
      <c r="L33" s="139" t="s">
        <v>145</v>
      </c>
      <c r="M33" s="139"/>
      <c r="N33" s="140">
        <v>5000</v>
      </c>
      <c r="O33" s="141"/>
      <c r="Q33" s="139" t="s">
        <v>145</v>
      </c>
      <c r="R33" s="139"/>
      <c r="S33" s="140">
        <v>10000</v>
      </c>
      <c r="T33" s="141"/>
      <c r="V33" s="139" t="s">
        <v>145</v>
      </c>
      <c r="W33" s="139"/>
      <c r="X33" s="140">
        <v>10000</v>
      </c>
      <c r="Y33" s="141"/>
    </row>
    <row r="34" spans="2:25" ht="12" thickBot="1" x14ac:dyDescent="0.2">
      <c r="B34" s="142" t="s">
        <v>147</v>
      </c>
      <c r="C34" s="142"/>
      <c r="D34" s="143" t="s">
        <v>148</v>
      </c>
      <c r="E34" s="144"/>
      <c r="G34" s="142" t="s">
        <v>147</v>
      </c>
      <c r="H34" s="142"/>
      <c r="I34" s="143" t="s">
        <v>148</v>
      </c>
      <c r="J34" s="144"/>
      <c r="L34" s="142" t="s">
        <v>147</v>
      </c>
      <c r="M34" s="142"/>
      <c r="N34" s="143" t="s">
        <v>148</v>
      </c>
      <c r="O34" s="144"/>
      <c r="Q34" s="142" t="s">
        <v>147</v>
      </c>
      <c r="R34" s="142"/>
      <c r="S34" s="143" t="s">
        <v>148</v>
      </c>
      <c r="T34" s="144"/>
      <c r="V34" s="142" t="s">
        <v>147</v>
      </c>
      <c r="W34" s="142"/>
      <c r="X34" s="143" t="s">
        <v>148</v>
      </c>
      <c r="Y34" s="144"/>
    </row>
    <row r="35" spans="2:25" ht="11.25" thickTop="1" x14ac:dyDescent="0.15"/>
    <row r="36" spans="2:25" ht="12" thickBot="1" x14ac:dyDescent="0.2">
      <c r="B36" s="146" t="s">
        <v>224</v>
      </c>
      <c r="C36" s="146"/>
      <c r="D36" s="146"/>
      <c r="E36" s="146"/>
      <c r="G36" s="146" t="s">
        <v>225</v>
      </c>
      <c r="H36" s="146"/>
      <c r="I36" s="146"/>
      <c r="J36" s="146"/>
      <c r="L36" s="146" t="s">
        <v>204</v>
      </c>
      <c r="M36" s="146"/>
      <c r="N36" s="146"/>
      <c r="O36" s="146"/>
      <c r="Q36" s="146" t="s">
        <v>121</v>
      </c>
      <c r="R36" s="146"/>
      <c r="S36" s="146"/>
      <c r="T36" s="146"/>
    </row>
    <row r="37" spans="2:25" ht="12" thickTop="1" x14ac:dyDescent="0.15">
      <c r="B37" s="139" t="s">
        <v>122</v>
      </c>
      <c r="C37" s="139"/>
      <c r="D37" s="145">
        <v>43229</v>
      </c>
      <c r="E37" s="147"/>
      <c r="G37" s="139" t="s">
        <v>122</v>
      </c>
      <c r="H37" s="139"/>
      <c r="I37" s="145">
        <v>43229</v>
      </c>
      <c r="J37" s="147"/>
      <c r="L37" s="139" t="s">
        <v>122</v>
      </c>
      <c r="M37" s="139"/>
      <c r="N37" s="145">
        <v>43214</v>
      </c>
      <c r="O37" s="147"/>
      <c r="Q37" s="139" t="s">
        <v>122</v>
      </c>
      <c r="R37" s="139"/>
      <c r="S37" s="145">
        <v>43209</v>
      </c>
      <c r="T37" s="147"/>
    </row>
    <row r="38" spans="2:25" ht="11.25" x14ac:dyDescent="0.15">
      <c r="B38" s="139" t="s">
        <v>124</v>
      </c>
      <c r="C38" s="139"/>
      <c r="D38" s="140" t="s">
        <v>186</v>
      </c>
      <c r="E38" s="141"/>
      <c r="G38" s="139" t="s">
        <v>124</v>
      </c>
      <c r="H38" s="139"/>
      <c r="I38" s="140" t="s">
        <v>186</v>
      </c>
      <c r="J38" s="141"/>
      <c r="L38" s="139" t="s">
        <v>124</v>
      </c>
      <c r="M38" s="139"/>
      <c r="N38" s="140" t="s">
        <v>202</v>
      </c>
      <c r="O38" s="141"/>
      <c r="Q38" s="139" t="s">
        <v>124</v>
      </c>
      <c r="R38" s="139"/>
      <c r="S38" s="140" t="s">
        <v>216</v>
      </c>
      <c r="T38" s="141"/>
    </row>
    <row r="39" spans="2:25" ht="11.25" x14ac:dyDescent="0.15">
      <c r="B39" s="139" t="s">
        <v>127</v>
      </c>
      <c r="C39" s="139"/>
      <c r="D39" s="140" t="s">
        <v>221</v>
      </c>
      <c r="E39" s="141"/>
      <c r="G39" s="139" t="s">
        <v>127</v>
      </c>
      <c r="H39" s="139"/>
      <c r="I39" s="140" t="s">
        <v>202</v>
      </c>
      <c r="J39" s="141"/>
      <c r="L39" s="139" t="s">
        <v>127</v>
      </c>
      <c r="M39" s="139"/>
      <c r="N39" s="140" t="s">
        <v>4</v>
      </c>
      <c r="O39" s="141"/>
      <c r="Q39" s="139" t="s">
        <v>127</v>
      </c>
      <c r="R39" s="139"/>
      <c r="S39" s="140" t="s">
        <v>202</v>
      </c>
      <c r="T39" s="141"/>
    </row>
    <row r="40" spans="2:25" ht="11.25" x14ac:dyDescent="0.15">
      <c r="B40" s="139" t="s">
        <v>179</v>
      </c>
      <c r="C40" s="139"/>
      <c r="D40" s="140">
        <f>D47*D45</f>
        <v>410500.00000000006</v>
      </c>
      <c r="E40" s="141"/>
      <c r="G40" s="139" t="s">
        <v>179</v>
      </c>
      <c r="H40" s="139"/>
      <c r="I40" s="140">
        <f>I45*I47</f>
        <v>410500.00000000006</v>
      </c>
      <c r="J40" s="141"/>
      <c r="L40" s="139" t="s">
        <v>129</v>
      </c>
      <c r="M40" s="139"/>
      <c r="N40" s="140">
        <f>N45*N47</f>
        <v>2117500</v>
      </c>
      <c r="O40" s="141"/>
      <c r="Q40" s="139" t="s">
        <v>179</v>
      </c>
      <c r="R40" s="139"/>
      <c r="S40" s="140">
        <f>S45*S47</f>
        <v>1045200</v>
      </c>
      <c r="T40" s="141"/>
    </row>
    <row r="41" spans="2:25" ht="11.25" x14ac:dyDescent="0.15">
      <c r="B41" s="139" t="s">
        <v>131</v>
      </c>
      <c r="C41" s="139"/>
      <c r="D41" s="140" t="s">
        <v>222</v>
      </c>
      <c r="E41" s="141"/>
      <c r="G41" s="139" t="s">
        <v>131</v>
      </c>
      <c r="H41" s="139"/>
      <c r="I41" s="140" t="s">
        <v>217</v>
      </c>
      <c r="J41" s="141"/>
      <c r="L41" s="139" t="s">
        <v>131</v>
      </c>
      <c r="M41" s="139"/>
      <c r="N41" s="140" t="s">
        <v>206</v>
      </c>
      <c r="O41" s="141"/>
      <c r="Q41" s="139" t="s">
        <v>131</v>
      </c>
      <c r="R41" s="139"/>
      <c r="S41" s="140" t="s">
        <v>217</v>
      </c>
      <c r="T41" s="141"/>
    </row>
    <row r="42" spans="2:25" ht="11.25" x14ac:dyDescent="0.15">
      <c r="B42" s="139" t="s">
        <v>134</v>
      </c>
      <c r="C42" s="139"/>
      <c r="D42" s="145">
        <f>D37+98</f>
        <v>43327</v>
      </c>
      <c r="E42" s="141"/>
      <c r="G42" s="139" t="s">
        <v>134</v>
      </c>
      <c r="H42" s="139"/>
      <c r="I42" s="145">
        <f>I37+98</f>
        <v>43327</v>
      </c>
      <c r="J42" s="141"/>
      <c r="L42" s="139" t="s">
        <v>134</v>
      </c>
      <c r="M42" s="139"/>
      <c r="N42" s="145">
        <v>43266</v>
      </c>
      <c r="O42" s="141"/>
      <c r="Q42" s="139" t="s">
        <v>134</v>
      </c>
      <c r="R42" s="139"/>
      <c r="S42" s="145">
        <v>43266</v>
      </c>
      <c r="T42" s="141"/>
    </row>
    <row r="43" spans="2:25" ht="11.25" x14ac:dyDescent="0.15">
      <c r="B43" s="139" t="s">
        <v>136</v>
      </c>
      <c r="C43" s="139"/>
      <c r="D43" s="140">
        <v>470.5</v>
      </c>
      <c r="E43" s="141"/>
      <c r="G43" s="139" t="s">
        <v>136</v>
      </c>
      <c r="H43" s="139"/>
      <c r="I43" s="140">
        <v>470.5</v>
      </c>
      <c r="J43" s="141"/>
      <c r="L43" s="139" t="s">
        <v>136</v>
      </c>
      <c r="M43" s="150"/>
      <c r="N43" s="140">
        <v>14535</v>
      </c>
      <c r="O43" s="141"/>
      <c r="Q43" s="139" t="s">
        <v>136</v>
      </c>
      <c r="R43" s="139"/>
      <c r="S43" s="140">
        <v>15250</v>
      </c>
      <c r="T43" s="141"/>
    </row>
    <row r="44" spans="2:25" ht="11.25" x14ac:dyDescent="0.15">
      <c r="B44" s="139" t="s">
        <v>138</v>
      </c>
      <c r="C44" s="139"/>
      <c r="D44" s="140">
        <v>470.5</v>
      </c>
      <c r="E44" s="141"/>
      <c r="F44" s="100">
        <f>D44*1.55/100</f>
        <v>7.2927499999999998</v>
      </c>
      <c r="G44" s="139" t="s">
        <v>138</v>
      </c>
      <c r="H44" s="139"/>
      <c r="I44" s="140">
        <v>470.5</v>
      </c>
      <c r="J44" s="141"/>
      <c r="L44" s="139" t="s">
        <v>138</v>
      </c>
      <c r="M44" s="139"/>
      <c r="N44" s="140">
        <v>14500</v>
      </c>
      <c r="O44" s="141"/>
      <c r="Q44" s="139" t="s">
        <v>138</v>
      </c>
      <c r="R44" s="139"/>
      <c r="S44" s="140">
        <v>14500</v>
      </c>
      <c r="T44" s="141"/>
    </row>
    <row r="45" spans="2:25" ht="11.25" x14ac:dyDescent="0.15">
      <c r="B45" s="139" t="s">
        <v>140</v>
      </c>
      <c r="C45" s="139"/>
      <c r="D45" s="140">
        <v>32.840000000000003</v>
      </c>
      <c r="E45" s="141"/>
      <c r="G45" s="139" t="s">
        <v>140</v>
      </c>
      <c r="H45" s="139"/>
      <c r="I45" s="140">
        <v>32.840000000000003</v>
      </c>
      <c r="J45" s="141"/>
      <c r="L45" s="139" t="s">
        <v>140</v>
      </c>
      <c r="M45" s="139"/>
      <c r="N45" s="140">
        <v>423.5</v>
      </c>
      <c r="O45" s="141"/>
      <c r="Q45" s="139" t="s">
        <v>196</v>
      </c>
      <c r="R45" s="139"/>
      <c r="S45" s="140">
        <v>209.04</v>
      </c>
      <c r="T45" s="141"/>
    </row>
    <row r="46" spans="2:25" ht="11.25" x14ac:dyDescent="0.15">
      <c r="B46" s="139" t="s">
        <v>197</v>
      </c>
      <c r="C46" s="139"/>
      <c r="D46" s="140" t="s">
        <v>200</v>
      </c>
      <c r="E46" s="141"/>
      <c r="G46" s="139" t="s">
        <v>142</v>
      </c>
      <c r="H46" s="139"/>
      <c r="I46" s="140" t="s">
        <v>200</v>
      </c>
      <c r="J46" s="141"/>
      <c r="L46" s="139" t="s">
        <v>142</v>
      </c>
      <c r="M46" s="139"/>
      <c r="N46" s="140" t="s">
        <v>208</v>
      </c>
      <c r="O46" s="141"/>
      <c r="Q46" s="139" t="s">
        <v>142</v>
      </c>
      <c r="R46" s="139"/>
      <c r="S46" s="140" t="s">
        <v>218</v>
      </c>
      <c r="T46" s="141"/>
    </row>
    <row r="47" spans="2:25" ht="11.25" x14ac:dyDescent="0.15">
      <c r="B47" s="139" t="s">
        <v>145</v>
      </c>
      <c r="C47" s="139"/>
      <c r="D47" s="140">
        <v>12500</v>
      </c>
      <c r="E47" s="141"/>
      <c r="G47" s="139" t="s">
        <v>145</v>
      </c>
      <c r="H47" s="139"/>
      <c r="I47" s="140">
        <v>12500</v>
      </c>
      <c r="J47" s="141"/>
      <c r="L47" s="139" t="s">
        <v>145</v>
      </c>
      <c r="M47" s="139"/>
      <c r="N47" s="140">
        <v>5000</v>
      </c>
      <c r="O47" s="141"/>
      <c r="Q47" s="139" t="s">
        <v>145</v>
      </c>
      <c r="R47" s="139"/>
      <c r="S47" s="140">
        <v>5000</v>
      </c>
      <c r="T47" s="141"/>
    </row>
    <row r="48" spans="2:25" ht="12" thickBot="1" x14ac:dyDescent="0.2">
      <c r="B48" s="142" t="s">
        <v>147</v>
      </c>
      <c r="C48" s="142"/>
      <c r="D48" s="143" t="s">
        <v>223</v>
      </c>
      <c r="E48" s="144"/>
      <c r="G48" s="142" t="s">
        <v>147</v>
      </c>
      <c r="H48" s="142"/>
      <c r="I48" s="143" t="s">
        <v>205</v>
      </c>
      <c r="J48" s="144"/>
      <c r="L48" s="142" t="s">
        <v>147</v>
      </c>
      <c r="M48" s="142"/>
      <c r="N48" s="143" t="s">
        <v>203</v>
      </c>
      <c r="O48" s="144"/>
      <c r="Q48" s="142" t="s">
        <v>147</v>
      </c>
      <c r="R48" s="142"/>
      <c r="S48" s="143" t="s">
        <v>205</v>
      </c>
      <c r="T48" s="144"/>
    </row>
    <row r="49" spans="2:20" ht="12.75" thickTop="1" thickBot="1" x14ac:dyDescent="0.2">
      <c r="B49" s="146" t="s">
        <v>121</v>
      </c>
      <c r="C49" s="146"/>
      <c r="D49" s="146"/>
      <c r="E49" s="146"/>
      <c r="G49" s="146" t="s">
        <v>204</v>
      </c>
      <c r="H49" s="146"/>
      <c r="I49" s="146"/>
      <c r="J49" s="146"/>
      <c r="L49" s="146" t="s">
        <v>188</v>
      </c>
      <c r="M49" s="146"/>
      <c r="N49" s="146"/>
      <c r="O49" s="146"/>
      <c r="Q49" s="146" t="s">
        <v>232</v>
      </c>
      <c r="R49" s="146"/>
      <c r="S49" s="146"/>
      <c r="T49" s="146"/>
    </row>
    <row r="50" spans="2:20" ht="12" thickTop="1" x14ac:dyDescent="0.15">
      <c r="B50" s="139" t="s">
        <v>122</v>
      </c>
      <c r="C50" s="139"/>
      <c r="D50" s="145">
        <v>43235</v>
      </c>
      <c r="E50" s="147"/>
      <c r="G50" s="139" t="s">
        <v>122</v>
      </c>
      <c r="H50" s="139"/>
      <c r="I50" s="145">
        <v>43265</v>
      </c>
      <c r="J50" s="147"/>
      <c r="L50" s="139" t="s">
        <v>122</v>
      </c>
      <c r="M50" s="139"/>
      <c r="N50" s="145">
        <v>43237</v>
      </c>
      <c r="O50" s="147"/>
      <c r="Q50" s="139" t="s">
        <v>122</v>
      </c>
      <c r="R50" s="139"/>
      <c r="S50" s="145">
        <v>43237</v>
      </c>
      <c r="T50" s="147"/>
    </row>
    <row r="51" spans="2:20" ht="11.25" x14ac:dyDescent="0.15">
      <c r="B51" s="139" t="s">
        <v>124</v>
      </c>
      <c r="C51" s="139"/>
      <c r="D51" s="140" t="s">
        <v>221</v>
      </c>
      <c r="E51" s="141"/>
      <c r="G51" s="139" t="s">
        <v>124</v>
      </c>
      <c r="H51" s="139"/>
      <c r="I51" s="140" t="s">
        <v>202</v>
      </c>
      <c r="J51" s="141"/>
      <c r="L51" s="139" t="s">
        <v>124</v>
      </c>
      <c r="M51" s="139"/>
      <c r="N51" s="140" t="s">
        <v>4</v>
      </c>
      <c r="O51" s="141"/>
      <c r="Q51" s="139" t="s">
        <v>124</v>
      </c>
      <c r="R51" s="139"/>
      <c r="S51" s="140" t="s">
        <v>4</v>
      </c>
      <c r="T51" s="141"/>
    </row>
    <row r="52" spans="2:20" ht="11.25" x14ac:dyDescent="0.15">
      <c r="B52" s="139" t="s">
        <v>127</v>
      </c>
      <c r="C52" s="139"/>
      <c r="D52" s="140" t="s">
        <v>230</v>
      </c>
      <c r="E52" s="141"/>
      <c r="G52" s="139" t="s">
        <v>127</v>
      </c>
      <c r="H52" s="139"/>
      <c r="I52" s="140" t="s">
        <v>4</v>
      </c>
      <c r="J52" s="141"/>
      <c r="L52" s="139" t="s">
        <v>127</v>
      </c>
      <c r="M52" s="139"/>
      <c r="N52" s="140" t="s">
        <v>36</v>
      </c>
      <c r="O52" s="141"/>
      <c r="Q52" s="139" t="s">
        <v>127</v>
      </c>
      <c r="R52" s="139"/>
      <c r="S52" s="140" t="s">
        <v>36</v>
      </c>
      <c r="T52" s="141"/>
    </row>
    <row r="53" spans="2:20" ht="11.25" x14ac:dyDescent="0.15">
      <c r="B53" s="139" t="s">
        <v>179</v>
      </c>
      <c r="C53" s="139"/>
      <c r="D53" s="140">
        <f>D58*D60</f>
        <v>280000</v>
      </c>
      <c r="E53" s="141"/>
      <c r="G53" s="139" t="s">
        <v>129</v>
      </c>
      <c r="H53" s="139"/>
      <c r="I53" s="140">
        <f>I58*I60</f>
        <v>252000</v>
      </c>
      <c r="J53" s="141"/>
      <c r="L53" s="139" t="s">
        <v>179</v>
      </c>
      <c r="M53" s="139"/>
      <c r="N53" s="140">
        <f>N58*N60</f>
        <v>1272000</v>
      </c>
      <c r="O53" s="141"/>
      <c r="Q53" s="139" t="s">
        <v>179</v>
      </c>
      <c r="R53" s="139"/>
      <c r="S53" s="140">
        <f>S58*S60</f>
        <v>1230000</v>
      </c>
      <c r="T53" s="141"/>
    </row>
    <row r="54" spans="2:20" ht="11.25" x14ac:dyDescent="0.15">
      <c r="B54" s="139" t="s">
        <v>131</v>
      </c>
      <c r="C54" s="139"/>
      <c r="D54" s="140" t="s">
        <v>189</v>
      </c>
      <c r="E54" s="141"/>
      <c r="G54" s="139" t="s">
        <v>131</v>
      </c>
      <c r="H54" s="139"/>
      <c r="I54" s="140" t="s">
        <v>206</v>
      </c>
      <c r="J54" s="141"/>
      <c r="L54" s="139" t="s">
        <v>131</v>
      </c>
      <c r="M54" s="139"/>
      <c r="N54" s="140" t="s">
        <v>132</v>
      </c>
      <c r="O54" s="141"/>
      <c r="Q54" s="139" t="s">
        <v>131</v>
      </c>
      <c r="R54" s="139"/>
      <c r="S54" s="140" t="s">
        <v>132</v>
      </c>
      <c r="T54" s="141"/>
    </row>
    <row r="55" spans="2:20" ht="11.25" x14ac:dyDescent="0.15">
      <c r="B55" s="139" t="s">
        <v>134</v>
      </c>
      <c r="C55" s="139"/>
      <c r="D55" s="145">
        <f>D50+87</f>
        <v>43322</v>
      </c>
      <c r="E55" s="141"/>
      <c r="G55" s="139" t="s">
        <v>134</v>
      </c>
      <c r="H55" s="139"/>
      <c r="I55" s="145">
        <v>43294</v>
      </c>
      <c r="J55" s="141"/>
      <c r="L55" s="139" t="s">
        <v>134</v>
      </c>
      <c r="M55" s="139"/>
      <c r="N55" s="145">
        <f>N50+85</f>
        <v>43322</v>
      </c>
      <c r="O55" s="141"/>
      <c r="Q55" s="139" t="s">
        <v>134</v>
      </c>
      <c r="R55" s="139"/>
      <c r="S55" s="145">
        <f>S50+85</f>
        <v>43322</v>
      </c>
      <c r="T55" s="141"/>
    </row>
    <row r="56" spans="2:20" ht="11.25" x14ac:dyDescent="0.15">
      <c r="B56" s="139" t="s">
        <v>136</v>
      </c>
      <c r="C56" s="139"/>
      <c r="D56" s="140">
        <v>14825</v>
      </c>
      <c r="E56" s="141"/>
      <c r="G56" s="139" t="s">
        <v>136</v>
      </c>
      <c r="H56" s="150"/>
      <c r="I56" s="140">
        <v>14700</v>
      </c>
      <c r="J56" s="141"/>
      <c r="L56" s="139" t="s">
        <v>136</v>
      </c>
      <c r="M56" s="139"/>
      <c r="N56" s="140">
        <v>482</v>
      </c>
      <c r="O56" s="141"/>
      <c r="Q56" s="139" t="s">
        <v>136</v>
      </c>
      <c r="R56" s="139"/>
      <c r="S56" s="140">
        <v>482.5</v>
      </c>
      <c r="T56" s="141"/>
    </row>
    <row r="57" spans="2:20" ht="11.25" x14ac:dyDescent="0.15">
      <c r="B57" s="139" t="s">
        <v>138</v>
      </c>
      <c r="C57" s="139"/>
      <c r="D57" s="140">
        <v>14100</v>
      </c>
      <c r="E57" s="141"/>
      <c r="G57" s="139" t="s">
        <v>138</v>
      </c>
      <c r="H57" s="139"/>
      <c r="I57" s="140">
        <v>14500</v>
      </c>
      <c r="J57" s="141"/>
      <c r="L57" s="139" t="s">
        <v>138</v>
      </c>
      <c r="M57" s="139"/>
      <c r="N57" s="140">
        <v>480</v>
      </c>
      <c r="O57" s="141"/>
      <c r="Q57" s="139" t="s">
        <v>138</v>
      </c>
      <c r="R57" s="139"/>
      <c r="S57" s="140">
        <v>430</v>
      </c>
      <c r="T57" s="141"/>
    </row>
    <row r="58" spans="2:20" ht="11.25" x14ac:dyDescent="0.15">
      <c r="B58" s="139" t="s">
        <v>140</v>
      </c>
      <c r="C58" s="139"/>
      <c r="D58" s="140">
        <v>140</v>
      </c>
      <c r="E58" s="141"/>
      <c r="G58" s="139" t="s">
        <v>140</v>
      </c>
      <c r="H58" s="139"/>
      <c r="I58" s="140">
        <v>126</v>
      </c>
      <c r="J58" s="141"/>
      <c r="L58" s="139" t="s">
        <v>140</v>
      </c>
      <c r="M58" s="139"/>
      <c r="N58" s="140">
        <v>31.8</v>
      </c>
      <c r="O58" s="141"/>
      <c r="Q58" s="139" t="s">
        <v>140</v>
      </c>
      <c r="R58" s="139"/>
      <c r="S58" s="140">
        <v>12.3</v>
      </c>
      <c r="T58" s="141"/>
    </row>
    <row r="59" spans="2:20" ht="11.25" x14ac:dyDescent="0.15">
      <c r="B59" s="139" t="s">
        <v>142</v>
      </c>
      <c r="C59" s="139"/>
      <c r="D59" s="140" t="s">
        <v>229</v>
      </c>
      <c r="E59" s="141"/>
      <c r="G59" s="139" t="s">
        <v>142</v>
      </c>
      <c r="H59" s="139"/>
      <c r="I59" s="140" t="s">
        <v>231</v>
      </c>
      <c r="J59" s="141"/>
      <c r="L59" s="139" t="s">
        <v>142</v>
      </c>
      <c r="M59" s="139"/>
      <c r="N59" s="140" t="s">
        <v>200</v>
      </c>
      <c r="O59" s="141"/>
      <c r="Q59" s="139" t="s">
        <v>142</v>
      </c>
      <c r="R59" s="139"/>
      <c r="S59" s="140" t="s">
        <v>200</v>
      </c>
      <c r="T59" s="141"/>
    </row>
    <row r="60" spans="2:20" ht="11.25" x14ac:dyDescent="0.15">
      <c r="B60" s="139" t="s">
        <v>145</v>
      </c>
      <c r="C60" s="139"/>
      <c r="D60" s="140">
        <v>2000</v>
      </c>
      <c r="E60" s="141"/>
      <c r="G60" s="139" t="s">
        <v>145</v>
      </c>
      <c r="H60" s="139"/>
      <c r="I60" s="140">
        <v>2000</v>
      </c>
      <c r="J60" s="141"/>
      <c r="L60" s="139" t="s">
        <v>145</v>
      </c>
      <c r="M60" s="139"/>
      <c r="N60" s="140">
        <v>40000</v>
      </c>
      <c r="O60" s="141"/>
      <c r="Q60" s="139" t="s">
        <v>145</v>
      </c>
      <c r="R60" s="139"/>
      <c r="S60" s="140">
        <v>100000</v>
      </c>
      <c r="T60" s="141"/>
    </row>
    <row r="61" spans="2:20" ht="12" thickBot="1" x14ac:dyDescent="0.2">
      <c r="B61" s="142" t="s">
        <v>147</v>
      </c>
      <c r="C61" s="142"/>
      <c r="D61" s="143" t="s">
        <v>205</v>
      </c>
      <c r="E61" s="144"/>
      <c r="G61" s="142" t="s">
        <v>147</v>
      </c>
      <c r="H61" s="142"/>
      <c r="I61" s="143" t="s">
        <v>203</v>
      </c>
      <c r="J61" s="144"/>
      <c r="L61" s="142" t="s">
        <v>147</v>
      </c>
      <c r="M61" s="142"/>
      <c r="N61" s="143" t="s">
        <v>205</v>
      </c>
      <c r="O61" s="144"/>
      <c r="Q61" s="142" t="s">
        <v>147</v>
      </c>
      <c r="R61" s="142"/>
      <c r="S61" s="143" t="s">
        <v>205</v>
      </c>
      <c r="T61" s="144"/>
    </row>
    <row r="62" spans="2:20" ht="11.25" thickTop="1" x14ac:dyDescent="0.15"/>
    <row r="63" spans="2:20" ht="12" thickBot="1" x14ac:dyDescent="0.2">
      <c r="G63" s="146" t="s">
        <v>236</v>
      </c>
      <c r="H63" s="146"/>
      <c r="I63" s="146"/>
      <c r="J63" s="146"/>
      <c r="L63" s="146" t="s">
        <v>237</v>
      </c>
      <c r="M63" s="146"/>
      <c r="N63" s="146"/>
      <c r="O63" s="146"/>
      <c r="Q63" s="146" t="s">
        <v>249</v>
      </c>
      <c r="R63" s="146"/>
      <c r="S63" s="146"/>
      <c r="T63" s="146"/>
    </row>
    <row r="64" spans="2:20" ht="12" thickTop="1" x14ac:dyDescent="0.15">
      <c r="G64" s="139" t="s">
        <v>122</v>
      </c>
      <c r="H64" s="139"/>
      <c r="I64" s="145">
        <v>43248</v>
      </c>
      <c r="J64" s="147"/>
      <c r="L64" s="139" t="s">
        <v>122</v>
      </c>
      <c r="M64" s="139"/>
      <c r="N64" s="145">
        <v>43248</v>
      </c>
      <c r="O64" s="147"/>
      <c r="Q64" s="139" t="s">
        <v>122</v>
      </c>
      <c r="R64" s="139"/>
      <c r="S64" s="145">
        <v>43264</v>
      </c>
      <c r="T64" s="147"/>
    </row>
    <row r="65" spans="7:20" ht="11.25" x14ac:dyDescent="0.15">
      <c r="G65" s="139" t="s">
        <v>124</v>
      </c>
      <c r="H65" s="139"/>
      <c r="I65" s="140" t="s">
        <v>234</v>
      </c>
      <c r="J65" s="141"/>
      <c r="L65" s="139" t="s">
        <v>124</v>
      </c>
      <c r="M65" s="139"/>
      <c r="N65" s="140" t="s">
        <v>234</v>
      </c>
      <c r="O65" s="141"/>
      <c r="Q65" s="139" t="s">
        <v>124</v>
      </c>
      <c r="R65" s="139"/>
      <c r="S65" s="140" t="s">
        <v>250</v>
      </c>
      <c r="T65" s="141"/>
    </row>
    <row r="66" spans="7:20" ht="11.25" x14ac:dyDescent="0.15">
      <c r="G66" s="139" t="s">
        <v>127</v>
      </c>
      <c r="H66" s="139"/>
      <c r="I66" s="140" t="s">
        <v>36</v>
      </c>
      <c r="J66" s="141"/>
      <c r="L66" s="139" t="s">
        <v>127</v>
      </c>
      <c r="M66" s="139"/>
      <c r="N66" s="140" t="s">
        <v>36</v>
      </c>
      <c r="O66" s="141"/>
      <c r="Q66" s="139" t="s">
        <v>127</v>
      </c>
      <c r="R66" s="139"/>
      <c r="S66" s="140" t="s">
        <v>36</v>
      </c>
      <c r="T66" s="141"/>
    </row>
    <row r="67" spans="7:20" ht="11.25" x14ac:dyDescent="0.15">
      <c r="G67" s="139" t="s">
        <v>179</v>
      </c>
      <c r="H67" s="139"/>
      <c r="I67" s="140">
        <f>I72*I74</f>
        <v>244200.00000000003</v>
      </c>
      <c r="J67" s="141"/>
      <c r="L67" s="139" t="s">
        <v>179</v>
      </c>
      <c r="M67" s="139"/>
      <c r="N67" s="140">
        <f>N72*N74</f>
        <v>244200.00000000003</v>
      </c>
      <c r="O67" s="141"/>
      <c r="Q67" s="139" t="s">
        <v>129</v>
      </c>
      <c r="R67" s="139"/>
      <c r="S67" s="140">
        <f>S72*S74</f>
        <v>35120</v>
      </c>
      <c r="T67" s="141"/>
    </row>
    <row r="68" spans="7:20" ht="11.25" x14ac:dyDescent="0.15">
      <c r="G68" s="139" t="s">
        <v>131</v>
      </c>
      <c r="H68" s="139"/>
      <c r="I68" s="140" t="s">
        <v>132</v>
      </c>
      <c r="J68" s="141"/>
      <c r="L68" s="139" t="s">
        <v>131</v>
      </c>
      <c r="M68" s="139"/>
      <c r="N68" s="140" t="s">
        <v>235</v>
      </c>
      <c r="O68" s="141"/>
      <c r="Q68" s="139" t="s">
        <v>131</v>
      </c>
      <c r="R68" s="139"/>
      <c r="S68" s="140" t="s">
        <v>190</v>
      </c>
      <c r="T68" s="141"/>
    </row>
    <row r="69" spans="7:20" ht="11.25" x14ac:dyDescent="0.15">
      <c r="G69" s="139" t="s">
        <v>134</v>
      </c>
      <c r="H69" s="139"/>
      <c r="I69" s="145">
        <f>I64+79</f>
        <v>43327</v>
      </c>
      <c r="J69" s="141"/>
      <c r="L69" s="139" t="s">
        <v>134</v>
      </c>
      <c r="M69" s="139"/>
      <c r="N69" s="145">
        <f>N64+79</f>
        <v>43327</v>
      </c>
      <c r="O69" s="141"/>
      <c r="Q69" s="139" t="s">
        <v>134</v>
      </c>
      <c r="R69" s="139"/>
      <c r="S69" s="145">
        <f>S64+30</f>
        <v>43294</v>
      </c>
      <c r="T69" s="141"/>
    </row>
    <row r="70" spans="7:20" ht="11.25" x14ac:dyDescent="0.15">
      <c r="G70" s="139" t="s">
        <v>136</v>
      </c>
      <c r="H70" s="139"/>
      <c r="I70" s="140">
        <v>456.5</v>
      </c>
      <c r="J70" s="141"/>
      <c r="L70" s="139" t="s">
        <v>136</v>
      </c>
      <c r="M70" s="139"/>
      <c r="N70" s="140">
        <v>456.5</v>
      </c>
      <c r="O70" s="141"/>
      <c r="Q70" s="139" t="s">
        <v>136</v>
      </c>
      <c r="R70" s="139"/>
      <c r="S70" s="140">
        <v>18280</v>
      </c>
      <c r="T70" s="141"/>
    </row>
    <row r="71" spans="7:20" ht="11.25" x14ac:dyDescent="0.15">
      <c r="G71" s="139" t="s">
        <v>138</v>
      </c>
      <c r="H71" s="139"/>
      <c r="I71" s="140">
        <v>456.5</v>
      </c>
      <c r="J71" s="141"/>
      <c r="L71" s="139" t="s">
        <v>138</v>
      </c>
      <c r="M71" s="139"/>
      <c r="N71" s="140">
        <v>456.5</v>
      </c>
      <c r="O71" s="141"/>
      <c r="Q71" s="139" t="s">
        <v>138</v>
      </c>
      <c r="R71" s="139"/>
      <c r="S71" s="140">
        <v>19000</v>
      </c>
      <c r="T71" s="141"/>
    </row>
    <row r="72" spans="7:20" ht="11.25" x14ac:dyDescent="0.15">
      <c r="G72" s="139" t="s">
        <v>140</v>
      </c>
      <c r="H72" s="139"/>
      <c r="I72" s="140">
        <v>24.42</v>
      </c>
      <c r="J72" s="141"/>
      <c r="L72" s="139" t="s">
        <v>140</v>
      </c>
      <c r="M72" s="139"/>
      <c r="N72" s="140">
        <v>24.42</v>
      </c>
      <c r="O72" s="141"/>
      <c r="Q72" s="139" t="s">
        <v>140</v>
      </c>
      <c r="R72" s="139"/>
      <c r="S72" s="140">
        <v>439</v>
      </c>
      <c r="T72" s="141"/>
    </row>
    <row r="73" spans="7:20" ht="11.25" x14ac:dyDescent="0.15">
      <c r="G73" s="139" t="s">
        <v>142</v>
      </c>
      <c r="H73" s="139"/>
      <c r="I73" s="140" t="s">
        <v>200</v>
      </c>
      <c r="J73" s="141"/>
      <c r="L73" s="139" t="s">
        <v>142</v>
      </c>
      <c r="M73" s="139"/>
      <c r="N73" s="140" t="s">
        <v>200</v>
      </c>
      <c r="O73" s="141"/>
      <c r="Q73" s="139" t="s">
        <v>142</v>
      </c>
      <c r="R73" s="139"/>
      <c r="S73" s="140" t="s">
        <v>248</v>
      </c>
      <c r="T73" s="141"/>
    </row>
    <row r="74" spans="7:20" ht="11.25" x14ac:dyDescent="0.15">
      <c r="G74" s="139" t="s">
        <v>145</v>
      </c>
      <c r="H74" s="139"/>
      <c r="I74" s="140">
        <v>10000</v>
      </c>
      <c r="J74" s="141"/>
      <c r="L74" s="139" t="s">
        <v>145</v>
      </c>
      <c r="M74" s="139"/>
      <c r="N74" s="140">
        <v>10000</v>
      </c>
      <c r="O74" s="141"/>
      <c r="Q74" s="139" t="s">
        <v>145</v>
      </c>
      <c r="R74" s="139"/>
      <c r="S74" s="140">
        <v>80</v>
      </c>
      <c r="T74" s="141"/>
    </row>
    <row r="75" spans="7:20" ht="12" thickBot="1" x14ac:dyDescent="0.2">
      <c r="G75" s="142" t="s">
        <v>147</v>
      </c>
      <c r="H75" s="142"/>
      <c r="I75" s="143" t="s">
        <v>205</v>
      </c>
      <c r="J75" s="144"/>
      <c r="L75" s="142" t="s">
        <v>147</v>
      </c>
      <c r="M75" s="142"/>
      <c r="N75" s="143" t="s">
        <v>205</v>
      </c>
      <c r="O75" s="144"/>
      <c r="Q75" s="142" t="s">
        <v>147</v>
      </c>
      <c r="R75" s="142"/>
      <c r="S75" s="143" t="s">
        <v>205</v>
      </c>
      <c r="T75" s="144"/>
    </row>
    <row r="76" spans="7:20" ht="11.25" thickTop="1" x14ac:dyDescent="0.15"/>
    <row r="77" spans="7:20" ht="12" thickBot="1" x14ac:dyDescent="0.2">
      <c r="G77" s="146" t="s">
        <v>236</v>
      </c>
      <c r="H77" s="146"/>
      <c r="I77" s="146"/>
      <c r="J77" s="146"/>
      <c r="L77" s="146" t="s">
        <v>251</v>
      </c>
      <c r="M77" s="146"/>
      <c r="N77" s="146"/>
      <c r="O77" s="146"/>
      <c r="Q77" s="146" t="s">
        <v>204</v>
      </c>
      <c r="R77" s="146"/>
      <c r="S77" s="146"/>
      <c r="T77" s="146"/>
    </row>
    <row r="78" spans="7:20" ht="12" thickTop="1" x14ac:dyDescent="0.15">
      <c r="G78" s="139" t="s">
        <v>122</v>
      </c>
      <c r="H78" s="139"/>
      <c r="I78" s="145">
        <v>43248</v>
      </c>
      <c r="J78" s="147"/>
      <c r="L78" s="139" t="s">
        <v>122</v>
      </c>
      <c r="M78" s="139"/>
      <c r="N78" s="145">
        <v>43265</v>
      </c>
      <c r="O78" s="147"/>
      <c r="Q78" s="139" t="s">
        <v>122</v>
      </c>
      <c r="R78" s="139"/>
      <c r="S78" s="145">
        <v>43276</v>
      </c>
      <c r="T78" s="147"/>
    </row>
    <row r="79" spans="7:20" ht="11.25" x14ac:dyDescent="0.15">
      <c r="G79" s="139" t="s">
        <v>124</v>
      </c>
      <c r="H79" s="139"/>
      <c r="I79" s="140" t="s">
        <v>234</v>
      </c>
      <c r="J79" s="141"/>
      <c r="L79" s="139" t="s">
        <v>124</v>
      </c>
      <c r="M79" s="139"/>
      <c r="N79" s="140" t="s">
        <v>234</v>
      </c>
      <c r="O79" s="141"/>
      <c r="Q79" s="139" t="s">
        <v>124</v>
      </c>
      <c r="R79" s="139"/>
      <c r="S79" s="140" t="s">
        <v>202</v>
      </c>
      <c r="T79" s="141"/>
    </row>
    <row r="80" spans="7:20" ht="11.25" x14ac:dyDescent="0.15">
      <c r="G80" s="139" t="s">
        <v>127</v>
      </c>
      <c r="H80" s="139"/>
      <c r="I80" s="140" t="s">
        <v>36</v>
      </c>
      <c r="J80" s="141"/>
      <c r="L80" s="139" t="s">
        <v>127</v>
      </c>
      <c r="M80" s="139"/>
      <c r="N80" s="140" t="s">
        <v>36</v>
      </c>
      <c r="O80" s="141"/>
      <c r="Q80" s="139" t="s">
        <v>127</v>
      </c>
      <c r="R80" s="139"/>
      <c r="S80" s="140" t="s">
        <v>4</v>
      </c>
      <c r="T80" s="141"/>
    </row>
    <row r="81" spans="7:20" ht="11.25" x14ac:dyDescent="0.15">
      <c r="G81" s="139" t="s">
        <v>179</v>
      </c>
      <c r="H81" s="139"/>
      <c r="I81" s="140">
        <f>I86*I88</f>
        <v>244200.00000000003</v>
      </c>
      <c r="J81" s="141"/>
      <c r="L81" s="139" t="s">
        <v>179</v>
      </c>
      <c r="M81" s="139"/>
      <c r="N81" s="148">
        <f>N86*N88</f>
        <v>784480</v>
      </c>
      <c r="O81" s="149"/>
      <c r="Q81" s="139" t="s">
        <v>129</v>
      </c>
      <c r="R81" s="139"/>
      <c r="S81" s="148">
        <f>S86*S88</f>
        <v>1009200</v>
      </c>
      <c r="T81" s="149"/>
    </row>
    <row r="82" spans="7:20" ht="11.25" x14ac:dyDescent="0.15">
      <c r="G82" s="139" t="s">
        <v>131</v>
      </c>
      <c r="H82" s="139"/>
      <c r="I82" s="140" t="s">
        <v>132</v>
      </c>
      <c r="J82" s="141"/>
      <c r="L82" s="139" t="s">
        <v>131</v>
      </c>
      <c r="M82" s="139"/>
      <c r="N82" s="140" t="s">
        <v>252</v>
      </c>
      <c r="O82" s="141"/>
      <c r="Q82" s="139" t="s">
        <v>131</v>
      </c>
      <c r="R82" s="139"/>
      <c r="S82" s="140" t="s">
        <v>206</v>
      </c>
      <c r="T82" s="141"/>
    </row>
    <row r="83" spans="7:20" ht="11.25" x14ac:dyDescent="0.15">
      <c r="G83" s="139" t="s">
        <v>134</v>
      </c>
      <c r="H83" s="139"/>
      <c r="I83" s="145">
        <f>I78+31</f>
        <v>43279</v>
      </c>
      <c r="J83" s="141"/>
      <c r="L83" s="139" t="s">
        <v>134</v>
      </c>
      <c r="M83" s="139"/>
      <c r="N83" s="145">
        <v>43404</v>
      </c>
      <c r="O83" s="141"/>
      <c r="Q83" s="139" t="s">
        <v>134</v>
      </c>
      <c r="R83" s="139"/>
      <c r="S83" s="145">
        <v>43322</v>
      </c>
      <c r="T83" s="141"/>
    </row>
    <row r="84" spans="7:20" ht="11.25" x14ac:dyDescent="0.15">
      <c r="G84" s="139" t="s">
        <v>136</v>
      </c>
      <c r="H84" s="139"/>
      <c r="I84" s="140">
        <v>456.5</v>
      </c>
      <c r="J84" s="141"/>
      <c r="L84" s="139" t="s">
        <v>136</v>
      </c>
      <c r="M84" s="139"/>
      <c r="N84" s="140">
        <v>1817</v>
      </c>
      <c r="O84" s="141"/>
      <c r="P84" s="100">
        <f>N84*3.5/100</f>
        <v>63.594999999999999</v>
      </c>
      <c r="Q84" s="139" t="s">
        <v>136</v>
      </c>
      <c r="R84" s="150"/>
      <c r="S84" s="140">
        <v>466</v>
      </c>
      <c r="T84" s="141"/>
    </row>
    <row r="85" spans="7:20" ht="11.25" x14ac:dyDescent="0.15">
      <c r="G85" s="139" t="s">
        <v>138</v>
      </c>
      <c r="H85" s="139"/>
      <c r="I85" s="140">
        <v>456.5</v>
      </c>
      <c r="J85" s="141"/>
      <c r="L85" s="139" t="s">
        <v>138</v>
      </c>
      <c r="M85" s="139"/>
      <c r="N85" s="140">
        <v>1805</v>
      </c>
      <c r="O85" s="141"/>
      <c r="Q85" s="139" t="s">
        <v>138</v>
      </c>
      <c r="R85" s="139"/>
      <c r="S85" s="140">
        <v>480</v>
      </c>
      <c r="T85" s="141"/>
    </row>
    <row r="86" spans="7:20" ht="11.25" x14ac:dyDescent="0.15">
      <c r="G86" s="139" t="s">
        <v>140</v>
      </c>
      <c r="H86" s="139"/>
      <c r="I86" s="140">
        <v>24.42</v>
      </c>
      <c r="J86" s="141"/>
      <c r="L86" s="139" t="s">
        <v>140</v>
      </c>
      <c r="M86" s="139"/>
      <c r="N86" s="140">
        <v>49.03</v>
      </c>
      <c r="O86" s="141"/>
      <c r="Q86" s="139" t="s">
        <v>140</v>
      </c>
      <c r="R86" s="139"/>
      <c r="S86" s="140">
        <v>25.23</v>
      </c>
      <c r="T86" s="141"/>
    </row>
    <row r="87" spans="7:20" ht="11.25" x14ac:dyDescent="0.15">
      <c r="G87" s="139" t="s">
        <v>142</v>
      </c>
      <c r="H87" s="139"/>
      <c r="I87" s="140" t="s">
        <v>200</v>
      </c>
      <c r="J87" s="141"/>
      <c r="L87" s="139" t="s">
        <v>142</v>
      </c>
      <c r="M87" s="139"/>
      <c r="N87" s="140" t="s">
        <v>253</v>
      </c>
      <c r="O87" s="141"/>
      <c r="Q87" s="139" t="s">
        <v>142</v>
      </c>
      <c r="R87" s="139"/>
      <c r="S87" s="140" t="s">
        <v>200</v>
      </c>
      <c r="T87" s="141"/>
    </row>
    <row r="88" spans="7:20" ht="11.25" x14ac:dyDescent="0.15">
      <c r="G88" s="139" t="s">
        <v>145</v>
      </c>
      <c r="H88" s="139"/>
      <c r="I88" s="140">
        <v>10000</v>
      </c>
      <c r="J88" s="141"/>
      <c r="L88" s="139" t="s">
        <v>145</v>
      </c>
      <c r="M88" s="139"/>
      <c r="N88" s="140">
        <v>16000</v>
      </c>
      <c r="O88" s="141"/>
      <c r="Q88" s="139" t="s">
        <v>145</v>
      </c>
      <c r="R88" s="139"/>
      <c r="S88" s="140">
        <v>40000</v>
      </c>
      <c r="T88" s="141"/>
    </row>
    <row r="89" spans="7:20" ht="12" thickBot="1" x14ac:dyDescent="0.2">
      <c r="G89" s="142" t="s">
        <v>147</v>
      </c>
      <c r="H89" s="142"/>
      <c r="I89" s="143" t="s">
        <v>205</v>
      </c>
      <c r="J89" s="144"/>
      <c r="L89" s="142" t="s">
        <v>147</v>
      </c>
      <c r="M89" s="142"/>
      <c r="N89" s="143" t="s">
        <v>205</v>
      </c>
      <c r="O89" s="144"/>
      <c r="Q89" s="142" t="s">
        <v>147</v>
      </c>
      <c r="R89" s="142"/>
      <c r="S89" s="143" t="s">
        <v>203</v>
      </c>
      <c r="T89" s="144"/>
    </row>
    <row r="90" spans="7:20" ht="11.25" thickTop="1" x14ac:dyDescent="0.15"/>
    <row r="91" spans="7:20" ht="12" thickBot="1" x14ac:dyDescent="0.2">
      <c r="G91" s="146" t="s">
        <v>401</v>
      </c>
      <c r="H91" s="146"/>
      <c r="I91" s="146"/>
      <c r="J91" s="146"/>
      <c r="L91" s="146" t="s">
        <v>402</v>
      </c>
      <c r="M91" s="146"/>
      <c r="N91" s="146"/>
      <c r="O91" s="146"/>
      <c r="Q91" s="146" t="s">
        <v>249</v>
      </c>
      <c r="R91" s="146"/>
      <c r="S91" s="146"/>
      <c r="T91" s="146"/>
    </row>
    <row r="92" spans="7:20" ht="12" thickTop="1" x14ac:dyDescent="0.15">
      <c r="G92" s="139" t="s">
        <v>122</v>
      </c>
      <c r="H92" s="139"/>
      <c r="I92" s="145">
        <v>43298</v>
      </c>
      <c r="J92" s="147"/>
      <c r="L92" s="139" t="s">
        <v>122</v>
      </c>
      <c r="M92" s="139"/>
      <c r="N92" s="145">
        <v>43298</v>
      </c>
      <c r="O92" s="147"/>
      <c r="Q92" s="139" t="s">
        <v>122</v>
      </c>
      <c r="R92" s="139"/>
      <c r="S92" s="145">
        <v>43264</v>
      </c>
      <c r="T92" s="147"/>
    </row>
    <row r="93" spans="7:20" ht="11.25" x14ac:dyDescent="0.15">
      <c r="G93" s="139" t="s">
        <v>124</v>
      </c>
      <c r="H93" s="139"/>
      <c r="I93" s="140" t="s">
        <v>202</v>
      </c>
      <c r="J93" s="141"/>
      <c r="L93" s="139" t="s">
        <v>124</v>
      </c>
      <c r="M93" s="139"/>
      <c r="N93" s="140" t="s">
        <v>202</v>
      </c>
      <c r="O93" s="141"/>
      <c r="Q93" s="139" t="s">
        <v>124</v>
      </c>
      <c r="R93" s="139"/>
      <c r="S93" s="140" t="s">
        <v>250</v>
      </c>
      <c r="T93" s="141"/>
    </row>
    <row r="94" spans="7:20" ht="11.25" x14ac:dyDescent="0.15">
      <c r="G94" s="139" t="s">
        <v>127</v>
      </c>
      <c r="H94" s="139"/>
      <c r="I94" s="140" t="s">
        <v>186</v>
      </c>
      <c r="J94" s="141"/>
      <c r="L94" s="139" t="s">
        <v>127</v>
      </c>
      <c r="M94" s="139"/>
      <c r="N94" s="140" t="s">
        <v>186</v>
      </c>
      <c r="O94" s="141"/>
      <c r="Q94" s="139" t="s">
        <v>127</v>
      </c>
      <c r="R94" s="139"/>
      <c r="S94" s="140" t="s">
        <v>36</v>
      </c>
      <c r="T94" s="141"/>
    </row>
    <row r="95" spans="7:20" ht="11.25" x14ac:dyDescent="0.15">
      <c r="G95" s="139" t="s">
        <v>129</v>
      </c>
      <c r="H95" s="139"/>
      <c r="I95" s="148">
        <f>I102*I100</f>
        <v>352200</v>
      </c>
      <c r="J95" s="149"/>
      <c r="L95" s="139" t="s">
        <v>129</v>
      </c>
      <c r="M95" s="139"/>
      <c r="N95" s="148">
        <f>N100*N102</f>
        <v>352200</v>
      </c>
      <c r="O95" s="149"/>
      <c r="Q95" s="139" t="s">
        <v>129</v>
      </c>
      <c r="R95" s="139"/>
      <c r="S95" s="140">
        <f>S100*S102</f>
        <v>35120</v>
      </c>
      <c r="T95" s="141"/>
    </row>
    <row r="96" spans="7:20" ht="11.25" x14ac:dyDescent="0.15">
      <c r="G96" s="139" t="s">
        <v>131</v>
      </c>
      <c r="H96" s="139"/>
      <c r="I96" s="140" t="s">
        <v>206</v>
      </c>
      <c r="J96" s="141"/>
      <c r="L96" s="139" t="s">
        <v>131</v>
      </c>
      <c r="M96" s="139"/>
      <c r="N96" s="140" t="s">
        <v>393</v>
      </c>
      <c r="O96" s="141"/>
      <c r="Q96" s="139" t="s">
        <v>131</v>
      </c>
      <c r="R96" s="139"/>
      <c r="S96" s="140" t="s">
        <v>190</v>
      </c>
      <c r="T96" s="141"/>
    </row>
    <row r="97" spans="7:20" ht="11.25" x14ac:dyDescent="0.15">
      <c r="G97" s="139" t="s">
        <v>134</v>
      </c>
      <c r="H97" s="139"/>
      <c r="I97" s="145">
        <v>43329</v>
      </c>
      <c r="J97" s="141"/>
      <c r="L97" s="139" t="s">
        <v>134</v>
      </c>
      <c r="M97" s="139"/>
      <c r="N97" s="145">
        <v>43329</v>
      </c>
      <c r="O97" s="141"/>
      <c r="Q97" s="139" t="s">
        <v>134</v>
      </c>
      <c r="R97" s="139"/>
      <c r="S97" s="145">
        <f>S92+30</f>
        <v>43294</v>
      </c>
      <c r="T97" s="141"/>
    </row>
    <row r="98" spans="7:20" ht="11.25" x14ac:dyDescent="0.15">
      <c r="G98" s="139" t="s">
        <v>136</v>
      </c>
      <c r="H98" s="150"/>
      <c r="I98" s="140">
        <v>479.2</v>
      </c>
      <c r="J98" s="141"/>
      <c r="L98" s="139" t="s">
        <v>136</v>
      </c>
      <c r="M98" s="150"/>
      <c r="N98" s="140">
        <v>479.2</v>
      </c>
      <c r="O98" s="141"/>
      <c r="Q98" s="139" t="s">
        <v>136</v>
      </c>
      <c r="R98" s="139"/>
      <c r="S98" s="140">
        <v>18280</v>
      </c>
      <c r="T98" s="141"/>
    </row>
    <row r="99" spans="7:20" ht="11.25" x14ac:dyDescent="0.15">
      <c r="G99" s="139" t="s">
        <v>138</v>
      </c>
      <c r="H99" s="139"/>
      <c r="I99" s="140">
        <v>479.2</v>
      </c>
      <c r="J99" s="141"/>
      <c r="L99" s="139" t="s">
        <v>138</v>
      </c>
      <c r="M99" s="139"/>
      <c r="N99" s="140">
        <v>479.2</v>
      </c>
      <c r="O99" s="141"/>
      <c r="Q99" s="139" t="s">
        <v>138</v>
      </c>
      <c r="R99" s="139"/>
      <c r="S99" s="140">
        <v>19000</v>
      </c>
      <c r="T99" s="141"/>
    </row>
    <row r="100" spans="7:20" ht="11.25" x14ac:dyDescent="0.15">
      <c r="G100" s="139" t="s">
        <v>394</v>
      </c>
      <c r="H100" s="139"/>
      <c r="I100" s="140">
        <v>11.74</v>
      </c>
      <c r="J100" s="141"/>
      <c r="L100" s="139" t="s">
        <v>394</v>
      </c>
      <c r="M100" s="139"/>
      <c r="N100" s="140">
        <v>11.74</v>
      </c>
      <c r="O100" s="141"/>
      <c r="Q100" s="139" t="s">
        <v>140</v>
      </c>
      <c r="R100" s="139"/>
      <c r="S100" s="140">
        <v>439</v>
      </c>
      <c r="T100" s="141"/>
    </row>
    <row r="101" spans="7:20" ht="11.25" x14ac:dyDescent="0.15">
      <c r="G101" s="139" t="s">
        <v>142</v>
      </c>
      <c r="H101" s="139"/>
      <c r="I101" s="140" t="s">
        <v>395</v>
      </c>
      <c r="J101" s="141"/>
      <c r="L101" s="139" t="s">
        <v>142</v>
      </c>
      <c r="M101" s="139"/>
      <c r="N101" s="140" t="s">
        <v>395</v>
      </c>
      <c r="O101" s="141"/>
      <c r="Q101" s="139" t="s">
        <v>142</v>
      </c>
      <c r="R101" s="139"/>
      <c r="S101" s="140" t="s">
        <v>248</v>
      </c>
      <c r="T101" s="141"/>
    </row>
    <row r="102" spans="7:20" ht="11.25" x14ac:dyDescent="0.15">
      <c r="G102" s="139" t="s">
        <v>396</v>
      </c>
      <c r="H102" s="139"/>
      <c r="I102" s="140">
        <v>30000</v>
      </c>
      <c r="J102" s="141"/>
      <c r="L102" s="139" t="s">
        <v>396</v>
      </c>
      <c r="M102" s="139"/>
      <c r="N102" s="140">
        <v>30000</v>
      </c>
      <c r="O102" s="141"/>
      <c r="Q102" s="139" t="s">
        <v>145</v>
      </c>
      <c r="R102" s="139"/>
      <c r="S102" s="140">
        <v>80</v>
      </c>
      <c r="T102" s="141"/>
    </row>
    <row r="103" spans="7:20" ht="12" thickBot="1" x14ac:dyDescent="0.2">
      <c r="G103" s="142" t="s">
        <v>147</v>
      </c>
      <c r="H103" s="142"/>
      <c r="I103" s="143" t="s">
        <v>203</v>
      </c>
      <c r="J103" s="144"/>
      <c r="L103" s="142" t="s">
        <v>147</v>
      </c>
      <c r="M103" s="142"/>
      <c r="N103" s="143" t="s">
        <v>203</v>
      </c>
      <c r="O103" s="144"/>
      <c r="Q103" s="142" t="s">
        <v>147</v>
      </c>
      <c r="R103" s="142"/>
      <c r="S103" s="143" t="s">
        <v>205</v>
      </c>
      <c r="T103" s="144"/>
    </row>
    <row r="104" spans="7:20" ht="11.25" thickTop="1" x14ac:dyDescent="0.15"/>
  </sheetData>
  <mergeCells count="651">
    <mergeCell ref="Q87:R87"/>
    <mergeCell ref="S87:T87"/>
    <mergeCell ref="Q88:R88"/>
    <mergeCell ref="S88:T88"/>
    <mergeCell ref="Q89:R89"/>
    <mergeCell ref="S89:T89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77:T77"/>
    <mergeCell ref="Q78:R78"/>
    <mergeCell ref="S78:T78"/>
    <mergeCell ref="Q79:R79"/>
    <mergeCell ref="S79:T79"/>
    <mergeCell ref="Q80:R80"/>
    <mergeCell ref="S80:T80"/>
    <mergeCell ref="Q81:R81"/>
    <mergeCell ref="S81:T81"/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Q63:T63"/>
    <mergeCell ref="Q64:R64"/>
    <mergeCell ref="S64:T64"/>
    <mergeCell ref="Q65:R65"/>
    <mergeCell ref="S65:T65"/>
    <mergeCell ref="Q66:R66"/>
    <mergeCell ref="S66:T66"/>
    <mergeCell ref="Q67:R67"/>
    <mergeCell ref="S67:T67"/>
    <mergeCell ref="Q73:R73"/>
    <mergeCell ref="S73:T73"/>
    <mergeCell ref="Q74:R74"/>
    <mergeCell ref="S74:T74"/>
    <mergeCell ref="Q75:R75"/>
    <mergeCell ref="S75:T75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G91:J91"/>
    <mergeCell ref="G92:H92"/>
    <mergeCell ref="I92:J92"/>
    <mergeCell ref="G93:H93"/>
    <mergeCell ref="I93:J93"/>
    <mergeCell ref="G94:H94"/>
    <mergeCell ref="I94:J94"/>
    <mergeCell ref="G95:H95"/>
    <mergeCell ref="I95:J95"/>
    <mergeCell ref="G96:H96"/>
    <mergeCell ref="I96:J96"/>
    <mergeCell ref="G97:H97"/>
    <mergeCell ref="I97:J97"/>
    <mergeCell ref="G98:H98"/>
    <mergeCell ref="I98:J98"/>
    <mergeCell ref="G99:H99"/>
    <mergeCell ref="I99:J99"/>
    <mergeCell ref="G100:H100"/>
    <mergeCell ref="I100:J100"/>
    <mergeCell ref="L96:M96"/>
    <mergeCell ref="N96:O96"/>
    <mergeCell ref="L97:M97"/>
    <mergeCell ref="N97:O97"/>
    <mergeCell ref="L98:M98"/>
    <mergeCell ref="N98:O98"/>
    <mergeCell ref="L99:M99"/>
    <mergeCell ref="N99:O99"/>
    <mergeCell ref="L100:M100"/>
    <mergeCell ref="N100:O100"/>
    <mergeCell ref="L91:O91"/>
    <mergeCell ref="L92:M92"/>
    <mergeCell ref="N92:O92"/>
    <mergeCell ref="L93:M93"/>
    <mergeCell ref="N93:O93"/>
    <mergeCell ref="L94:M94"/>
    <mergeCell ref="N94:O94"/>
    <mergeCell ref="L95:M95"/>
    <mergeCell ref="N95:O95"/>
    <mergeCell ref="L101:M101"/>
    <mergeCell ref="N101:O101"/>
    <mergeCell ref="L102:M102"/>
    <mergeCell ref="N102:O102"/>
    <mergeCell ref="L103:M103"/>
    <mergeCell ref="N103:O103"/>
    <mergeCell ref="G101:H101"/>
    <mergeCell ref="I101:J101"/>
    <mergeCell ref="G102:H102"/>
    <mergeCell ref="I102:J102"/>
    <mergeCell ref="G103:H103"/>
    <mergeCell ref="I103:J103"/>
    <mergeCell ref="Q91:T91"/>
    <mergeCell ref="Q92:R92"/>
    <mergeCell ref="S92:T92"/>
    <mergeCell ref="Q93:R93"/>
    <mergeCell ref="S93:T93"/>
    <mergeCell ref="Q94:R94"/>
    <mergeCell ref="S94:T94"/>
    <mergeCell ref="Q95:R95"/>
    <mergeCell ref="S95:T95"/>
    <mergeCell ref="Q101:R101"/>
    <mergeCell ref="S101:T101"/>
    <mergeCell ref="Q102:R102"/>
    <mergeCell ref="S102:T102"/>
    <mergeCell ref="Q103:R103"/>
    <mergeCell ref="S103:T103"/>
    <mergeCell ref="Q96:R96"/>
    <mergeCell ref="S96:T96"/>
    <mergeCell ref="Q97:R97"/>
    <mergeCell ref="S97:T97"/>
    <mergeCell ref="Q98:R98"/>
    <mergeCell ref="S98:T98"/>
    <mergeCell ref="Q99:R99"/>
    <mergeCell ref="S99:T99"/>
    <mergeCell ref="Q100:R100"/>
    <mergeCell ref="S100:T10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218"/>
  <sheetViews>
    <sheetView tabSelected="1" topLeftCell="C1" zoomScaleNormal="100" workbookViewId="0">
      <pane ySplit="10" topLeftCell="A203" activePane="bottomLeft" state="frozen"/>
      <selection pane="bottomLeft" activeCell="G223" sqref="G223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63" t="s">
        <v>37</v>
      </c>
      <c r="C1" s="163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/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201</v>
      </c>
      <c r="E8" s="8">
        <f t="shared" ref="E8:E9" ca="1" si="0">TODAY()</f>
        <v>43301</v>
      </c>
      <c r="F8" s="8">
        <f t="shared" ref="F8" ca="1" si="1">E8+H8</f>
        <v>43392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-11442.800260330714</v>
      </c>
      <c r="M8" s="15"/>
      <c r="N8" s="13">
        <f t="shared" ref="N8" si="2">M8/10000*I8*P8</f>
        <v>0</v>
      </c>
      <c r="O8" s="13">
        <f>IF(L8&lt;=0,ABS(L8)+N8,L8-N8)</f>
        <v>11442.800260330714</v>
      </c>
      <c r="P8" s="11">
        <f>RTD("wdf.rtq",,D8,"LastPrice")</f>
        <v>0</v>
      </c>
      <c r="Q8" s="10" t="s">
        <v>85</v>
      </c>
      <c r="R8" s="10">
        <f t="shared" ref="R8" si="3">IF(S8="中金买入",1,-1)</f>
        <v>-1</v>
      </c>
      <c r="S8" s="10" t="s">
        <v>20</v>
      </c>
      <c r="T8" s="14" t="e">
        <f t="shared" ref="T8" si="4">O8/P8</f>
        <v>#DIV/0!</v>
      </c>
      <c r="U8" s="13" t="e">
        <f>_xll.dnetGBlackScholesNGreeks("delta",$Q8,$P8,$G8,$I8,$C$3,$J8,$K8,$C$4)*R8</f>
        <v>#VALUE!</v>
      </c>
      <c r="V8" s="13">
        <f>_xll.dnetGBlackScholesNGreeks("vega",$Q8,$P8,$G8,$I8,$C$3,$J8,$K8,$C$4)*R8</f>
        <v>0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201</v>
      </c>
      <c r="E9" s="8">
        <f t="shared" ca="1" si="0"/>
        <v>43301</v>
      </c>
      <c r="F9" s="8">
        <f t="shared" ref="F9" ca="1" si="5">E9+H9</f>
        <v>43848.5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5" x14ac:dyDescent="0.15">
      <c r="N10" s="6">
        <f t="shared" si="6"/>
        <v>0</v>
      </c>
    </row>
    <row r="11" spans="1:25" x14ac:dyDescent="0.15">
      <c r="E11" s="117"/>
      <c r="F11" s="117"/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254</v>
      </c>
      <c r="E15" s="8">
        <f t="shared" ref="E15:E94" ca="1" si="9">TODAY()</f>
        <v>43301</v>
      </c>
      <c r="F15" s="8">
        <f t="shared" ref="F15" ca="1" si="10">E15+H15</f>
        <v>43360</v>
      </c>
      <c r="G15" s="11">
        <v>100</v>
      </c>
      <c r="H15" s="10">
        <v>59</v>
      </c>
      <c r="I15" s="12">
        <f t="shared" ref="I15" si="11">H15/365</f>
        <v>0.16164383561643836</v>
      </c>
      <c r="J15" s="12">
        <v>0</v>
      </c>
      <c r="K15" s="116">
        <v>0.36</v>
      </c>
      <c r="L15" s="13">
        <f>_xll.dnetGBlackScholesNGreeks("price",$Q15,$P15,$G15,$I15,$C$3,$J15,$K15,$C$4)*R15</f>
        <v>-5.750547120668223</v>
      </c>
      <c r="M15" s="15">
        <v>0</v>
      </c>
      <c r="N15" s="13">
        <f t="shared" ref="N15" si="12">M15/10000*I15*P15</f>
        <v>0</v>
      </c>
      <c r="O15" s="13">
        <f t="shared" ref="O15" si="13">IF(L15&lt;=0,ABS(L15)+N15,L15-N15)</f>
        <v>5.750547120668223</v>
      </c>
      <c r="P15" s="13">
        <v>100</v>
      </c>
      <c r="Q15" s="10" t="s">
        <v>24</v>
      </c>
      <c r="R15" s="10">
        <f t="shared" ref="R15" si="14">IF(S15="中金买入",1,-1)</f>
        <v>-1</v>
      </c>
      <c r="S15" s="10" t="s">
        <v>20</v>
      </c>
      <c r="T15" s="14">
        <f t="shared" ref="T15" si="15">O15/P15</f>
        <v>5.7505471206682229E-2</v>
      </c>
      <c r="U15" s="13">
        <f>_xll.dnetGBlackScholesNGreeks("delta",$Q15,$P15,$G15,$I15,$C$3,$J15,$K15,$C$4)*R15</f>
        <v>-0.52713890045659184</v>
      </c>
      <c r="V15" s="13">
        <f>_xll.dnetGBlackScholesNGreeks("vega",$Q15,$P15,$G15,$I15,$C$3,$J15,$K15,$C$4)*R15</f>
        <v>-0.15945864571627411</v>
      </c>
      <c r="W15" s="114"/>
      <c r="X15" s="115">
        <v>400</v>
      </c>
      <c r="Y15" s="6">
        <f t="shared" ref="Y15" si="16">X15*U15</f>
        <v>-210.85556018263674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256</v>
      </c>
      <c r="E16" s="8">
        <f t="shared" ca="1" si="9"/>
        <v>43301</v>
      </c>
      <c r="F16" s="8">
        <f t="shared" ref="F16" ca="1" si="17">E16+H16</f>
        <v>43360</v>
      </c>
      <c r="G16" s="11">
        <v>100</v>
      </c>
      <c r="H16" s="10">
        <v>59</v>
      </c>
      <c r="I16" s="12">
        <f t="shared" ref="I16" si="18">H16/365</f>
        <v>0.16164383561643836</v>
      </c>
      <c r="J16" s="12">
        <v>0</v>
      </c>
      <c r="K16" s="116">
        <v>0.36</v>
      </c>
      <c r="L16" s="13">
        <f>_xll.dnetGBlackScholesNGreeks("price",$Q16,$P16,$G16,$I16,$C$3,$J16,$K16,$C$4)*R16</f>
        <v>-5.750547120668223</v>
      </c>
      <c r="M16" s="15">
        <v>30</v>
      </c>
      <c r="N16" s="13">
        <f t="shared" ref="N16" si="19">M16/10000*I16*P16</f>
        <v>4.8493150684931506E-2</v>
      </c>
      <c r="O16" s="13">
        <f t="shared" ref="O16" si="20">IF(L16&lt;=0,ABS(L16)+N16,L16-N16)</f>
        <v>5.7990402713531548</v>
      </c>
      <c r="P16" s="13">
        <v>100</v>
      </c>
      <c r="Q16" s="10" t="s">
        <v>24</v>
      </c>
      <c r="R16" s="10">
        <f t="shared" ref="R16" si="21">IF(S16="中金买入",1,-1)</f>
        <v>-1</v>
      </c>
      <c r="S16" s="10" t="s">
        <v>20</v>
      </c>
      <c r="T16" s="14">
        <f t="shared" ref="T16" si="22">O16/P16</f>
        <v>5.799040271353155E-2</v>
      </c>
      <c r="U16" s="13">
        <f>_xll.dnetGBlackScholesNGreeks("delta",$Q16,$P16,$G16,$I16,$C$3,$J16,$K16,$C$4)*R16</f>
        <v>-0.52713890045659184</v>
      </c>
      <c r="V16" s="13">
        <f>_xll.dnetGBlackScholesNGreeks("vega",$Q16,$P16,$G16,$I16,$C$3,$J16,$K16,$C$4)*R16</f>
        <v>-0.15945864571627411</v>
      </c>
      <c r="W16" s="114"/>
      <c r="X16" s="115">
        <v>400</v>
      </c>
      <c r="Y16" s="6">
        <f t="shared" ref="Y16" si="23">X16*U16</f>
        <v>-210.85556018263674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266</v>
      </c>
      <c r="E18" s="8">
        <f t="shared" ca="1" si="9"/>
        <v>43301</v>
      </c>
      <c r="F18" s="8">
        <f t="shared" ref="F18:F23" ca="1" si="24">E18+H18</f>
        <v>43352</v>
      </c>
      <c r="G18" s="11">
        <v>13800</v>
      </c>
      <c r="H18" s="10">
        <v>51</v>
      </c>
      <c r="I18" s="12">
        <f t="shared" ref="I18:I19" si="25">H18/365</f>
        <v>0.13972602739726028</v>
      </c>
      <c r="J18" s="12">
        <v>0</v>
      </c>
      <c r="K18" s="116">
        <v>0.125</v>
      </c>
      <c r="L18" s="13">
        <f>_xll.dnetGBlackScholesNGreeks("price",$Q18,$P18,$G18,$I18,$C$3,$J18,$K18,$C$4)*R18</f>
        <v>13761.489450760782</v>
      </c>
      <c r="M18" s="15">
        <v>30</v>
      </c>
      <c r="N18" s="13">
        <f t="shared" ref="N18:N23" si="26">M18/10000*I18*P18</f>
        <v>0</v>
      </c>
      <c r="O18" s="13">
        <f t="shared" ref="O18:O23" si="27">IF(L18&lt;=0,ABS(L18)+N18,L18-N18)</f>
        <v>13761.489450760782</v>
      </c>
      <c r="P18" s="13">
        <f>RTD("wdf.rtq",,D18,"LastPrice")</f>
        <v>0</v>
      </c>
      <c r="Q18" s="10" t="s">
        <v>85</v>
      </c>
      <c r="R18" s="10">
        <f t="shared" ref="R18:R23" si="28">IF(S18="中金买入",1,-1)</f>
        <v>1</v>
      </c>
      <c r="S18" s="10" t="s">
        <v>151</v>
      </c>
      <c r="T18" s="14" t="e">
        <f t="shared" ref="T18:T23" si="29">O18/P18</f>
        <v>#DIV/0!</v>
      </c>
      <c r="U18" s="13" t="e">
        <f>_xll.dnetGBlackScholesNGreeks("delta",$Q18,$P18,$G18,$I18,$C$3,$J18,$K18,$C$4)*R18</f>
        <v>#VALUE!</v>
      </c>
      <c r="V18" s="13">
        <f>_xll.dnetGBlackScholesNGreeks("vega",$Q18,$P18,$G18,$I18,$C$3,$J18,$K18,$C$4)*R18</f>
        <v>0</v>
      </c>
      <c r="W18" s="114"/>
      <c r="X18" s="115">
        <v>400</v>
      </c>
      <c r="Y18" s="6" t="e">
        <f t="shared" ref="Y18:Y23" si="30">X18*U18</f>
        <v>#VALUE!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258</v>
      </c>
      <c r="E19" s="8">
        <f t="shared" ca="1" si="9"/>
        <v>43301</v>
      </c>
      <c r="F19" s="8">
        <f t="shared" ca="1" si="24"/>
        <v>43388</v>
      </c>
      <c r="G19" s="11">
        <v>13800</v>
      </c>
      <c r="H19" s="10">
        <v>87</v>
      </c>
      <c r="I19" s="12">
        <f t="shared" si="25"/>
        <v>0.23835616438356164</v>
      </c>
      <c r="J19" s="12">
        <v>0</v>
      </c>
      <c r="K19" s="116">
        <v>0.1225</v>
      </c>
      <c r="L19" s="13">
        <f>_xll.dnetGBlackScholesNGreeks("price",$Q19,$P19,$G19,$I19,$C$3,$J19,$K19,$C$4)*R19</f>
        <v>196.24949759435458</v>
      </c>
      <c r="M19" s="15">
        <v>30</v>
      </c>
      <c r="N19" s="13">
        <f t="shared" si="26"/>
        <v>10.096767123287671</v>
      </c>
      <c r="O19" s="13">
        <f t="shared" si="27"/>
        <v>186.15273047106692</v>
      </c>
      <c r="P19" s="13">
        <f>RTD("wdf.rtq",,D19,"LastPrice")</f>
        <v>14120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1.3183621138177544E-2</v>
      </c>
      <c r="U19" s="13">
        <f>_xll.dnetGBlackScholesNGreeks("delta",$Q19,$P19,$G19,$I19,$C$3,$J19,$K19,$C$4)*R19</f>
        <v>-0.33811461166806112</v>
      </c>
      <c r="V19" s="13">
        <f>_xll.dnetGBlackScholesNGreeks("vega",$Q19,$P19,$G19,$I19,$C$3,$J19,$K19,$C$4)*R19</f>
        <v>25.119403008037352</v>
      </c>
      <c r="W19" s="114"/>
      <c r="X19" s="115">
        <v>400</v>
      </c>
      <c r="Y19" s="6">
        <f t="shared" si="30"/>
        <v>-135.24584466722445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260</v>
      </c>
      <c r="E20" s="8">
        <f t="shared" ca="1" si="9"/>
        <v>43301</v>
      </c>
      <c r="F20" s="8">
        <f t="shared" ca="1" si="24"/>
        <v>43416</v>
      </c>
      <c r="G20" s="11">
        <v>13800</v>
      </c>
      <c r="H20" s="10">
        <v>115</v>
      </c>
      <c r="I20" s="12">
        <f>(H20-5)/365</f>
        <v>0.30136986301369861</v>
      </c>
      <c r="J20" s="12">
        <v>0</v>
      </c>
      <c r="K20" s="116">
        <v>0.12</v>
      </c>
      <c r="L20" s="13">
        <f>_xll.dnetGBlackScholesNGreeks("price",$Q20,$P20,$G20,$I20,$C$3,$J20,$K20,$C$4)*R20</f>
        <v>197.54402258577738</v>
      </c>
      <c r="M20" s="15">
        <v>30</v>
      </c>
      <c r="N20" s="13">
        <f t="shared" si="26"/>
        <v>12.847397260273972</v>
      </c>
      <c r="O20" s="13">
        <f t="shared" si="27"/>
        <v>184.69662532550342</v>
      </c>
      <c r="P20" s="13">
        <f>RTD("wdf.rtq",,D20,"LastPrice")</f>
        <v>14210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1.2997651324806715E-2</v>
      </c>
      <c r="U20" s="13">
        <f>_xll.dnetGBlackScholesNGreeks("delta",$Q20,$P20,$G20,$I20,$C$3,$J20,$K20,$C$4)*R20</f>
        <v>-0.31464870785384846</v>
      </c>
      <c r="V20" s="13">
        <f>_xll.dnetGBlackScholesNGreeks("vega",$Q20,$P20,$G20,$I20,$C$3,$J20,$K20,$C$4)*R20</f>
        <v>27.584980130871827</v>
      </c>
      <c r="W20" s="114"/>
      <c r="X20" s="115">
        <v>400</v>
      </c>
      <c r="Y20" s="6">
        <f t="shared" si="30"/>
        <v>-125.85948314153939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266</v>
      </c>
      <c r="E21" s="8">
        <f t="shared" ca="1" si="9"/>
        <v>43301</v>
      </c>
      <c r="F21" s="8">
        <f t="shared" ca="1" si="24"/>
        <v>43352</v>
      </c>
      <c r="G21" s="11">
        <v>14000</v>
      </c>
      <c r="H21" s="10">
        <v>51</v>
      </c>
      <c r="I21" s="12">
        <f t="shared" ref="I21:I22" si="31">H21/365</f>
        <v>0.13972602739726028</v>
      </c>
      <c r="J21" s="12">
        <v>0</v>
      </c>
      <c r="K21" s="116">
        <v>0.125</v>
      </c>
      <c r="L21" s="13">
        <f>_xll.dnetGBlackScholesNGreeks("price",$Q21,$P21,$G21,$I21,$C$3,$J21,$K21,$C$4)*R21</f>
        <v>13960.931326858763</v>
      </c>
      <c r="M21" s="15">
        <v>30</v>
      </c>
      <c r="N21" s="13">
        <f t="shared" si="26"/>
        <v>0</v>
      </c>
      <c r="O21" s="13">
        <f t="shared" si="27"/>
        <v>13960.931326858763</v>
      </c>
      <c r="P21" s="13">
        <f>RTD("wdf.rtq",,D21,"LastPrice")</f>
        <v>0</v>
      </c>
      <c r="Q21" s="10" t="s">
        <v>85</v>
      </c>
      <c r="R21" s="10">
        <f t="shared" si="28"/>
        <v>1</v>
      </c>
      <c r="S21" s="10" t="s">
        <v>151</v>
      </c>
      <c r="T21" s="14" t="e">
        <f t="shared" si="29"/>
        <v>#DIV/0!</v>
      </c>
      <c r="U21" s="13" t="e">
        <f>_xll.dnetGBlackScholesNGreeks("delta",$Q21,$P21,$G21,$I21,$C$3,$J21,$K21,$C$4)*R21</f>
        <v>#VALUE!</v>
      </c>
      <c r="V21" s="13">
        <f>_xll.dnetGBlackScholesNGreeks("vega",$Q21,$P21,$G21,$I21,$C$3,$J21,$K21,$C$4)*R21</f>
        <v>0</v>
      </c>
      <c r="W21" s="114"/>
      <c r="X21" s="115">
        <v>400</v>
      </c>
      <c r="Y21" s="6" t="e">
        <f t="shared" si="30"/>
        <v>#VALUE!</v>
      </c>
    </row>
    <row r="22" spans="1:25" ht="10.5" customHeight="1" x14ac:dyDescent="0.15">
      <c r="A22" s="34"/>
      <c r="B22" s="13" t="s">
        <v>172</v>
      </c>
      <c r="C22" s="10" t="s">
        <v>160</v>
      </c>
      <c r="D22" s="10" t="s">
        <v>258</v>
      </c>
      <c r="E22" s="8">
        <f t="shared" ca="1" si="9"/>
        <v>43301</v>
      </c>
      <c r="F22" s="8">
        <f t="shared" ca="1" si="24"/>
        <v>43388</v>
      </c>
      <c r="G22" s="11">
        <v>14000</v>
      </c>
      <c r="H22" s="10">
        <v>87</v>
      </c>
      <c r="I22" s="12">
        <f t="shared" si="31"/>
        <v>0.23835616438356164</v>
      </c>
      <c r="J22" s="12">
        <v>0</v>
      </c>
      <c r="K22" s="116">
        <v>0.1225</v>
      </c>
      <c r="L22" s="13">
        <f>_xll.dnetGBlackScholesNGreeks("price",$Q22,$P22,$G22,$I22,$C$3,$J22,$K22,$C$4)*R22</f>
        <v>277.49565777263979</v>
      </c>
      <c r="M22" s="15">
        <v>30</v>
      </c>
      <c r="N22" s="13">
        <f t="shared" si="26"/>
        <v>10.096767123287671</v>
      </c>
      <c r="O22" s="13">
        <f t="shared" si="27"/>
        <v>267.3988906493521</v>
      </c>
      <c r="P22" s="13">
        <f>RTD("wdf.rtq",,D22,"LastPrice")</f>
        <v>14120</v>
      </c>
      <c r="Q22" s="10" t="s">
        <v>85</v>
      </c>
      <c r="R22" s="10">
        <f t="shared" si="28"/>
        <v>1</v>
      </c>
      <c r="S22" s="10" t="s">
        <v>151</v>
      </c>
      <c r="T22" s="14">
        <f t="shared" si="29"/>
        <v>1.8937598487914455E-2</v>
      </c>
      <c r="U22" s="13">
        <f>_xll.dnetGBlackScholesNGreeks("delta",$Q22,$P22,$G22,$I22,$C$3,$J22,$K22,$C$4)*R22</f>
        <v>-0.42942634054270457</v>
      </c>
      <c r="V22" s="13">
        <f>_xll.dnetGBlackScholesNGreeks("vega",$Q22,$P22,$G22,$I22,$C$3,$J22,$K22,$C$4)*R22</f>
        <v>26.964219642344233</v>
      </c>
      <c r="W22" s="114"/>
      <c r="X22" s="115">
        <v>400</v>
      </c>
      <c r="Y22" s="6">
        <f t="shared" si="30"/>
        <v>-171.77053621708183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260</v>
      </c>
      <c r="E23" s="8">
        <f t="shared" ca="1" si="9"/>
        <v>43301</v>
      </c>
      <c r="F23" s="8">
        <f t="shared" ca="1" si="24"/>
        <v>43416</v>
      </c>
      <c r="G23" s="11">
        <v>14000</v>
      </c>
      <c r="H23" s="10">
        <v>115</v>
      </c>
      <c r="I23" s="12">
        <f>(H23-5)/365</f>
        <v>0.30136986301369861</v>
      </c>
      <c r="J23" s="12">
        <v>0</v>
      </c>
      <c r="K23" s="116">
        <v>0.12</v>
      </c>
      <c r="L23" s="13">
        <f>_xll.dnetGBlackScholesNGreeks("price",$Q23,$P23,$G23,$I23,$C$3,$J23,$K23,$C$4)*R23</f>
        <v>162.82266221355803</v>
      </c>
      <c r="M23" s="15">
        <v>30</v>
      </c>
      <c r="N23" s="13">
        <f t="shared" si="26"/>
        <v>13.15027397260274</v>
      </c>
      <c r="O23" s="13">
        <f t="shared" si="27"/>
        <v>149.67238824095529</v>
      </c>
      <c r="P23" s="13">
        <v>14545</v>
      </c>
      <c r="Q23" s="10" t="s">
        <v>85</v>
      </c>
      <c r="R23" s="10">
        <f t="shared" si="28"/>
        <v>1</v>
      </c>
      <c r="S23" s="10" t="s">
        <v>151</v>
      </c>
      <c r="T23" s="14">
        <f t="shared" si="29"/>
        <v>1.0290298263386406E-2</v>
      </c>
      <c r="U23" s="13">
        <f>_xll.dnetGBlackScholesNGreeks("delta",$Q23,$P23,$G23,$I23,$C$3,$J23,$K23,$C$4)*R23</f>
        <v>-0.26842843287795404</v>
      </c>
      <c r="V23" s="13">
        <f>_xll.dnetGBlackScholesNGreeks("vega",$Q23,$P23,$G23,$I23,$C$3,$J23,$K23,$C$4)*R23</f>
        <v>26.21781661064324</v>
      </c>
      <c r="W23" s="114"/>
      <c r="X23" s="115">
        <v>400</v>
      </c>
      <c r="Y23" s="6">
        <f t="shared" si="30"/>
        <v>-107.37137315118161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269</v>
      </c>
      <c r="E25" s="8">
        <f t="shared" ca="1" si="9"/>
        <v>43301</v>
      </c>
      <c r="F25" s="8">
        <f t="shared" ref="F25" ca="1" si="32">E25+H25</f>
        <v>43331</v>
      </c>
      <c r="G25" s="11">
        <v>50000</v>
      </c>
      <c r="H25" s="10">
        <v>30</v>
      </c>
      <c r="I25" s="12">
        <f t="shared" ref="I25" si="33">H25/365</f>
        <v>8.2191780821917804E-2</v>
      </c>
      <c r="J25" s="12">
        <v>0</v>
      </c>
      <c r="K25" s="116">
        <v>0.1225</v>
      </c>
      <c r="L25" s="13">
        <f>_xll.dnetGBlackScholesNGreeks("price",$Q25,$P25,$G25,$I25,$C$3,$J25,$K25,$C$4)*R25</f>
        <v>69.862104030476985</v>
      </c>
      <c r="M25" s="15">
        <v>30</v>
      </c>
      <c r="N25" s="13">
        <f t="shared" ref="N25" si="34">M25/10000*I25*P25</f>
        <v>12.937808219178082</v>
      </c>
      <c r="O25" s="13">
        <f t="shared" ref="O25" si="35">IF(L25&lt;=0,ABS(L25)+N25,L25-N25)</f>
        <v>56.924295811298904</v>
      </c>
      <c r="P25" s="13">
        <v>52470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1.0848922395902212E-3</v>
      </c>
      <c r="U25" s="13">
        <f>_xll.dnetGBlackScholesNGreeks("delta",$Q25,$P25,$G25,$I25,$C$3,$J25,$K25,$C$4)*R25</f>
        <v>-8.204759392356209E-2</v>
      </c>
      <c r="V25" s="13">
        <f>_xll.dnetGBlackScholesNGreeks("vega",$Q25,$P25,$G25,$I25,$C$3,$J25,$K25,$C$4)*R25</f>
        <v>22.73198074463312</v>
      </c>
      <c r="W25" s="114"/>
      <c r="X25" s="115">
        <v>400</v>
      </c>
      <c r="Y25" s="6">
        <f t="shared" ref="Y25" si="38">X25*U25</f>
        <v>-32.819037569424836</v>
      </c>
    </row>
    <row r="26" spans="1:25" ht="10.5" customHeight="1" x14ac:dyDescent="0.15"/>
    <row r="27" spans="1:25" ht="10.5" customHeight="1" x14ac:dyDescent="0.15">
      <c r="A27" s="34"/>
      <c r="B27" s="13" t="s">
        <v>172</v>
      </c>
      <c r="C27" s="10" t="s">
        <v>160</v>
      </c>
      <c r="D27" s="10" t="s">
        <v>270</v>
      </c>
      <c r="E27" s="8">
        <f t="shared" ca="1" si="9"/>
        <v>43301</v>
      </c>
      <c r="F27" s="8">
        <f t="shared" ref="F27" ca="1" si="39">E27+H27</f>
        <v>43351</v>
      </c>
      <c r="G27" s="11">
        <v>19000</v>
      </c>
      <c r="H27" s="10">
        <v>50</v>
      </c>
      <c r="I27" s="12">
        <f t="shared" ref="I27" si="40">H27/365</f>
        <v>0.13698630136986301</v>
      </c>
      <c r="J27" s="12">
        <v>0</v>
      </c>
      <c r="K27" s="116">
        <v>0.125</v>
      </c>
      <c r="L27" s="13">
        <f>_xll.dnetGBlackScholesNGreeks("price",$Q27,$P27,$G27,$I27,$C$3,$J27,$K27,$C$4)*R27</f>
        <v>730.42763662796096</v>
      </c>
      <c r="M27" s="15">
        <v>30</v>
      </c>
      <c r="N27" s="13">
        <f t="shared" ref="N27" si="41">M27/10000*I27*P27</f>
        <v>7.5575342465753419</v>
      </c>
      <c r="O27" s="13">
        <f t="shared" ref="O27" si="42">IF(L27&lt;=0,ABS(L27)+N27,L27-N27)</f>
        <v>722.87010238138566</v>
      </c>
      <c r="P27" s="11">
        <f>RTD("wdf.rtq",,D27,"LastPrice")</f>
        <v>18390</v>
      </c>
      <c r="Q27" s="10" t="s">
        <v>85</v>
      </c>
      <c r="R27" s="10">
        <f t="shared" ref="R27" si="43">IF(S27="中金买入",1,-1)</f>
        <v>1</v>
      </c>
      <c r="S27" s="10" t="s">
        <v>151</v>
      </c>
      <c r="T27" s="14">
        <f t="shared" ref="T27" si="44">O27/P27</f>
        <v>3.9307781532429892E-2</v>
      </c>
      <c r="U27" s="13">
        <f>_xll.dnetGBlackScholesNGreeks("delta",$Q27,$P27,$G27,$I27,$C$3,$J27,$K27,$C$4)*R27</f>
        <v>-0.75038536733700312</v>
      </c>
      <c r="V27" s="13">
        <f>_xll.dnetGBlackScholesNGreeks("vega",$Q27,$P27,$G27,$I27,$C$3,$J27,$K27,$C$4)*R27</f>
        <v>21.428955331633006</v>
      </c>
      <c r="W27" s="114"/>
      <c r="X27" s="115">
        <v>400</v>
      </c>
      <c r="Y27" s="6">
        <f t="shared" ref="Y27" si="45">X27*U27</f>
        <v>-300.15414693480125</v>
      </c>
    </row>
    <row r="29" spans="1:25" ht="10.5" customHeight="1" x14ac:dyDescent="0.15">
      <c r="A29" s="34"/>
      <c r="B29" s="13" t="s">
        <v>172</v>
      </c>
      <c r="C29" s="10" t="s">
        <v>160</v>
      </c>
      <c r="D29" s="10" t="s">
        <v>260</v>
      </c>
      <c r="E29" s="8">
        <f t="shared" ca="1" si="9"/>
        <v>43301</v>
      </c>
      <c r="F29" s="8">
        <f t="shared" ref="F29" ca="1" si="46">E29+H29</f>
        <v>43392</v>
      </c>
      <c r="G29" s="11">
        <v>11500</v>
      </c>
      <c r="H29" s="10">
        <v>91</v>
      </c>
      <c r="I29" s="12">
        <f t="shared" ref="I29" si="47">H29/365</f>
        <v>0.24931506849315069</v>
      </c>
      <c r="J29" s="12">
        <v>0</v>
      </c>
      <c r="K29" s="116">
        <v>0.24</v>
      </c>
      <c r="L29" s="13">
        <f>_xll.dnetGBlackScholesNGreeks("price",$Q29,$P29,$G29,$I29,$C$3,$J29,$K29,$C$4)*R29</f>
        <v>-23.675924481883385</v>
      </c>
      <c r="M29" s="15">
        <v>0</v>
      </c>
      <c r="N29" s="13">
        <f t="shared" ref="N29" si="48">M29/10000*I29*P29</f>
        <v>0</v>
      </c>
      <c r="O29" s="13">
        <f t="shared" ref="O29" si="49">IF(L29&lt;=0,ABS(L29)+N29,L29-N29)</f>
        <v>23.675924481883385</v>
      </c>
      <c r="P29" s="11">
        <f>RTD("wdf.rtq",,D29,"LastPrice")</f>
        <v>14210</v>
      </c>
      <c r="Q29" s="10" t="s">
        <v>85</v>
      </c>
      <c r="R29" s="10">
        <f t="shared" ref="R29" si="50">IF(S29="中金买入",1,-1)</f>
        <v>-1</v>
      </c>
      <c r="S29" s="10" t="s">
        <v>20</v>
      </c>
      <c r="T29" s="14">
        <f t="shared" ref="T29" si="51">O29/P29</f>
        <v>1.6661452837356359E-3</v>
      </c>
      <c r="U29" s="13">
        <f>_xll.dnetGBlackScholesNGreeks("delta",$Q29,$P29,$G29,$I29,$C$3,$J29,$K29,$C$4)*R29</f>
        <v>3.3781694060053269E-2</v>
      </c>
      <c r="V29" s="13">
        <f>_xll.dnetGBlackScholesNGreeks("vega",$Q29,$P29,$G29,$I29,$C$3,$J29,$K29,$C$4)*R29</f>
        <v>-5.3210287443872915</v>
      </c>
      <c r="W29" s="114"/>
      <c r="X29" s="115">
        <v>400</v>
      </c>
      <c r="Y29" s="6">
        <f t="shared" ref="Y29" si="52">X29*U29</f>
        <v>13.512677624021308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260</v>
      </c>
      <c r="E31" s="8">
        <f t="shared" ca="1" si="9"/>
        <v>43301</v>
      </c>
      <c r="F31" s="8">
        <f t="shared" ref="F31:F32" ca="1" si="53">E31+H31</f>
        <v>43392</v>
      </c>
      <c r="G31" s="11">
        <v>14000</v>
      </c>
      <c r="H31" s="10">
        <v>91</v>
      </c>
      <c r="I31" s="12">
        <f t="shared" ref="I31:I32" si="54">H31/365</f>
        <v>0.24931506849315069</v>
      </c>
      <c r="J31" s="12">
        <v>0</v>
      </c>
      <c r="K31" s="116">
        <v>0.19</v>
      </c>
      <c r="L31" s="13">
        <f>_xll.dnetGBlackScholesNGreeks("price",$Q31,$P31,$G31,$I31,$C$3,$J31,$K31,$C$4)*R31</f>
        <v>-433.02823214449927</v>
      </c>
      <c r="M31" s="15">
        <v>0</v>
      </c>
      <c r="N31" s="13">
        <f t="shared" ref="N31:N32" si="55">M31/10000*I31*P31</f>
        <v>0</v>
      </c>
      <c r="O31" s="13">
        <f t="shared" ref="O31:O32" si="56">IF(L31&lt;=0,ABS(L31)+N31,L31-N31)</f>
        <v>433.02823214449927</v>
      </c>
      <c r="P31" s="11">
        <f>RTD("wdf.rtq",,D31,"LastPrice")</f>
        <v>14210</v>
      </c>
      <c r="Q31" s="10" t="s">
        <v>85</v>
      </c>
      <c r="R31" s="10">
        <f t="shared" ref="R31:R32" si="57">IF(S31="中金买入",1,-1)</f>
        <v>-1</v>
      </c>
      <c r="S31" s="10" t="s">
        <v>20</v>
      </c>
      <c r="T31" s="14">
        <f t="shared" ref="T31:T32" si="58">O31/P31</f>
        <v>3.0473485724454557E-2</v>
      </c>
      <c r="U31" s="13">
        <f>_xll.dnetGBlackScholesNGreeks("delta",$Q31,$P31,$G31,$I31,$C$3,$J31,$K31,$C$4)*R31</f>
        <v>0.41694708970680949</v>
      </c>
      <c r="V31" s="13">
        <f>_xll.dnetGBlackScholesNGreeks("vega",$Q31,$P31,$G31,$I31,$C$3,$J31,$K31,$C$4)*R31</f>
        <v>-27.582134299091649</v>
      </c>
      <c r="W31" s="114"/>
      <c r="X31" s="115">
        <v>400</v>
      </c>
      <c r="Y31" s="6">
        <f t="shared" ref="Y31:Y32" si="59">X31*U31</f>
        <v>166.7788358827238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260</v>
      </c>
      <c r="E32" s="8">
        <f t="shared" ca="1" si="9"/>
        <v>43301</v>
      </c>
      <c r="F32" s="8">
        <f t="shared" ca="1" si="53"/>
        <v>43392</v>
      </c>
      <c r="G32" s="11">
        <v>13500</v>
      </c>
      <c r="H32" s="10">
        <v>91</v>
      </c>
      <c r="I32" s="12">
        <f t="shared" si="54"/>
        <v>0.24931506849315069</v>
      </c>
      <c r="J32" s="12">
        <v>0</v>
      </c>
      <c r="K32" s="116">
        <v>0.19500000000000001</v>
      </c>
      <c r="L32" s="13">
        <f>_xll.dnetGBlackScholesNGreeks("price",$Q32,$P32,$G32,$I32,$C$3,$J32,$K32,$C$4)*R32</f>
        <v>-254.48231717748831</v>
      </c>
      <c r="M32" s="15">
        <v>0</v>
      </c>
      <c r="N32" s="13">
        <f t="shared" si="55"/>
        <v>0</v>
      </c>
      <c r="O32" s="13">
        <f t="shared" si="56"/>
        <v>254.48231717748831</v>
      </c>
      <c r="P32" s="11">
        <f>RTD("wdf.rtq",,D32,"LastPrice")</f>
        <v>14210</v>
      </c>
      <c r="Q32" s="10" t="s">
        <v>85</v>
      </c>
      <c r="R32" s="10">
        <f t="shared" si="57"/>
        <v>-1</v>
      </c>
      <c r="S32" s="10" t="s">
        <v>20</v>
      </c>
      <c r="T32" s="14">
        <f t="shared" si="58"/>
        <v>1.7908678196867579E-2</v>
      </c>
      <c r="U32" s="13">
        <f>_xll.dnetGBlackScholesNGreeks("delta",$Q32,$P32,$G32,$I32,$C$3,$J32,$K32,$C$4)*R32</f>
        <v>0.28120279009726801</v>
      </c>
      <c r="V32" s="13">
        <f>_xll.dnetGBlackScholesNGreeks("vega",$Q32,$P32,$G32,$I32,$C$3,$J32,$K32,$C$4)*R32</f>
        <v>-23.864177083648428</v>
      </c>
      <c r="W32" s="114"/>
      <c r="X32" s="115">
        <v>400</v>
      </c>
      <c r="Y32" s="6">
        <f t="shared" si="59"/>
        <v>112.4811160389072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200</v>
      </c>
      <c r="E34" s="8">
        <f t="shared" ca="1" si="9"/>
        <v>43301</v>
      </c>
      <c r="F34" s="8">
        <f t="shared" ref="F34" ca="1" si="60">E34+H34</f>
        <v>43351</v>
      </c>
      <c r="G34" s="11">
        <v>480</v>
      </c>
      <c r="H34" s="10">
        <v>50</v>
      </c>
      <c r="I34" s="12">
        <f t="shared" ref="I34" si="61">H34/365</f>
        <v>0.13698630136986301</v>
      </c>
      <c r="J34" s="12">
        <v>0</v>
      </c>
      <c r="K34" s="116">
        <v>0.28999999999999998</v>
      </c>
      <c r="L34" s="13">
        <f>_xll.dnetGBlackScholesNGreeks("price",$Q34,$P34,$G34,$I34,$C$3,$J34,$K34,$C$4)*R34</f>
        <v>478.68673132649246</v>
      </c>
      <c r="M34" s="15">
        <v>0</v>
      </c>
      <c r="N34" s="13">
        <f t="shared" ref="N34" si="62">M34/10000*I34*P34</f>
        <v>0</v>
      </c>
      <c r="O34" s="13">
        <f t="shared" ref="O34" si="63">IF(L34&lt;=0,ABS(L34)+N34,L34-N34)</f>
        <v>478.68673132649246</v>
      </c>
      <c r="P34" s="11">
        <f>RTD("wdf.rtq",,D34,"LastPrice")</f>
        <v>0</v>
      </c>
      <c r="Q34" s="10" t="s">
        <v>85</v>
      </c>
      <c r="R34" s="10">
        <f t="shared" ref="R34" si="64">IF(S34="中金买入",1,-1)</f>
        <v>1</v>
      </c>
      <c r="S34" s="10" t="s">
        <v>151</v>
      </c>
      <c r="T34" s="14" t="e">
        <f t="shared" ref="T34" si="65">O34/P34</f>
        <v>#DIV/0!</v>
      </c>
      <c r="U34" s="13" t="e">
        <f>_xll.dnetGBlackScholesNGreeks("delta",$Q34,$P34,$G34,$I34,$C$3,$J34,$K34,$C$4)*R34</f>
        <v>#VALUE!</v>
      </c>
      <c r="V34" s="13">
        <f>_xll.dnetGBlackScholesNGreeks("vega",$Q34,$P34,$G34,$I34,$C$3,$J34,$K34,$C$4)*R34</f>
        <v>0</v>
      </c>
      <c r="W34" s="114"/>
      <c r="X34" s="115">
        <v>400</v>
      </c>
      <c r="Y34" s="6" t="e">
        <f t="shared" ref="Y34" si="66">X34*U34</f>
        <v>#VALUE!</v>
      </c>
    </row>
    <row r="35" spans="1:25" ht="10.5" customHeight="1" x14ac:dyDescent="0.15">
      <c r="A35" s="34"/>
      <c r="B35" s="13" t="s">
        <v>172</v>
      </c>
      <c r="C35" s="10" t="s">
        <v>160</v>
      </c>
      <c r="D35" s="10" t="s">
        <v>272</v>
      </c>
      <c r="E35" s="8">
        <f t="shared" ca="1" si="9"/>
        <v>43301</v>
      </c>
      <c r="F35" s="8">
        <f t="shared" ref="F35:F36" ca="1" si="67">E35+H35</f>
        <v>43483</v>
      </c>
      <c r="G35" s="11">
        <f>P35</f>
        <v>12005</v>
      </c>
      <c r="H35" s="10">
        <v>182</v>
      </c>
      <c r="I35" s="12">
        <f t="shared" ref="I35:I36" si="68">H35/365</f>
        <v>0.49863013698630138</v>
      </c>
      <c r="J35" s="12">
        <v>0</v>
      </c>
      <c r="K35" s="116">
        <v>0.32</v>
      </c>
      <c r="L35" s="13">
        <f>_xll.dnetGBlackScholesNGreeks("price",$Q35,$P35,$G35,$I35,$C$3,$J35,$K35,$C$4)*R35</f>
        <v>1069.1958228249168</v>
      </c>
      <c r="M35" s="15">
        <v>0</v>
      </c>
      <c r="N35" s="13">
        <f t="shared" ref="N35:N36" si="69">M35/10000*I35*P35</f>
        <v>0</v>
      </c>
      <c r="O35" s="13">
        <f t="shared" ref="O35:O36" si="70">IF(L35&lt;=0,ABS(L35)+N35,L35-N35)</f>
        <v>1069.1958228249168</v>
      </c>
      <c r="P35" s="11">
        <f>RTD("wdf.rtq",,D35,"LastPrice")</f>
        <v>12005</v>
      </c>
      <c r="Q35" s="10" t="s">
        <v>85</v>
      </c>
      <c r="R35" s="10">
        <f t="shared" ref="R35:R36" si="71">IF(S35="中金买入",1,-1)</f>
        <v>1</v>
      </c>
      <c r="S35" s="10" t="s">
        <v>151</v>
      </c>
      <c r="T35" s="14">
        <f t="shared" ref="T35:T36" si="72">O35/P35</f>
        <v>8.906254250936417E-2</v>
      </c>
      <c r="U35" s="13">
        <f>_xll.dnetGBlackScholesNGreeks("delta",$Q35,$P35,$G35,$I35,$C$3,$J35,$K35,$C$4)*R35</f>
        <v>-0.45050720809740596</v>
      </c>
      <c r="V35" s="13">
        <f>_xll.dnetGBlackScholesNGreeks("vega",$Q35,$P35,$G35,$I35,$C$3,$J35,$K35,$C$4)*R35</f>
        <v>33.27037417592237</v>
      </c>
      <c r="W35" s="114"/>
      <c r="X35" s="115">
        <v>400</v>
      </c>
      <c r="Y35" s="6">
        <f t="shared" ref="Y35:Y36" si="73">X35*U35</f>
        <v>-180.20288323896239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272</v>
      </c>
      <c r="E36" s="8">
        <f t="shared" ca="1" si="9"/>
        <v>43301</v>
      </c>
      <c r="F36" s="8">
        <f t="shared" ca="1" si="67"/>
        <v>43483</v>
      </c>
      <c r="G36" s="11">
        <f>P36</f>
        <v>12005</v>
      </c>
      <c r="H36" s="10">
        <v>182</v>
      </c>
      <c r="I36" s="12">
        <f t="shared" si="68"/>
        <v>0.49863013698630138</v>
      </c>
      <c r="J36" s="12">
        <v>0</v>
      </c>
      <c r="K36" s="116">
        <v>0.24</v>
      </c>
      <c r="L36" s="13">
        <f>_xll.dnetGBlackScholesNGreeks("price",$Q36,$P36,$G36,$I36,$C$3,$J36,$K36,$C$4)*R36</f>
        <v>802.64260825465044</v>
      </c>
      <c r="M36" s="15">
        <v>0</v>
      </c>
      <c r="N36" s="13">
        <f t="shared" si="69"/>
        <v>0</v>
      </c>
      <c r="O36" s="13">
        <f t="shared" si="70"/>
        <v>802.64260825465044</v>
      </c>
      <c r="P36" s="11">
        <f>RTD("wdf.rtq",,D36,"LastPrice")</f>
        <v>12005</v>
      </c>
      <c r="Q36" s="10" t="s">
        <v>85</v>
      </c>
      <c r="R36" s="10">
        <f t="shared" si="71"/>
        <v>1</v>
      </c>
      <c r="S36" s="10" t="s">
        <v>151</v>
      </c>
      <c r="T36" s="14">
        <f t="shared" si="72"/>
        <v>6.6859026093681842E-2</v>
      </c>
      <c r="U36" s="13">
        <f>_xll.dnetGBlackScholesNGreeks("delta",$Q36,$P36,$G36,$I36,$C$3,$J36,$K36,$C$4)*R36</f>
        <v>-0.46160896631590731</v>
      </c>
      <c r="V36" s="13">
        <f>_xll.dnetGBlackScholesNGreeks("vega",$Q36,$P36,$G36,$I36,$C$3,$J36,$K36,$C$4)*R36</f>
        <v>33.363405438745303</v>
      </c>
      <c r="W36" s="114"/>
      <c r="X36" s="115">
        <v>400</v>
      </c>
      <c r="Y36" s="6">
        <f t="shared" si="73"/>
        <v>-184.64358652636292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200</v>
      </c>
      <c r="E38" s="8">
        <f t="shared" ca="1" si="9"/>
        <v>43301</v>
      </c>
      <c r="F38" s="8">
        <f t="shared" ref="F38" ca="1" si="74">E38+H38</f>
        <v>43347</v>
      </c>
      <c r="G38" s="11">
        <v>430</v>
      </c>
      <c r="H38" s="10">
        <v>46</v>
      </c>
      <c r="I38" s="12">
        <f t="shared" ref="I38" si="75">H38/365</f>
        <v>0.12602739726027398</v>
      </c>
      <c r="J38" s="12">
        <v>0</v>
      </c>
      <c r="K38" s="116">
        <v>0.26500000000000001</v>
      </c>
      <c r="L38" s="13">
        <f>_xll.dnetGBlackScholesNGreeks("price",$Q38,$P38,$G38,$I38,$C$3,$J38,$K38,$C$4)*R38</f>
        <v>4.7642644197492814</v>
      </c>
      <c r="M38" s="15">
        <v>0</v>
      </c>
      <c r="N38" s="13">
        <f t="shared" ref="N38" si="76">M38/10000*I38*P38</f>
        <v>0</v>
      </c>
      <c r="O38" s="13">
        <f t="shared" ref="O38" si="77">IF(L38&lt;=0,ABS(L38)+N38,L38-N38)</f>
        <v>4.7642644197492814</v>
      </c>
      <c r="P38" s="11">
        <v>465</v>
      </c>
      <c r="Q38" s="10" t="s">
        <v>85</v>
      </c>
      <c r="R38" s="10">
        <f t="shared" ref="R38" si="78">IF(S38="中金买入",1,-1)</f>
        <v>1</v>
      </c>
      <c r="S38" s="10" t="s">
        <v>151</v>
      </c>
      <c r="T38" s="14">
        <f t="shared" ref="T38" si="79">O38/P38</f>
        <v>1.0245729934944691E-2</v>
      </c>
      <c r="U38" s="13">
        <f>_xll.dnetGBlackScholesNGreeks("delta",$Q38,$P38,$G38,$I38,$C$3,$J38,$K38,$C$4)*R38</f>
        <v>-0.18926729861377112</v>
      </c>
      <c r="V38" s="13">
        <f>_xll.dnetGBlackScholesNGreeks("vega",$Q38,$P38,$G38,$I38,$C$3,$J38,$K38,$C$4)*R38</f>
        <v>0.4462940689384709</v>
      </c>
      <c r="W38" s="114"/>
      <c r="X38" s="115">
        <v>400</v>
      </c>
      <c r="Y38" s="6">
        <f t="shared" ref="Y38" si="80">X38*U38</f>
        <v>-75.706919445508447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200</v>
      </c>
      <c r="E39" s="8">
        <f t="shared" ca="1" si="9"/>
        <v>43301</v>
      </c>
      <c r="F39" s="8">
        <f t="shared" ref="F39" ca="1" si="81">E39+H39</f>
        <v>43347</v>
      </c>
      <c r="G39" s="11">
        <v>480</v>
      </c>
      <c r="H39" s="10">
        <v>46</v>
      </c>
      <c r="I39" s="12">
        <f t="shared" ref="I39" si="82">H39/365</f>
        <v>0.12602739726027398</v>
      </c>
      <c r="J39" s="12">
        <v>0</v>
      </c>
      <c r="K39" s="116">
        <v>0.26</v>
      </c>
      <c r="L39" s="13">
        <f>_xll.dnetGBlackScholesNGreeks("price",$Q39,$P39,$G39,$I39,$C$3,$J39,$K39,$C$4)*R39</f>
        <v>25.234296912877255</v>
      </c>
      <c r="M39" s="15">
        <v>0</v>
      </c>
      <c r="N39" s="13">
        <f t="shared" ref="N39" si="83">M39/10000*I39*P39</f>
        <v>0</v>
      </c>
      <c r="O39" s="13">
        <f t="shared" ref="O39" si="84">IF(L39&lt;=0,ABS(L39)+N39,L39-N39)</f>
        <v>25.234296912877255</v>
      </c>
      <c r="P39" s="120">
        <v>466</v>
      </c>
      <c r="Q39" s="10" t="s">
        <v>85</v>
      </c>
      <c r="R39" s="10">
        <f t="shared" ref="R39" si="85">IF(S39="中金买入",1,-1)</f>
        <v>1</v>
      </c>
      <c r="S39" s="10" t="s">
        <v>151</v>
      </c>
      <c r="T39" s="14">
        <f t="shared" ref="T39" si="86">O39/P39</f>
        <v>5.4150851744371793E-2</v>
      </c>
      <c r="U39" s="13">
        <f>_xll.dnetGBlackScholesNGreeks("delta",$Q39,$P39,$G39,$I39,$C$3,$J39,$K39,$C$4)*R39</f>
        <v>-0.60663609887114944</v>
      </c>
      <c r="V39" s="13">
        <f>_xll.dnetGBlackScholesNGreeks("vega",$Q39,$P39,$G39,$I39,$C$3,$J39,$K39,$C$4)*R39</f>
        <v>0.6339195136931437</v>
      </c>
      <c r="W39" s="114"/>
      <c r="X39" s="115">
        <v>400</v>
      </c>
      <c r="Y39" s="6">
        <f t="shared" ref="Y39" si="87">X39*U39</f>
        <v>-242.65443954845978</v>
      </c>
    </row>
    <row r="41" spans="1:25" ht="10.5" customHeight="1" x14ac:dyDescent="0.15">
      <c r="A41" s="34"/>
      <c r="B41" s="13" t="s">
        <v>172</v>
      </c>
      <c r="C41" s="10" t="s">
        <v>160</v>
      </c>
      <c r="D41" s="10" t="s">
        <v>200</v>
      </c>
      <c r="E41" s="8">
        <f t="shared" ca="1" si="9"/>
        <v>43301</v>
      </c>
      <c r="F41" s="8">
        <f t="shared" ref="F41" ca="1" si="88">E41+H41</f>
        <v>43331</v>
      </c>
      <c r="G41" s="11">
        <v>495</v>
      </c>
      <c r="H41" s="10">
        <v>30</v>
      </c>
      <c r="I41" s="12">
        <f t="shared" ref="I41" si="89">H41/365</f>
        <v>8.2191780821917804E-2</v>
      </c>
      <c r="J41" s="12">
        <v>0</v>
      </c>
      <c r="K41" s="116">
        <v>0.25</v>
      </c>
      <c r="L41" s="13">
        <f>_xll.dnetGBlackScholesNGreeks("price",$Q41,$P41,$G41,$I41,$C$3,$J41,$K41,$C$4)*R41</f>
        <v>3.6248968340770205</v>
      </c>
      <c r="M41" s="15">
        <v>0</v>
      </c>
      <c r="N41" s="13">
        <f t="shared" ref="N41" si="90">M41/10000*I41*P41</f>
        <v>0</v>
      </c>
      <c r="O41" s="13">
        <f t="shared" ref="O41" si="91">IF(L41&lt;=0,ABS(L41)+N41,L41-N41)</f>
        <v>3.6248968340770205</v>
      </c>
      <c r="P41" s="120">
        <v>465</v>
      </c>
      <c r="Q41" s="10" t="s">
        <v>39</v>
      </c>
      <c r="R41" s="10">
        <f t="shared" ref="R41" si="92">IF(S41="中金买入",1,-1)</f>
        <v>1</v>
      </c>
      <c r="S41" s="10" t="s">
        <v>151</v>
      </c>
      <c r="T41" s="14">
        <f t="shared" ref="T41" si="93">O41/P41</f>
        <v>7.795477062531227E-3</v>
      </c>
      <c r="U41" s="13">
        <f>_xll.dnetGBlackScholesNGreeks("delta",$Q41,$P41,$G41,$I41,$C$3,$J41,$K41,$C$4)*R41</f>
        <v>0.2011154244861757</v>
      </c>
      <c r="V41" s="13">
        <f>_xll.dnetGBlackScholesNGreeks("vega",$Q41,$P41,$G41,$I41,$C$3,$J41,$K41,$C$4)*R41</f>
        <v>0.37405267855162094</v>
      </c>
      <c r="W41" s="114"/>
      <c r="X41" s="115">
        <v>400</v>
      </c>
      <c r="Y41" s="6">
        <f t="shared" ref="Y41" si="94">X41*U41</f>
        <v>80.446169794470279</v>
      </c>
    </row>
    <row r="43" spans="1:25" ht="10.5" customHeight="1" x14ac:dyDescent="0.15">
      <c r="A43" s="34"/>
      <c r="B43" s="13" t="s">
        <v>172</v>
      </c>
      <c r="C43" s="10" t="s">
        <v>160</v>
      </c>
      <c r="D43" s="10" t="s">
        <v>200</v>
      </c>
      <c r="E43" s="8">
        <f t="shared" ca="1" si="9"/>
        <v>43301</v>
      </c>
      <c r="F43" s="8">
        <f t="shared" ref="F43" ca="1" si="95">E43+H43</f>
        <v>43347</v>
      </c>
      <c r="G43" s="11">
        <v>430</v>
      </c>
      <c r="H43" s="10">
        <v>46</v>
      </c>
      <c r="I43" s="12">
        <f t="shared" ref="I43" si="96">H43/365</f>
        <v>0.12602739726027398</v>
      </c>
      <c r="J43" s="12">
        <v>0</v>
      </c>
      <c r="K43" s="116">
        <v>0.26</v>
      </c>
      <c r="L43" s="13">
        <f>_xll.dnetGBlackScholesNGreeks("price",$Q43,$P43,$G43,$I43,$C$3,$J43,$K43,$C$4)*R43</f>
        <v>4.2716086209137814</v>
      </c>
      <c r="M43" s="15">
        <v>0</v>
      </c>
      <c r="N43" s="13">
        <f t="shared" ref="N43" si="97">M43/10000*I43*P43</f>
        <v>0</v>
      </c>
      <c r="O43" s="13">
        <f t="shared" ref="O43:O45" si="98">IF(L43&lt;=0,ABS(L43)+N43,L43-N43)</f>
        <v>4.2716086209137814</v>
      </c>
      <c r="P43" s="120">
        <v>466.5</v>
      </c>
      <c r="Q43" s="10" t="s">
        <v>85</v>
      </c>
      <c r="R43" s="10">
        <f t="shared" ref="R43" si="99">IF(S43="中金买入",1,-1)</f>
        <v>1</v>
      </c>
      <c r="S43" s="10" t="s">
        <v>151</v>
      </c>
      <c r="T43" s="14">
        <f t="shared" ref="T43" si="100">O43/P43</f>
        <v>9.1567173009941723E-3</v>
      </c>
      <c r="U43" s="13">
        <f>_xll.dnetGBlackScholesNGreeks("delta",$Q43,$P43,$G43,$I43,$C$3,$J43,$K43,$C$4)*R43</f>
        <v>-0.17604231424357408</v>
      </c>
      <c r="V43" s="13">
        <f>_xll.dnetGBlackScholesNGreeks("vega",$Q43,$P43,$G43,$I43,$C$3,$J43,$K43,$C$4)*R43</f>
        <v>0.42792933233870656</v>
      </c>
      <c r="W43" s="114"/>
      <c r="X43" s="115">
        <v>500</v>
      </c>
      <c r="Y43" s="6">
        <f>X43*U43</f>
        <v>-88.021157121787041</v>
      </c>
    </row>
    <row r="45" spans="1:25" ht="10.5" customHeight="1" x14ac:dyDescent="0.15">
      <c r="A45" s="34"/>
      <c r="B45" s="13" t="s">
        <v>172</v>
      </c>
      <c r="C45" s="10" t="s">
        <v>160</v>
      </c>
      <c r="D45" s="10" t="s">
        <v>229</v>
      </c>
      <c r="E45" s="8">
        <f t="shared" ca="1" si="9"/>
        <v>43301</v>
      </c>
      <c r="F45" s="8">
        <f t="shared" ref="F45" ca="1" si="101">E45+H45</f>
        <v>43331</v>
      </c>
      <c r="G45" s="120">
        <v>14170</v>
      </c>
      <c r="H45" s="10">
        <v>30</v>
      </c>
      <c r="I45" s="12">
        <f t="shared" ref="I45" si="102">H45/365</f>
        <v>8.2191780821917804E-2</v>
      </c>
      <c r="J45" s="12">
        <v>0</v>
      </c>
      <c r="K45" s="116">
        <v>0.19</v>
      </c>
      <c r="L45" s="13">
        <f>_xll.dnetGBlackScholesNGreeks("price",$Q45,$P45,$G45,$I45,$C$3,$J45,$K45,$C$4)*R45</f>
        <v>-307.38319058384604</v>
      </c>
      <c r="M45" s="15">
        <v>70</v>
      </c>
      <c r="N45" s="13">
        <f t="shared" ref="N45" si="103">M45/10000*I45*P45</f>
        <v>8.1526027397260261</v>
      </c>
      <c r="O45" s="13">
        <f t="shared" si="98"/>
        <v>315.53579332357208</v>
      </c>
      <c r="P45" s="120">
        <v>14170</v>
      </c>
      <c r="Q45" s="10" t="s">
        <v>85</v>
      </c>
      <c r="R45" s="10">
        <f t="shared" ref="R45" si="104">IF(S45="中金买入",1,-1)</f>
        <v>-1</v>
      </c>
      <c r="S45" s="10" t="s">
        <v>20</v>
      </c>
      <c r="T45" s="14">
        <f t="shared" ref="T45" si="105">O45/P45</f>
        <v>2.2267875322764436E-2</v>
      </c>
      <c r="U45" s="13">
        <f>_xll.dnetGBlackScholesNGreeks("delta",$Q45,$P45,$G45,$I45,$C$3,$J45,$K45,$C$4)*R45</f>
        <v>0.48833249088602315</v>
      </c>
      <c r="V45" s="13">
        <f>_xll.dnetGBlackScholesNGreeks("vega",$Q45,$P45,$G45,$I45,$C$3,$J45,$K45,$C$4)*R45</f>
        <v>-16.174057330770211</v>
      </c>
      <c r="W45" s="114"/>
      <c r="X45" s="115">
        <v>500</v>
      </c>
      <c r="Y45" s="6">
        <f>X45*U45</f>
        <v>244.16624544301158</v>
      </c>
    </row>
    <row r="47" spans="1:25" ht="10.5" customHeight="1" x14ac:dyDescent="0.15">
      <c r="A47" s="34"/>
      <c r="B47" s="13" t="s">
        <v>172</v>
      </c>
      <c r="C47" s="10" t="s">
        <v>160</v>
      </c>
      <c r="D47" s="10" t="s">
        <v>274</v>
      </c>
      <c r="E47" s="8">
        <f t="shared" ca="1" si="9"/>
        <v>43301</v>
      </c>
      <c r="F47" s="8">
        <f t="shared" ref="F47" ca="1" si="106">E47+H47</f>
        <v>43332</v>
      </c>
      <c r="G47" s="120">
        <v>3078</v>
      </c>
      <c r="H47" s="10">
        <v>31</v>
      </c>
      <c r="I47" s="12">
        <f t="shared" ref="I47" si="107">H47/365</f>
        <v>8.4931506849315067E-2</v>
      </c>
      <c r="J47" s="12">
        <v>0</v>
      </c>
      <c r="K47" s="116">
        <v>0.19470000000000001</v>
      </c>
      <c r="L47" s="13">
        <f>_xll.dnetGBlackScholesNGreeks("price",$Q47,$P47,$G47,$I47,$C$3,$J47,$K47,$C$4)*R47</f>
        <v>197.98794588983583</v>
      </c>
      <c r="M47" s="15">
        <v>30</v>
      </c>
      <c r="N47" s="13">
        <f t="shared" ref="N47" si="108">M47/10000*I47*P47</f>
        <v>0.83113972602739727</v>
      </c>
      <c r="O47" s="13">
        <f t="shared" ref="O47" si="109">IF(L47&lt;=0,ABS(L47)+N47,L47-N47)</f>
        <v>197.15680616380843</v>
      </c>
      <c r="P47" s="120">
        <f>RTD("wdf.rtq",,D47,"LastPrice")</f>
        <v>3262</v>
      </c>
      <c r="Q47" s="10" t="s">
        <v>275</v>
      </c>
      <c r="R47" s="10">
        <f t="shared" ref="R47" si="110">IF(S47="中金买入",1,-1)</f>
        <v>1</v>
      </c>
      <c r="S47" s="10" t="s">
        <v>151</v>
      </c>
      <c r="T47" s="14">
        <f t="shared" ref="T47" si="111">O47/P47</f>
        <v>6.0440467861375975E-2</v>
      </c>
      <c r="U47" s="13">
        <f>_xll.dnetGBlackScholesNGreeks("delta",$Q47,$P47,$G47,$I47,$C$3,$J47,$K47,$C$4)*R47</f>
        <v>0.85206377502800024</v>
      </c>
      <c r="V47" s="13">
        <f>_xll.dnetGBlackScholesNGreeks("vega",$Q47,$P47,$G47,$I47,$C$3,$J47,$K47,$C$4)*R47</f>
        <v>2.1759898880484343</v>
      </c>
      <c r="W47" s="114"/>
      <c r="X47" s="115">
        <v>500</v>
      </c>
      <c r="Y47" s="6">
        <f>X47*U47</f>
        <v>426.03188751400012</v>
      </c>
    </row>
    <row r="48" spans="1:25" ht="10.5" customHeight="1" x14ac:dyDescent="0.15">
      <c r="A48" s="34"/>
      <c r="B48" s="13" t="s">
        <v>172</v>
      </c>
      <c r="C48" s="10" t="s">
        <v>160</v>
      </c>
      <c r="D48" s="10" t="s">
        <v>274</v>
      </c>
      <c r="E48" s="8">
        <f t="shared" ca="1" si="9"/>
        <v>43301</v>
      </c>
      <c r="F48" s="8">
        <f t="shared" ref="F48" ca="1" si="112">E48+H48</f>
        <v>43332</v>
      </c>
      <c r="G48" s="120">
        <v>3150</v>
      </c>
      <c r="H48" s="10">
        <v>31</v>
      </c>
      <c r="I48" s="12">
        <f t="shared" ref="I48" si="113">H48/365</f>
        <v>8.4931506849315067E-2</v>
      </c>
      <c r="J48" s="12">
        <v>0</v>
      </c>
      <c r="K48" s="116">
        <v>0.19470000000000001</v>
      </c>
      <c r="L48" s="13">
        <f>_xll.dnetGBlackScholesNGreeks("price",$Q48,$P48,$G48,$I48,$C$3,$J48,$K48,$C$4)*R48</f>
        <v>40.182982197670071</v>
      </c>
      <c r="M48" s="15">
        <v>30</v>
      </c>
      <c r="N48" s="13">
        <f t="shared" ref="N48" si="114">M48/10000*I48*P48</f>
        <v>0.78425753424657541</v>
      </c>
      <c r="O48" s="13">
        <f t="shared" ref="O48" si="115">IF(L48&lt;=0,ABS(L48)+N48,L48-N48)</f>
        <v>39.398724663423494</v>
      </c>
      <c r="P48" s="120">
        <v>3078</v>
      </c>
      <c r="Q48" s="10" t="s">
        <v>275</v>
      </c>
      <c r="R48" s="10">
        <f t="shared" ref="R48" si="116">IF(S48="中金买入",1,-1)</f>
        <v>1</v>
      </c>
      <c r="S48" s="10" t="s">
        <v>151</v>
      </c>
      <c r="T48" s="14">
        <f t="shared" ref="T48" si="117">O48/P48</f>
        <v>1.2800105478695091E-2</v>
      </c>
      <c r="U48" s="13">
        <f>_xll.dnetGBlackScholesNGreeks("delta",$Q48,$P48,$G48,$I48,$C$3,$J48,$K48,$C$4)*R48</f>
        <v>0.35169619141015573</v>
      </c>
      <c r="V48" s="13">
        <f>_xll.dnetGBlackScholesNGreeks("vega",$Q48,$P48,$G48,$I48,$C$3,$J48,$K48,$C$4)*R48</f>
        <v>3.3240823545364151</v>
      </c>
      <c r="W48" s="114"/>
      <c r="X48" s="115">
        <v>500</v>
      </c>
      <c r="Y48" s="6">
        <f>X48*U48</f>
        <v>175.84809570507787</v>
      </c>
    </row>
    <row r="50" spans="1:25" ht="10.5" customHeight="1" x14ac:dyDescent="0.15">
      <c r="A50" s="34"/>
      <c r="B50" s="13" t="s">
        <v>172</v>
      </c>
      <c r="C50" s="10" t="s">
        <v>160</v>
      </c>
      <c r="D50" s="10" t="s">
        <v>192</v>
      </c>
      <c r="E50" s="8">
        <f t="shared" ca="1" si="9"/>
        <v>43301</v>
      </c>
      <c r="F50" s="8">
        <f t="shared" ref="F50:F52" ca="1" si="118">E50+H50</f>
        <v>43331</v>
      </c>
      <c r="G50" s="120">
        <v>3300</v>
      </c>
      <c r="H50" s="10">
        <v>30</v>
      </c>
      <c r="I50" s="12">
        <f t="shared" ref="I50:I52" si="119">H50/365</f>
        <v>8.2191780821917804E-2</v>
      </c>
      <c r="J50" s="12">
        <v>0</v>
      </c>
      <c r="K50" s="116">
        <v>0.215</v>
      </c>
      <c r="L50" s="13">
        <f>_xll.dnetGBlackScholesNGreeks("price",$Q50,$P50,$G50,$I50,$C$3,$J50,$K50,$C$4)*R50</f>
        <v>3294.5797986463072</v>
      </c>
      <c r="M50" s="15"/>
      <c r="N50" s="13">
        <f t="shared" ref="N50:N52" si="120">M50/10000*I50*P50</f>
        <v>0</v>
      </c>
      <c r="O50" s="13">
        <f t="shared" ref="O50:O52" si="121">IF(L50&lt;=0,ABS(L50)+N50,L50-N50)</f>
        <v>3294.5797986463072</v>
      </c>
      <c r="P50" s="11">
        <f>RTD("wdf.rtq",,D50,"LastPrice")</f>
        <v>0</v>
      </c>
      <c r="Q50" s="10" t="s">
        <v>85</v>
      </c>
      <c r="R50" s="10">
        <f t="shared" ref="R50:R52" si="122">IF(S50="中金买入",1,-1)</f>
        <v>1</v>
      </c>
      <c r="S50" s="10" t="s">
        <v>151</v>
      </c>
      <c r="T50" s="14" t="e">
        <f t="shared" ref="T50:T52" si="123">O50/P50</f>
        <v>#DIV/0!</v>
      </c>
      <c r="U50" s="13" t="e">
        <f>_xll.dnetGBlackScholesNGreeks("delta",$Q50,$P50,$G50,$I50,$C$3,$J50,$K50,$C$4)*R50</f>
        <v>#VALUE!</v>
      </c>
      <c r="V50" s="13">
        <f>_xll.dnetGBlackScholesNGreeks("vega",$Q50,$P50,$G50,$I50,$C$3,$J50,$K50,$C$4)*R50</f>
        <v>0</v>
      </c>
      <c r="W50" s="114"/>
      <c r="X50" s="115">
        <v>500</v>
      </c>
      <c r="Y50" s="6" t="e">
        <f t="shared" ref="Y50:Y55" si="124">X50*U50</f>
        <v>#VALUE!</v>
      </c>
    </row>
    <row r="51" spans="1:25" ht="10.5" customHeight="1" x14ac:dyDescent="0.15">
      <c r="A51" s="34"/>
      <c r="B51" s="13" t="s">
        <v>172</v>
      </c>
      <c r="C51" s="10" t="s">
        <v>160</v>
      </c>
      <c r="D51" s="10" t="s">
        <v>192</v>
      </c>
      <c r="E51" s="8">
        <f t="shared" ca="1" si="9"/>
        <v>43301</v>
      </c>
      <c r="F51" s="8">
        <f t="shared" ca="1" si="118"/>
        <v>43331</v>
      </c>
      <c r="G51" s="120">
        <v>3400</v>
      </c>
      <c r="H51" s="10">
        <v>30</v>
      </c>
      <c r="I51" s="12">
        <f t="shared" si="119"/>
        <v>8.2191780821917804E-2</v>
      </c>
      <c r="J51" s="12">
        <v>0</v>
      </c>
      <c r="K51" s="116">
        <v>0.215</v>
      </c>
      <c r="L51" s="13">
        <f>_xll.dnetGBlackScholesNGreeks("price",$Q51,$P51,$G51,$I51,$C$3,$J51,$K51,$C$4)*R51</f>
        <v>3394.4155501204377</v>
      </c>
      <c r="M51" s="15"/>
      <c r="N51" s="13">
        <f t="shared" si="120"/>
        <v>0</v>
      </c>
      <c r="O51" s="13">
        <f t="shared" si="121"/>
        <v>3394.4155501204377</v>
      </c>
      <c r="P51" s="11">
        <f>RTD("wdf.rtq",,D51,"LastPrice")</f>
        <v>0</v>
      </c>
      <c r="Q51" s="10" t="s">
        <v>85</v>
      </c>
      <c r="R51" s="10">
        <f t="shared" si="122"/>
        <v>1</v>
      </c>
      <c r="S51" s="10" t="s">
        <v>151</v>
      </c>
      <c r="T51" s="14" t="e">
        <f t="shared" si="123"/>
        <v>#DIV/0!</v>
      </c>
      <c r="U51" s="13" t="e">
        <f>_xll.dnetGBlackScholesNGreeks("delta",$Q51,$P51,$G51,$I51,$C$3,$J51,$K51,$C$4)*R51</f>
        <v>#VALUE!</v>
      </c>
      <c r="V51" s="13">
        <f>_xll.dnetGBlackScholesNGreeks("vega",$Q51,$P51,$G51,$I51,$C$3,$J51,$K51,$C$4)*R51</f>
        <v>0</v>
      </c>
      <c r="W51" s="114"/>
      <c r="X51" s="115">
        <v>500</v>
      </c>
      <c r="Y51" s="6" t="e">
        <f t="shared" si="124"/>
        <v>#VALUE!</v>
      </c>
    </row>
    <row r="52" spans="1:25" ht="10.5" customHeight="1" x14ac:dyDescent="0.15">
      <c r="A52" s="34"/>
      <c r="B52" s="13" t="s">
        <v>172</v>
      </c>
      <c r="C52" s="10" t="s">
        <v>160</v>
      </c>
      <c r="D52" s="10" t="s">
        <v>192</v>
      </c>
      <c r="E52" s="8">
        <f t="shared" ca="1" si="9"/>
        <v>43301</v>
      </c>
      <c r="F52" s="8">
        <f t="shared" ca="1" si="118"/>
        <v>43331</v>
      </c>
      <c r="G52" s="120">
        <v>3500</v>
      </c>
      <c r="H52" s="10">
        <v>30</v>
      </c>
      <c r="I52" s="12">
        <f t="shared" si="119"/>
        <v>8.2191780821917804E-2</v>
      </c>
      <c r="J52" s="12">
        <v>0</v>
      </c>
      <c r="K52" s="116">
        <v>0.215</v>
      </c>
      <c r="L52" s="13">
        <f>_xll.dnetGBlackScholesNGreeks("price",$Q52,$P52,$G52,$I52,$C$3,$J52,$K52,$C$4)*R52</f>
        <v>3494.2513015945683</v>
      </c>
      <c r="M52" s="15"/>
      <c r="N52" s="13">
        <f t="shared" si="120"/>
        <v>0</v>
      </c>
      <c r="O52" s="13">
        <f t="shared" si="121"/>
        <v>3494.2513015945683</v>
      </c>
      <c r="P52" s="11">
        <f>RTD("wdf.rtq",,D52,"LastPrice")</f>
        <v>0</v>
      </c>
      <c r="Q52" s="10" t="s">
        <v>85</v>
      </c>
      <c r="R52" s="10">
        <f t="shared" si="122"/>
        <v>1</v>
      </c>
      <c r="S52" s="10" t="s">
        <v>151</v>
      </c>
      <c r="T52" s="14" t="e">
        <f t="shared" si="123"/>
        <v>#DIV/0!</v>
      </c>
      <c r="U52" s="13" t="e">
        <f>_xll.dnetGBlackScholesNGreeks("delta",$Q52,$P52,$G52,$I52,$C$3,$J52,$K52,$C$4)*R52</f>
        <v>#VALUE!</v>
      </c>
      <c r="V52" s="13">
        <f>_xll.dnetGBlackScholesNGreeks("vega",$Q52,$P52,$G52,$I52,$C$3,$J52,$K52,$C$4)*R52</f>
        <v>0</v>
      </c>
      <c r="W52" s="114"/>
      <c r="X52" s="115">
        <v>500</v>
      </c>
      <c r="Y52" s="6" t="e">
        <f t="shared" si="124"/>
        <v>#VALUE!</v>
      </c>
    </row>
    <row r="53" spans="1:25" ht="10.5" customHeight="1" x14ac:dyDescent="0.15">
      <c r="A53" s="34"/>
      <c r="B53" s="13" t="s">
        <v>172</v>
      </c>
      <c r="C53" s="10" t="s">
        <v>160</v>
      </c>
      <c r="D53" s="10" t="s">
        <v>192</v>
      </c>
      <c r="E53" s="8">
        <f t="shared" ca="1" si="9"/>
        <v>43301</v>
      </c>
      <c r="F53" s="8">
        <f t="shared" ref="F53:F55" ca="1" si="125">E53+H53</f>
        <v>43391</v>
      </c>
      <c r="G53" s="120">
        <v>3100</v>
      </c>
      <c r="H53" s="10">
        <v>90</v>
      </c>
      <c r="I53" s="12">
        <f t="shared" ref="I53:I55" si="126">H53/365</f>
        <v>0.24657534246575341</v>
      </c>
      <c r="J53" s="12">
        <v>0</v>
      </c>
      <c r="K53" s="116">
        <v>0.22</v>
      </c>
      <c r="L53" s="13">
        <f>_xll.dnetGBlackScholesNGreeks("price",$Q53,$P53,$G53,$I53,$C$3,$J53,$K53,$C$4)*R53</f>
        <v>3084.7499625057258</v>
      </c>
      <c r="M53" s="15"/>
      <c r="N53" s="13">
        <f t="shared" ref="N53:N55" si="127">M53/10000*I53*P53</f>
        <v>0</v>
      </c>
      <c r="O53" s="13">
        <f t="shared" ref="O53:O55" si="128">IF(L53&lt;=0,ABS(L53)+N53,L53-N53)</f>
        <v>3084.7499625057258</v>
      </c>
      <c r="P53" s="11">
        <f>RTD("wdf.rtq",,D53,"LastPrice")</f>
        <v>0</v>
      </c>
      <c r="Q53" s="10" t="s">
        <v>85</v>
      </c>
      <c r="R53" s="10">
        <f t="shared" ref="R53:R55" si="129">IF(S53="中金买入",1,-1)</f>
        <v>1</v>
      </c>
      <c r="S53" s="10" t="s">
        <v>151</v>
      </c>
      <c r="T53" s="14" t="e">
        <f t="shared" ref="T53:T55" si="130">O53/P53</f>
        <v>#DIV/0!</v>
      </c>
      <c r="U53" s="13" t="e">
        <f>_xll.dnetGBlackScholesNGreeks("delta",$Q53,$P53,$G53,$I53,$C$3,$J53,$K53,$C$4)*R53</f>
        <v>#VALUE!</v>
      </c>
      <c r="V53" s="13">
        <f>_xll.dnetGBlackScholesNGreeks("vega",$Q53,$P53,$G53,$I53,$C$3,$J53,$K53,$C$4)*R53</f>
        <v>0</v>
      </c>
      <c r="W53" s="114"/>
      <c r="X53" s="115">
        <v>500</v>
      </c>
      <c r="Y53" s="6" t="e">
        <f t="shared" si="124"/>
        <v>#VALUE!</v>
      </c>
    </row>
    <row r="54" spans="1:25" ht="10.5" customHeight="1" x14ac:dyDescent="0.15">
      <c r="A54" s="34"/>
      <c r="B54" s="13" t="s">
        <v>172</v>
      </c>
      <c r="C54" s="10" t="s">
        <v>160</v>
      </c>
      <c r="D54" s="10" t="s">
        <v>192</v>
      </c>
      <c r="E54" s="8">
        <f t="shared" ca="1" si="9"/>
        <v>43301</v>
      </c>
      <c r="F54" s="8">
        <f t="shared" ca="1" si="125"/>
        <v>43391</v>
      </c>
      <c r="G54" s="120">
        <v>3300</v>
      </c>
      <c r="H54" s="10">
        <v>90</v>
      </c>
      <c r="I54" s="12">
        <f t="shared" si="126"/>
        <v>0.24657534246575341</v>
      </c>
      <c r="J54" s="12">
        <v>0</v>
      </c>
      <c r="K54" s="116">
        <v>0.22</v>
      </c>
      <c r="L54" s="13">
        <f>_xll.dnetGBlackScholesNGreeks("price",$Q54,$P54,$G54,$I54,$C$3,$J54,$K54,$C$4)*R54</f>
        <v>3283.7660891189985</v>
      </c>
      <c r="M54" s="15"/>
      <c r="N54" s="13">
        <f t="shared" si="127"/>
        <v>0</v>
      </c>
      <c r="O54" s="13">
        <f t="shared" si="128"/>
        <v>3283.7660891189985</v>
      </c>
      <c r="P54" s="11">
        <f>RTD("wdf.rtq",,D54,"LastPrice")</f>
        <v>0</v>
      </c>
      <c r="Q54" s="10" t="s">
        <v>85</v>
      </c>
      <c r="R54" s="10">
        <f t="shared" si="129"/>
        <v>1</v>
      </c>
      <c r="S54" s="10" t="s">
        <v>151</v>
      </c>
      <c r="T54" s="14" t="e">
        <f t="shared" si="130"/>
        <v>#DIV/0!</v>
      </c>
      <c r="U54" s="13" t="e">
        <f>_xll.dnetGBlackScholesNGreeks("delta",$Q54,$P54,$G54,$I54,$C$3,$J54,$K54,$C$4)*R54</f>
        <v>#VALUE!</v>
      </c>
      <c r="V54" s="13">
        <f>_xll.dnetGBlackScholesNGreeks("vega",$Q54,$P54,$G54,$I54,$C$3,$J54,$K54,$C$4)*R54</f>
        <v>0</v>
      </c>
      <c r="W54" s="114"/>
      <c r="X54" s="115">
        <v>500</v>
      </c>
      <c r="Y54" s="6" t="e">
        <f t="shared" si="124"/>
        <v>#VALUE!</v>
      </c>
    </row>
    <row r="55" spans="1:25" ht="10.5" customHeight="1" x14ac:dyDescent="0.15">
      <c r="A55" s="34"/>
      <c r="B55" s="13" t="s">
        <v>172</v>
      </c>
      <c r="C55" s="10" t="s">
        <v>160</v>
      </c>
      <c r="D55" s="10" t="s">
        <v>192</v>
      </c>
      <c r="E55" s="8">
        <f t="shared" ca="1" si="9"/>
        <v>43301</v>
      </c>
      <c r="F55" s="8">
        <f t="shared" ca="1" si="125"/>
        <v>43391</v>
      </c>
      <c r="G55" s="120">
        <v>3500</v>
      </c>
      <c r="H55" s="10">
        <v>90</v>
      </c>
      <c r="I55" s="12">
        <f t="shared" si="126"/>
        <v>0.24657534246575341</v>
      </c>
      <c r="J55" s="12">
        <v>0</v>
      </c>
      <c r="K55" s="116">
        <v>0.22</v>
      </c>
      <c r="L55" s="13">
        <f>_xll.dnetGBlackScholesNGreeks("price",$Q55,$P55,$G55,$I55,$C$3,$J55,$K55,$C$4)*R55</f>
        <v>3482.7822157322712</v>
      </c>
      <c r="M55" s="15"/>
      <c r="N55" s="13">
        <f t="shared" si="127"/>
        <v>0</v>
      </c>
      <c r="O55" s="13">
        <f t="shared" si="128"/>
        <v>3482.7822157322712</v>
      </c>
      <c r="P55" s="11">
        <f>RTD("wdf.rtq",,D55,"LastPrice")</f>
        <v>0</v>
      </c>
      <c r="Q55" s="10" t="s">
        <v>85</v>
      </c>
      <c r="R55" s="10">
        <f t="shared" si="129"/>
        <v>1</v>
      </c>
      <c r="S55" s="10" t="s">
        <v>151</v>
      </c>
      <c r="T55" s="14" t="e">
        <f t="shared" si="130"/>
        <v>#DIV/0!</v>
      </c>
      <c r="U55" s="13" t="e">
        <f>_xll.dnetGBlackScholesNGreeks("delta",$Q55,$P55,$G55,$I55,$C$3,$J55,$K55,$C$4)*R55</f>
        <v>#VALUE!</v>
      </c>
      <c r="V55" s="13">
        <f>_xll.dnetGBlackScholesNGreeks("vega",$Q55,$P55,$G55,$I55,$C$3,$J55,$K55,$C$4)*R55</f>
        <v>0</v>
      </c>
      <c r="W55" s="114"/>
      <c r="X55" s="115">
        <v>500</v>
      </c>
      <c r="Y55" s="6" t="e">
        <f t="shared" si="124"/>
        <v>#VALUE!</v>
      </c>
    </row>
    <row r="56" spans="1:25" x14ac:dyDescent="0.15">
      <c r="K56" s="6" t="s">
        <v>281</v>
      </c>
    </row>
    <row r="57" spans="1:25" x14ac:dyDescent="0.15">
      <c r="A57" s="131">
        <v>43278</v>
      </c>
      <c r="B57" s="13" t="s">
        <v>172</v>
      </c>
      <c r="C57" s="10" t="s">
        <v>160</v>
      </c>
      <c r="D57" s="10" t="s">
        <v>282</v>
      </c>
      <c r="E57" s="8">
        <f t="shared" ca="1" si="9"/>
        <v>43301</v>
      </c>
      <c r="F57" s="8">
        <f t="shared" ref="F57" ca="1" si="131">E57+H57</f>
        <v>43332</v>
      </c>
      <c r="G57" s="120">
        <v>49500</v>
      </c>
      <c r="H57" s="10">
        <v>31</v>
      </c>
      <c r="I57" s="12">
        <f t="shared" ref="I57" si="132">H57/365</f>
        <v>8.4931506849315067E-2</v>
      </c>
      <c r="J57" s="12">
        <v>0</v>
      </c>
      <c r="K57" s="116">
        <v>0.1225</v>
      </c>
      <c r="L57" s="13">
        <f>_xll.dnetGBlackScholesNGreeks("price",$Q57,$P57,$G57,$I57,$C$3,$J57,$K57,$C$4)*R57</f>
        <v>87.132866616341744</v>
      </c>
      <c r="M57" s="15"/>
      <c r="N57" s="13">
        <f t="shared" ref="N57" si="133">M57/10000*I57*P57</f>
        <v>0</v>
      </c>
      <c r="O57" s="13">
        <f t="shared" ref="O57" si="134">IF(L57&lt;=0,ABS(L57)+N57,L57-N57)</f>
        <v>87.132866616341744</v>
      </c>
      <c r="P57" s="120">
        <v>51800</v>
      </c>
      <c r="Q57" s="10" t="s">
        <v>85</v>
      </c>
      <c r="R57" s="10">
        <f t="shared" ref="R57" si="135">IF(S57="中金买入",1,-1)</f>
        <v>1</v>
      </c>
      <c r="S57" s="10" t="s">
        <v>151</v>
      </c>
      <c r="T57" s="14">
        <f t="shared" ref="T57" si="136">O57/P57</f>
        <v>1.6821016721301496E-3</v>
      </c>
      <c r="U57" s="13">
        <f>_xll.dnetGBlackScholesNGreeks("delta",$Q57,$P57,$G57,$I57,$C$3,$J57,$K57,$C$4)*R57</f>
        <v>-9.8350885491527151E-2</v>
      </c>
      <c r="V57" s="13">
        <f>_xll.dnetGBlackScholesNGreeks("vega",$Q57,$P57,$G57,$I57,$C$3,$J57,$K57,$C$4)*R57</f>
        <v>26.09653209976841</v>
      </c>
      <c r="W57" s="114"/>
      <c r="X57" s="115">
        <v>500</v>
      </c>
      <c r="Y57" s="6">
        <f>X57*U57</f>
        <v>-49.175442745763576</v>
      </c>
    </row>
    <row r="58" spans="1:25" x14ac:dyDescent="0.15">
      <c r="A58" s="131">
        <v>43278</v>
      </c>
      <c r="B58" s="13" t="s">
        <v>172</v>
      </c>
      <c r="C58" s="10" t="s">
        <v>160</v>
      </c>
      <c r="D58" s="10" t="s">
        <v>287</v>
      </c>
      <c r="E58" s="8">
        <f t="shared" ca="1" si="9"/>
        <v>43301</v>
      </c>
      <c r="F58" s="8">
        <f t="shared" ref="F58:F59" ca="1" si="137">E58+H58</f>
        <v>43362</v>
      </c>
      <c r="G58" s="120">
        <f>P58</f>
        <v>0</v>
      </c>
      <c r="H58" s="10">
        <v>61</v>
      </c>
      <c r="I58" s="12">
        <f t="shared" ref="I58:I59" si="138">H58/365</f>
        <v>0.16712328767123288</v>
      </c>
      <c r="J58" s="12">
        <v>0</v>
      </c>
      <c r="K58" s="116">
        <v>0.38</v>
      </c>
      <c r="L58" s="13" t="e">
        <f>_xll.dnetGBlackScholesNGreeks("price",$Q58,$P58,$G58,$I58,$C$3,$J58,$K58,$C$4)*R58</f>
        <v>#VALUE!</v>
      </c>
      <c r="M58" s="15"/>
      <c r="N58" s="13">
        <f t="shared" ref="N58:N59" si="139">M58/10000*I58*P58</f>
        <v>0</v>
      </c>
      <c r="O58" s="13" t="e">
        <f t="shared" ref="O58:O59" si="140">IF(L58&lt;=0,ABS(L58)+N58,L58-N58)</f>
        <v>#VALUE!</v>
      </c>
      <c r="P58" s="11">
        <f>RTD("wdf.rtq",,D58,"LastPrice")</f>
        <v>0</v>
      </c>
      <c r="Q58" s="10" t="s">
        <v>283</v>
      </c>
      <c r="R58" s="10">
        <f t="shared" ref="R58:R59" si="141">IF(S58="中金买入",1,-1)</f>
        <v>-1</v>
      </c>
      <c r="S58" s="10" t="s">
        <v>20</v>
      </c>
      <c r="T58" s="14" t="e">
        <f t="shared" ref="T58:T59" si="142">O58/P58</f>
        <v>#VALUE!</v>
      </c>
      <c r="U58" s="13" t="e">
        <f>_xll.dnetGBlackScholesNGreeks("delta",$Q58,$P58,$G58,$I58,$C$3,$J58,$K58,$C$4)*R58</f>
        <v>#VALUE!</v>
      </c>
      <c r="V58" s="13" t="e">
        <f>_xll.dnetGBlackScholesNGreeks("vega",$Q58,$P58,$G58,$I58,$C$3,$J58,$K58,$C$4)*R58</f>
        <v>#VALUE!</v>
      </c>
      <c r="W58" s="114"/>
      <c r="X58" s="115">
        <v>500</v>
      </c>
      <c r="Y58" s="6" t="e">
        <f>X58*U58</f>
        <v>#VALUE!</v>
      </c>
    </row>
    <row r="59" spans="1:25" x14ac:dyDescent="0.15">
      <c r="A59" s="131">
        <v>43278</v>
      </c>
      <c r="B59" s="13" t="s">
        <v>172</v>
      </c>
      <c r="C59" s="10" t="s">
        <v>160</v>
      </c>
      <c r="D59" s="10" t="s">
        <v>285</v>
      </c>
      <c r="E59" s="8">
        <f t="shared" ca="1" si="9"/>
        <v>43301</v>
      </c>
      <c r="F59" s="8">
        <f t="shared" ca="1" si="137"/>
        <v>43362</v>
      </c>
      <c r="G59" s="120">
        <f>P59</f>
        <v>0</v>
      </c>
      <c r="H59" s="10">
        <v>61</v>
      </c>
      <c r="I59" s="12">
        <f t="shared" si="138"/>
        <v>0.16712328767123288</v>
      </c>
      <c r="J59" s="12">
        <v>0</v>
      </c>
      <c r="K59" s="116">
        <v>0.38</v>
      </c>
      <c r="L59" s="13" t="e">
        <f>_xll.dnetGBlackScholesNGreeks("price",$Q59,$P59,$G59,$I59,$C$3,$J59,$K59,$C$4)*R59</f>
        <v>#VALUE!</v>
      </c>
      <c r="M59" s="15"/>
      <c r="N59" s="13">
        <f t="shared" si="139"/>
        <v>0</v>
      </c>
      <c r="O59" s="13" t="e">
        <f t="shared" si="140"/>
        <v>#VALUE!</v>
      </c>
      <c r="P59" s="11">
        <f>RTD("wdf.rtq",,D59,"LastPrice")</f>
        <v>0</v>
      </c>
      <c r="Q59" s="10" t="s">
        <v>283</v>
      </c>
      <c r="R59" s="10">
        <f t="shared" si="141"/>
        <v>-1</v>
      </c>
      <c r="S59" s="10" t="s">
        <v>20</v>
      </c>
      <c r="T59" s="14" t="e">
        <f t="shared" si="142"/>
        <v>#VALUE!</v>
      </c>
      <c r="U59" s="13" t="e">
        <f>_xll.dnetGBlackScholesNGreeks("delta",$Q59,$P59,$G59,$I59,$C$3,$J59,$K59,$C$4)*R59</f>
        <v>#VALUE!</v>
      </c>
      <c r="V59" s="13" t="e">
        <f>_xll.dnetGBlackScholesNGreeks("vega",$Q59,$P59,$G59,$I59,$C$3,$J59,$K59,$C$4)*R59</f>
        <v>#VALUE!</v>
      </c>
      <c r="W59" s="114"/>
      <c r="X59" s="115">
        <v>500</v>
      </c>
      <c r="Y59" s="6" t="e">
        <f>X59*U59</f>
        <v>#VALUE!</v>
      </c>
    </row>
    <row r="61" spans="1:25" x14ac:dyDescent="0.15">
      <c r="A61" s="131">
        <v>43278</v>
      </c>
      <c r="B61" s="13" t="s">
        <v>172</v>
      </c>
      <c r="C61" s="10" t="s">
        <v>160</v>
      </c>
      <c r="D61" s="10" t="s">
        <v>288</v>
      </c>
      <c r="E61" s="8">
        <f t="shared" ca="1" si="9"/>
        <v>43301</v>
      </c>
      <c r="F61" s="8">
        <f t="shared" ref="F61" ca="1" si="143">E61+H61</f>
        <v>43383</v>
      </c>
      <c r="G61" s="120">
        <v>14280</v>
      </c>
      <c r="H61" s="10">
        <v>82</v>
      </c>
      <c r="I61" s="12">
        <f t="shared" ref="I61" si="144">H61/365</f>
        <v>0.22465753424657534</v>
      </c>
      <c r="J61" s="12">
        <v>0</v>
      </c>
      <c r="K61" s="116">
        <v>0.18</v>
      </c>
      <c r="L61" s="13">
        <f>_xll.dnetGBlackScholesNGreeks("price",$Q61,$P61,$G61,$I61,$C$3,$J61,$K61,$C$4)*R61</f>
        <v>-564.83123807208813</v>
      </c>
      <c r="M61" s="15"/>
      <c r="N61" s="13">
        <f t="shared" ref="N61" si="145">M61/10000*I61*P61</f>
        <v>0</v>
      </c>
      <c r="O61" s="13">
        <f t="shared" ref="O61" si="146">IF(L61&lt;=0,ABS(L61)+N61,L61-N61)</f>
        <v>564.83123807208813</v>
      </c>
      <c r="P61" s="11">
        <f>RTD("wdf.rtq",,D61,"LastPrice")</f>
        <v>14120</v>
      </c>
      <c r="Q61" s="10" t="s">
        <v>85</v>
      </c>
      <c r="R61" s="10">
        <f t="shared" ref="R61" si="147">IF(S61="中金买入",1,-1)</f>
        <v>-1</v>
      </c>
      <c r="S61" s="10" t="s">
        <v>20</v>
      </c>
      <c r="T61" s="14">
        <f t="shared" ref="T61" si="148">O61/P61</f>
        <v>4.0002212328051567E-2</v>
      </c>
      <c r="U61" s="13">
        <f>_xll.dnetGBlackScholesNGreeks("delta",$Q61,$P61,$G61,$I61,$C$3,$J61,$K61,$C$4)*R61</f>
        <v>0.53322131020649977</v>
      </c>
      <c r="V61" s="13">
        <f>_xll.dnetGBlackScholesNGreeks("vega",$Q61,$P61,$G61,$I61,$C$3,$J61,$K61,$C$4)*R61</f>
        <v>-26.473164858558903</v>
      </c>
      <c r="W61" s="114"/>
      <c r="X61" s="115">
        <v>500</v>
      </c>
      <c r="Y61" s="6">
        <f>X61*U61</f>
        <v>266.61065510324988</v>
      </c>
    </row>
    <row r="63" spans="1:25" x14ac:dyDescent="0.15">
      <c r="A63" s="131">
        <v>43278</v>
      </c>
      <c r="B63" s="13" t="s">
        <v>172</v>
      </c>
      <c r="C63" s="10" t="s">
        <v>160</v>
      </c>
      <c r="D63" s="10" t="s">
        <v>289</v>
      </c>
      <c r="E63" s="8">
        <f t="shared" ca="1" si="9"/>
        <v>43301</v>
      </c>
      <c r="F63" s="8">
        <f t="shared" ref="F63" ca="1" si="149">E63+H63</f>
        <v>43363</v>
      </c>
      <c r="G63" s="120">
        <v>62.9</v>
      </c>
      <c r="H63" s="10">
        <v>62</v>
      </c>
      <c r="I63" s="12">
        <f t="shared" ref="I63" si="150">H63/365</f>
        <v>0.16986301369863013</v>
      </c>
      <c r="J63" s="12">
        <v>0</v>
      </c>
      <c r="K63" s="116">
        <v>0.25</v>
      </c>
      <c r="L63" s="13">
        <f>_xll.dnetGBlackScholesNGreeks("price",$Q63,$P63,$G63,$I63,$C$3,$J63,$K63,$C$4)*R63</f>
        <v>13.176992449037428</v>
      </c>
      <c r="M63" s="15"/>
      <c r="N63" s="13">
        <f t="shared" ref="N63" si="151">M63/10000*I63*P63</f>
        <v>0</v>
      </c>
      <c r="O63" s="13">
        <f>IF(L63&lt;=0,ABS(L63)+N63,L63-N63)</f>
        <v>13.176992449037428</v>
      </c>
      <c r="P63" s="11">
        <v>76.03</v>
      </c>
      <c r="Q63" s="10" t="s">
        <v>39</v>
      </c>
      <c r="R63" s="10">
        <f t="shared" ref="R63" si="152">IF(S63="中金买入",1,-1)</f>
        <v>1</v>
      </c>
      <c r="S63" s="10" t="s">
        <v>151</v>
      </c>
      <c r="T63" s="14">
        <f t="shared" ref="T63" si="153">O63/P63</f>
        <v>0.17331306654001616</v>
      </c>
      <c r="U63" s="13">
        <f>_xll.dnetGBlackScholesNGreeks("delta",$Q63,$P63,$G63,$I63,$C$3,$J63,$K63,$C$4)*R63</f>
        <v>0.96742718888727097</v>
      </c>
      <c r="V63" s="13">
        <f>_xll.dnetGBlackScholesNGreeks("vega",$Q63,$P63,$G63,$I63,$C$3,$J63,$K63,$C$4)*R63</f>
        <v>2.0832289634750367E-2</v>
      </c>
      <c r="W63" s="114"/>
      <c r="X63" s="115">
        <v>-150338.07269999999</v>
      </c>
      <c r="Y63" s="6">
        <f>X63*U63</f>
        <v>-145441.13905489116</v>
      </c>
    </row>
    <row r="65" spans="1:25" x14ac:dyDescent="0.15">
      <c r="A65" s="131">
        <v>43278</v>
      </c>
      <c r="B65" s="13" t="s">
        <v>172</v>
      </c>
      <c r="C65" s="10" t="s">
        <v>160</v>
      </c>
      <c r="D65" s="10" t="s">
        <v>290</v>
      </c>
      <c r="E65" s="8">
        <f t="shared" ca="1" si="9"/>
        <v>43301</v>
      </c>
      <c r="F65" s="8">
        <f t="shared" ref="F65" ca="1" si="154">E65+H65</f>
        <v>43331</v>
      </c>
      <c r="G65" s="120">
        <v>9295</v>
      </c>
      <c r="H65" s="10">
        <v>30</v>
      </c>
      <c r="I65" s="12">
        <f t="shared" ref="I65" si="155">H65/365</f>
        <v>8.2191780821917804E-2</v>
      </c>
      <c r="J65" s="12">
        <v>0</v>
      </c>
      <c r="K65" s="116">
        <v>0.21</v>
      </c>
      <c r="L65" s="13">
        <f>_xll.dnetGBlackScholesNGreeks("price",$Q65,$P65,$G65,$I65,$C$3,$J65,$K65,$C$4)*R65</f>
        <v>222.85041883431404</v>
      </c>
      <c r="M65" s="15">
        <v>30</v>
      </c>
      <c r="N65" s="13">
        <f t="shared" ref="N65" si="156">M65/10000*I65*P65</f>
        <v>2.291917808219178</v>
      </c>
      <c r="O65" s="13">
        <f>IF(L65&lt;=0,ABS(L65)+N65,L65-N65)</f>
        <v>220.55850102609486</v>
      </c>
      <c r="P65" s="11">
        <v>9295</v>
      </c>
      <c r="Q65" s="10" t="s">
        <v>85</v>
      </c>
      <c r="R65" s="10">
        <f t="shared" ref="R65" si="157">IF(S65="中金买入",1,-1)</f>
        <v>1</v>
      </c>
      <c r="S65" s="10" t="s">
        <v>151</v>
      </c>
      <c r="T65" s="14">
        <f t="shared" ref="T65" si="158">O65/P65</f>
        <v>2.3728725231424944E-2</v>
      </c>
      <c r="U65" s="13">
        <f>_xll.dnetGBlackScholesNGreeks("delta",$Q65,$P65,$G65,$I65,$C$3,$J65,$K65,$C$4)*R65</f>
        <v>-0.48719110700403689</v>
      </c>
      <c r="V65" s="13">
        <f>_xll.dnetGBlackScholesNGreeks("vega",$Q65,$P65,$G65,$I65,$C$3,$J65,$K65,$C$4)*R65</f>
        <v>10.608716081093462</v>
      </c>
      <c r="W65" s="114"/>
      <c r="X65" s="115">
        <v>-150338.07269999999</v>
      </c>
      <c r="Y65" s="6">
        <f>X65*U65</f>
        <v>73243.372063566378</v>
      </c>
    </row>
    <row r="66" spans="1:25" x14ac:dyDescent="0.15">
      <c r="A66" s="131">
        <v>43278</v>
      </c>
      <c r="B66" s="13" t="s">
        <v>172</v>
      </c>
      <c r="C66" s="10" t="s">
        <v>160</v>
      </c>
      <c r="D66" s="10" t="s">
        <v>287</v>
      </c>
      <c r="E66" s="8">
        <f t="shared" ca="1" si="9"/>
        <v>43301</v>
      </c>
      <c r="F66" s="8">
        <f t="shared" ref="F66" ca="1" si="159">E66+H66</f>
        <v>43331</v>
      </c>
      <c r="G66" s="120">
        <v>9295</v>
      </c>
      <c r="H66" s="10">
        <v>30</v>
      </c>
      <c r="I66" s="12">
        <f t="shared" ref="I66" si="160">H66/365</f>
        <v>8.2191780821917804E-2</v>
      </c>
      <c r="J66" s="12">
        <v>0</v>
      </c>
      <c r="K66" s="116">
        <v>0.34</v>
      </c>
      <c r="L66" s="13">
        <f>_xll.dnetGBlackScholesNGreeks("price",$Q66,$P66,$G66,$I66,$C$3,$J66,$K66,$C$4)*R66</f>
        <v>-360.7171222470206</v>
      </c>
      <c r="M66" s="15">
        <v>70</v>
      </c>
      <c r="N66" s="13">
        <f t="shared" ref="N66" si="161">M66/10000*I66*P66</f>
        <v>5.3478082191780816</v>
      </c>
      <c r="O66" s="13">
        <f>IF(L66&lt;=0,ABS(L66)+N66,L66-N66)</f>
        <v>366.06493046619869</v>
      </c>
      <c r="P66" s="11">
        <v>9295</v>
      </c>
      <c r="Q66" s="10" t="s">
        <v>85</v>
      </c>
      <c r="R66" s="10">
        <f t="shared" ref="R66" si="162">IF(S66="中金买入",1,-1)</f>
        <v>-1</v>
      </c>
      <c r="S66" s="10" t="s">
        <v>20</v>
      </c>
      <c r="T66" s="14">
        <f t="shared" ref="T66" si="163">O66/P66</f>
        <v>3.9382994132996091E-2</v>
      </c>
      <c r="U66" s="13">
        <f>_xll.dnetGBlackScholesNGreeks("delta",$Q66,$P66,$G66,$I66,$C$3,$J66,$K66,$C$4)*R66</f>
        <v>0.47977493154576223</v>
      </c>
      <c r="V66" s="13">
        <f>_xll.dnetGBlackScholesNGreeks("vega",$Q66,$P66,$G66,$I66,$C$3,$J66,$K66,$C$4)*R66</f>
        <v>-10.600925901496339</v>
      </c>
      <c r="W66" s="114"/>
      <c r="X66" s="115">
        <v>-150338.07269999999</v>
      </c>
      <c r="Y66" s="6">
        <f>X66*U66</f>
        <v>-72128.438538364324</v>
      </c>
    </row>
    <row r="67" spans="1:25" x14ac:dyDescent="0.15">
      <c r="O67" s="6">
        <v>14</v>
      </c>
      <c r="P67" s="132">
        <f>P65-G65</f>
        <v>0</v>
      </c>
    </row>
    <row r="68" spans="1:25" x14ac:dyDescent="0.15">
      <c r="A68" s="131">
        <v>43278</v>
      </c>
      <c r="B68" s="13" t="s">
        <v>172</v>
      </c>
      <c r="C68" s="10" t="s">
        <v>160</v>
      </c>
      <c r="D68" s="10" t="s">
        <v>292</v>
      </c>
      <c r="E68" s="8">
        <f t="shared" ca="1" si="9"/>
        <v>43301</v>
      </c>
      <c r="F68" s="8">
        <f t="shared" ref="F68:F69" ca="1" si="164">E68+H68</f>
        <v>43373</v>
      </c>
      <c r="G68" s="120">
        <v>470</v>
      </c>
      <c r="H68" s="10">
        <v>72</v>
      </c>
      <c r="I68" s="12">
        <f t="shared" ref="I68:I69" si="165">H68/365</f>
        <v>0.19726027397260273</v>
      </c>
      <c r="J68" s="12">
        <v>0</v>
      </c>
      <c r="K68" s="116">
        <v>0.29499999999999998</v>
      </c>
      <c r="L68" s="13">
        <f>_xll.dnetGBlackScholesNGreeks("price",$Q68,$P68,$G68,$I68,$C$3,$J68,$K68,$C$4)*R68</f>
        <v>-24.452643941487679</v>
      </c>
      <c r="M68" s="15"/>
      <c r="N68" s="13">
        <f t="shared" ref="N68:N69" si="166">M68/10000*I68*P68</f>
        <v>0</v>
      </c>
      <c r="O68" s="13">
        <f>IF(L68&lt;=0,ABS(L68)+N68,L68-N68)</f>
        <v>24.452643941487679</v>
      </c>
      <c r="P68" s="11">
        <v>470</v>
      </c>
      <c r="Q68" s="10" t="s">
        <v>293</v>
      </c>
      <c r="R68" s="10">
        <f t="shared" ref="R68:R69" si="167">IF(S68="中金买入",1,-1)</f>
        <v>-1</v>
      </c>
      <c r="S68" s="10" t="s">
        <v>20</v>
      </c>
      <c r="T68" s="14">
        <f t="shared" ref="T68:T69" si="168">O68/P68</f>
        <v>5.2026902003165273E-2</v>
      </c>
      <c r="U68" s="13">
        <f>_xll.dnetGBlackScholesNGreeks("delta",$Q68,$P68,$G68,$I68,$C$3,$J68,$K68,$C$4)*R68</f>
        <v>-0.52404473396734375</v>
      </c>
      <c r="V68" s="13">
        <f>_xll.dnetGBlackScholesNGreeks("vega",$Q68,$P68,$G68,$I68,$C$3,$J68,$K68,$C$4)*R68</f>
        <v>-0.8277173997045395</v>
      </c>
      <c r="W68" s="114"/>
      <c r="X68" s="115">
        <v>-150338.07269999999</v>
      </c>
      <c r="Y68" s="6">
        <f>X68*U68</f>
        <v>78783.875313234676</v>
      </c>
    </row>
    <row r="69" spans="1:25" x14ac:dyDescent="0.15">
      <c r="A69" s="131">
        <v>43278</v>
      </c>
      <c r="B69" s="13" t="s">
        <v>172</v>
      </c>
      <c r="C69" s="10" t="s">
        <v>160</v>
      </c>
      <c r="D69" s="10" t="s">
        <v>292</v>
      </c>
      <c r="E69" s="8">
        <f t="shared" ca="1" si="9"/>
        <v>43301</v>
      </c>
      <c r="F69" s="8">
        <f t="shared" ca="1" si="164"/>
        <v>43373</v>
      </c>
      <c r="G69" s="120">
        <v>470</v>
      </c>
      <c r="H69" s="10">
        <v>72</v>
      </c>
      <c r="I69" s="12">
        <f t="shared" si="165"/>
        <v>0.19726027397260273</v>
      </c>
      <c r="J69" s="12">
        <v>0</v>
      </c>
      <c r="K69" s="116">
        <v>0.29499999999999998</v>
      </c>
      <c r="L69" s="13">
        <f>_xll.dnetGBlackScholesNGreeks("price",$Q69,$P69,$G69,$I69,$C$3,$J69,$K69,$C$4)*R69</f>
        <v>-24.452643941487679</v>
      </c>
      <c r="M69" s="15"/>
      <c r="N69" s="13">
        <f t="shared" si="166"/>
        <v>0</v>
      </c>
      <c r="O69" s="13">
        <f>IF(L69&lt;=0,ABS(L69)+N69,L69-N69)</f>
        <v>24.452643941487679</v>
      </c>
      <c r="P69" s="11">
        <v>470</v>
      </c>
      <c r="Q69" s="10" t="s">
        <v>85</v>
      </c>
      <c r="R69" s="10">
        <f t="shared" si="167"/>
        <v>-1</v>
      </c>
      <c r="S69" s="10" t="s">
        <v>20</v>
      </c>
      <c r="T69" s="14">
        <f t="shared" si="168"/>
        <v>5.2026902003165273E-2</v>
      </c>
      <c r="U69" s="13">
        <f>_xll.dnetGBlackScholesNGreeks("delta",$Q69,$P69,$G69,$I69,$C$3,$J69,$K69,$C$4)*R69</f>
        <v>0.47201783264796404</v>
      </c>
      <c r="V69" s="13">
        <f>_xll.dnetGBlackScholesNGreeks("vega",$Q69,$P69,$G69,$I69,$C$3,$J69,$K69,$C$4)*R69</f>
        <v>-0.82771739970452529</v>
      </c>
      <c r="W69" s="114"/>
      <c r="X69" s="115">
        <v>-150338.07269999999</v>
      </c>
      <c r="Y69" s="6">
        <f>X69*U69</f>
        <v>-70962.251240326048</v>
      </c>
    </row>
    <row r="71" spans="1:25" x14ac:dyDescent="0.15">
      <c r="A71" s="131">
        <v>43280</v>
      </c>
      <c r="B71" s="13" t="s">
        <v>172</v>
      </c>
      <c r="C71" s="10" t="s">
        <v>160</v>
      </c>
      <c r="D71" s="10" t="s">
        <v>248</v>
      </c>
      <c r="E71" s="8">
        <f t="shared" ca="1" si="9"/>
        <v>43301</v>
      </c>
      <c r="F71" s="8">
        <f t="shared" ref="F71:F72" ca="1" si="169">E71+H71</f>
        <v>43332</v>
      </c>
      <c r="G71" s="120">
        <v>17200</v>
      </c>
      <c r="H71" s="10">
        <v>31</v>
      </c>
      <c r="I71" s="12">
        <f t="shared" ref="I71:I72" si="170">H71/365</f>
        <v>8.4931506849315067E-2</v>
      </c>
      <c r="J71" s="12">
        <v>0</v>
      </c>
      <c r="K71" s="116">
        <v>0.33</v>
      </c>
      <c r="L71" s="13">
        <f>_xll.dnetGBlackScholesNGreeks("price",$Q71,$P71,$G71,$I71,$C$3,$J71,$K71,$C$4)*R71</f>
        <v>0</v>
      </c>
      <c r="M71" s="15"/>
      <c r="N71" s="13">
        <f t="shared" ref="N71:N72" si="171">M71/10000*I71*P71</f>
        <v>0</v>
      </c>
      <c r="O71" s="13">
        <f>IF(L71&lt;=0,ABS(L71)+N71,L71-N71)</f>
        <v>0</v>
      </c>
      <c r="P71" s="11">
        <f>RTD("wdf.rtq",,D71,"LastPrice")</f>
        <v>0</v>
      </c>
      <c r="Q71" s="10" t="s">
        <v>24</v>
      </c>
      <c r="R71" s="10">
        <f t="shared" ref="R71:R72" si="172">IF(S71="中金买入",1,-1)</f>
        <v>-1</v>
      </c>
      <c r="S71" s="10" t="s">
        <v>20</v>
      </c>
      <c r="T71" s="14" t="e">
        <f t="shared" ref="T71:T72" si="173">O71/P71</f>
        <v>#DIV/0!</v>
      </c>
      <c r="U71" s="13" t="e">
        <f>_xll.dnetGBlackScholesNGreeks("delta",$Q71,$P71,$G71,$I71,$C$3,$J71,$K71,$C$4)*R71</f>
        <v>#VALUE!</v>
      </c>
      <c r="V71" s="13">
        <f>_xll.dnetGBlackScholesNGreeks("vega",$Q71,$P71,$G71,$I71,$C$3,$J71,$K71,$C$4)*R71</f>
        <v>0</v>
      </c>
      <c r="W71" s="114"/>
      <c r="X71" s="115">
        <v>-150338.07269999999</v>
      </c>
      <c r="Y71" s="6" t="e">
        <f>X71*U71</f>
        <v>#VALUE!</v>
      </c>
    </row>
    <row r="72" spans="1:25" x14ac:dyDescent="0.15">
      <c r="A72" s="131">
        <v>43280</v>
      </c>
      <c r="B72" s="13" t="s">
        <v>172</v>
      </c>
      <c r="C72" s="10" t="s">
        <v>160</v>
      </c>
      <c r="D72" s="10" t="s">
        <v>248</v>
      </c>
      <c r="E72" s="8">
        <f t="shared" ca="1" si="9"/>
        <v>43301</v>
      </c>
      <c r="F72" s="8">
        <f t="shared" ca="1" si="169"/>
        <v>43332</v>
      </c>
      <c r="G72" s="120">
        <f>P72</f>
        <v>0</v>
      </c>
      <c r="H72" s="10">
        <v>31</v>
      </c>
      <c r="I72" s="12">
        <f t="shared" si="170"/>
        <v>8.4931506849315067E-2</v>
      </c>
      <c r="J72" s="12">
        <v>0</v>
      </c>
      <c r="K72" s="116">
        <v>0.33</v>
      </c>
      <c r="L72" s="13" t="e">
        <f>_xll.dnetGBlackScholesNGreeks("price",$Q72,$P72,$G72,$I72,$C$3,$J72,$K72,$C$4)*R72</f>
        <v>#VALUE!</v>
      </c>
      <c r="M72" s="15"/>
      <c r="N72" s="13">
        <f t="shared" si="171"/>
        <v>0</v>
      </c>
      <c r="O72" s="13" t="e">
        <f>IF(L72&lt;=0,ABS(L72)+N72,L72-N72)</f>
        <v>#VALUE!</v>
      </c>
      <c r="P72" s="11">
        <f>RTD("wdf.rtq",,D72,"LastPrice")</f>
        <v>0</v>
      </c>
      <c r="Q72" s="10" t="s">
        <v>39</v>
      </c>
      <c r="R72" s="10">
        <f t="shared" si="172"/>
        <v>-1</v>
      </c>
      <c r="S72" s="10" t="s">
        <v>20</v>
      </c>
      <c r="T72" s="14" t="e">
        <f t="shared" si="173"/>
        <v>#VALUE!</v>
      </c>
      <c r="U72" s="13" t="e">
        <f>_xll.dnetGBlackScholesNGreeks("delta",$Q72,$P72,$G72,$I72,$C$3,$J72,$K72,$C$4)*R72</f>
        <v>#VALUE!</v>
      </c>
      <c r="V72" s="13" t="e">
        <f>_xll.dnetGBlackScholesNGreeks("vega",$Q72,$P72,$G72,$I72,$C$3,$J72,$K72,$C$4)*R72</f>
        <v>#VALUE!</v>
      </c>
      <c r="W72" s="114"/>
      <c r="X72" s="115">
        <v>-150338.07269999999</v>
      </c>
      <c r="Y72" s="6" t="e">
        <f>X72*U72</f>
        <v>#VALUE!</v>
      </c>
    </row>
    <row r="74" spans="1:25" x14ac:dyDescent="0.15">
      <c r="A74" s="131">
        <v>43280</v>
      </c>
      <c r="B74" s="13" t="s">
        <v>172</v>
      </c>
      <c r="C74" s="10" t="s">
        <v>160</v>
      </c>
      <c r="D74" s="10" t="s">
        <v>200</v>
      </c>
      <c r="E74" s="8">
        <f t="shared" ca="1" si="9"/>
        <v>43301</v>
      </c>
      <c r="F74" s="8">
        <f t="shared" ref="F74:F75" ca="1" si="174">E74+H74</f>
        <v>43332</v>
      </c>
      <c r="G74" s="120">
        <v>100</v>
      </c>
      <c r="H74" s="10">
        <v>31</v>
      </c>
      <c r="I74" s="12">
        <f t="shared" ref="I74:I75" si="175">H74/365</f>
        <v>8.4931506849315067E-2</v>
      </c>
      <c r="J74" s="12">
        <v>0</v>
      </c>
      <c r="K74" s="116">
        <v>0.24</v>
      </c>
      <c r="L74" s="13">
        <f>_xll.dnetGBlackScholesNGreeks("price",$Q74,$P74,$G74,$I74,$C$3,$J74,$K74,$C$4)*R74</f>
        <v>2.785027571861697</v>
      </c>
      <c r="M74" s="15"/>
      <c r="N74" s="13">
        <f t="shared" ref="N74:N75" si="176">M74/10000*I74*P74</f>
        <v>0</v>
      </c>
      <c r="O74" s="13">
        <f>IF(L74&lt;=0,ABS(L74)+N74,L74-N74)</f>
        <v>2.785027571861697</v>
      </c>
      <c r="P74" s="11">
        <v>100</v>
      </c>
      <c r="Q74" s="10" t="s">
        <v>24</v>
      </c>
      <c r="R74" s="10">
        <f t="shared" ref="R74:R75" si="177">IF(S74="中金买入",1,-1)</f>
        <v>1</v>
      </c>
      <c r="S74" s="10" t="s">
        <v>151</v>
      </c>
      <c r="T74" s="14">
        <f t="shared" ref="T74:T75" si="178">O74/P74</f>
        <v>2.7850275718616969E-2</v>
      </c>
      <c r="U74" s="13">
        <f>_xll.dnetGBlackScholesNGreeks("delta",$Q74,$P74,$G74,$I74,$C$3,$J74,$K74,$C$4)*R74</f>
        <v>0.51307652949219573</v>
      </c>
      <c r="V74" s="13">
        <f>_xll.dnetGBlackScholesNGreeks("vega",$Q74,$P74,$G74,$I74,$C$3,$J74,$K74,$C$4)*R74</f>
        <v>0.11599547489203843</v>
      </c>
      <c r="W74" s="114"/>
      <c r="X74" s="115">
        <v>-150338.07269999999</v>
      </c>
      <c r="Y74" s="6">
        <f>X74*U74</f>
        <v>-77134.936591461417</v>
      </c>
    </row>
    <row r="75" spans="1:25" x14ac:dyDescent="0.15">
      <c r="A75" s="131">
        <v>43280</v>
      </c>
      <c r="B75" s="13" t="s">
        <v>172</v>
      </c>
      <c r="C75" s="10" t="s">
        <v>160</v>
      </c>
      <c r="D75" s="10" t="s">
        <v>200</v>
      </c>
      <c r="E75" s="8">
        <f t="shared" ca="1" si="9"/>
        <v>43301</v>
      </c>
      <c r="F75" s="8">
        <f t="shared" ca="1" si="174"/>
        <v>43332</v>
      </c>
      <c r="G75" s="120">
        <v>100</v>
      </c>
      <c r="H75" s="10">
        <v>31</v>
      </c>
      <c r="I75" s="12">
        <f t="shared" si="175"/>
        <v>8.4931506849315067E-2</v>
      </c>
      <c r="J75" s="12">
        <v>0</v>
      </c>
      <c r="K75" s="116">
        <v>0.30499999999999999</v>
      </c>
      <c r="L75" s="13">
        <f>_xll.dnetGBlackScholesNGreeks("price",$Q75,$P75,$G75,$I75,$C$3,$J75,$K75,$C$4)*R75</f>
        <v>-3.5388622989368201</v>
      </c>
      <c r="M75" s="15"/>
      <c r="N75" s="13">
        <f t="shared" si="176"/>
        <v>0</v>
      </c>
      <c r="O75" s="13">
        <f>IF(L75&lt;=0,ABS(L75)+N75,L75-N75)</f>
        <v>3.5388622989368201</v>
      </c>
      <c r="P75" s="11">
        <v>100</v>
      </c>
      <c r="Q75" s="10" t="s">
        <v>39</v>
      </c>
      <c r="R75" s="10">
        <f t="shared" si="177"/>
        <v>-1</v>
      </c>
      <c r="S75" s="10" t="s">
        <v>20</v>
      </c>
      <c r="T75" s="14">
        <f t="shared" si="178"/>
        <v>3.53886229893682E-2</v>
      </c>
      <c r="U75" s="13">
        <f>_xll.dnetGBlackScholesNGreeks("delta",$Q75,$P75,$G75,$I75,$C$3,$J75,$K75,$C$4)*R75</f>
        <v>-0.51684570616359338</v>
      </c>
      <c r="V75" s="13">
        <f>_xll.dnetGBlackScholesNGreeks("vega",$Q75,$P75,$G75,$I75,$C$3,$J75,$K75,$C$4)*R75</f>
        <v>-0.11595185869687441</v>
      </c>
      <c r="W75" s="114"/>
      <c r="X75" s="115">
        <v>-150338.07269999999</v>
      </c>
      <c r="Y75" s="6">
        <f>X75*U75</f>
        <v>77701.587347905137</v>
      </c>
    </row>
    <row r="77" spans="1:25" x14ac:dyDescent="0.15">
      <c r="A77" s="131">
        <v>43280</v>
      </c>
      <c r="B77" s="13" t="s">
        <v>172</v>
      </c>
      <c r="C77" s="10" t="s">
        <v>160</v>
      </c>
      <c r="D77" s="10" t="s">
        <v>200</v>
      </c>
      <c r="E77" s="8">
        <f t="shared" ca="1" si="9"/>
        <v>43301</v>
      </c>
      <c r="F77" s="8">
        <f t="shared" ref="F77" ca="1" si="179">E77+H77</f>
        <v>43316</v>
      </c>
      <c r="G77" s="120">
        <v>500</v>
      </c>
      <c r="H77" s="10">
        <v>15</v>
      </c>
      <c r="I77" s="12">
        <f>(H77-2)/365</f>
        <v>3.5616438356164383E-2</v>
      </c>
      <c r="J77" s="12">
        <v>0</v>
      </c>
      <c r="K77" s="116">
        <v>0.23</v>
      </c>
      <c r="L77" s="13">
        <f>_xll.dnetGBlackScholesNGreeks("price",$Q77,$P77,$G77,$I77,$C$3,$J77,$K77,$C$4)*R77</f>
        <v>0</v>
      </c>
      <c r="M77" s="15"/>
      <c r="N77" s="13">
        <f t="shared" ref="N77" si="180">M77/10000*I77*P77</f>
        <v>0</v>
      </c>
      <c r="O77" s="13">
        <f>IF(L77&lt;=0,ABS(L77)+N77,L77-N77)</f>
        <v>0</v>
      </c>
      <c r="P77" s="11">
        <f>RTD("wdf.rtq",,D77,"LastPrice")</f>
        <v>0</v>
      </c>
      <c r="Q77" s="10" t="s">
        <v>39</v>
      </c>
      <c r="R77" s="10">
        <f t="shared" ref="R77" si="181">IF(S77="中金买入",1,-1)</f>
        <v>1</v>
      </c>
      <c r="S77" s="10" t="s">
        <v>151</v>
      </c>
      <c r="T77" s="14" t="e">
        <f t="shared" ref="T77" si="182">O77/P77</f>
        <v>#DIV/0!</v>
      </c>
      <c r="U77" s="13" t="e">
        <f>_xll.dnetGBlackScholesNGreeks("delta",$Q77,$P77,$G77,$I77,$C$3,$J77,$K77,$C$4)*R77</f>
        <v>#VALUE!</v>
      </c>
      <c r="V77" s="13">
        <f>_xll.dnetGBlackScholesNGreeks("vega",$Q77,$P77,$G77,$I77,$C$3,$J77,$K77,$C$4)*R77</f>
        <v>0</v>
      </c>
      <c r="W77" s="114"/>
      <c r="X77" s="115">
        <v>-150338.07269999999</v>
      </c>
      <c r="Y77" s="6" t="e">
        <f>X77*U77</f>
        <v>#VALUE!</v>
      </c>
    </row>
    <row r="79" spans="1:25" x14ac:dyDescent="0.15">
      <c r="A79" s="131">
        <v>43280</v>
      </c>
      <c r="B79" s="13" t="s">
        <v>172</v>
      </c>
      <c r="C79" s="10" t="s">
        <v>160</v>
      </c>
      <c r="D79" s="10" t="s">
        <v>200</v>
      </c>
      <c r="E79" s="8">
        <f t="shared" ca="1" si="9"/>
        <v>43301</v>
      </c>
      <c r="F79" s="8">
        <f t="shared" ref="F79:F84" ca="1" si="183">E79+H79</f>
        <v>43332</v>
      </c>
      <c r="G79" s="120">
        <v>500</v>
      </c>
      <c r="H79" s="10">
        <v>31</v>
      </c>
      <c r="I79" s="12">
        <f>(H79)/365</f>
        <v>8.4931506849315067E-2</v>
      </c>
      <c r="J79" s="12">
        <v>0</v>
      </c>
      <c r="K79" s="116">
        <v>0.26</v>
      </c>
      <c r="L79" s="13">
        <f>_xll.dnetGBlackScholesNGreeks("price",$Q79,$P79,$G79,$I79,$C$3,$J79,$K79,$C$4)*R79</f>
        <v>4.1707672603012327</v>
      </c>
      <c r="M79" s="15"/>
      <c r="N79" s="13">
        <f t="shared" ref="N79:N84" si="184">M79/10000*I79*P79</f>
        <v>0</v>
      </c>
      <c r="O79" s="13">
        <f t="shared" ref="O79:O84" si="185">IF(L79&lt;=0,ABS(L79)+N79,L79-N79)</f>
        <v>4.1707672603012327</v>
      </c>
      <c r="P79" s="120">
        <v>469.5</v>
      </c>
      <c r="Q79" s="10" t="s">
        <v>297</v>
      </c>
      <c r="R79" s="10">
        <f t="shared" ref="R79:R84" si="186">IF(S79="中金买入",1,-1)</f>
        <v>1</v>
      </c>
      <c r="S79" s="10" t="s">
        <v>151</v>
      </c>
      <c r="T79" s="14">
        <f t="shared" ref="T79:T84" si="187">O79/P79</f>
        <v>8.8834233446245629E-3</v>
      </c>
      <c r="U79" s="13">
        <f>_xll.dnetGBlackScholesNGreeks("delta",$Q79,$P79,$G79,$I79,$C$3,$J79,$K79,$C$4)*R79</f>
        <v>0.21359478280942312</v>
      </c>
      <c r="V79" s="13">
        <f>_xll.dnetGBlackScholesNGreeks("vega",$Q79,$P79,$G79,$I79,$C$3,$J79,$K79,$C$4)*R79</f>
        <v>0.39783221039603234</v>
      </c>
      <c r="W79" s="114"/>
      <c r="X79" s="115">
        <v>-150338.07269999999</v>
      </c>
      <c r="Y79" s="6">
        <f t="shared" ref="Y79:Y84" si="188">X79*U79</f>
        <v>-32111.427986343762</v>
      </c>
    </row>
    <row r="80" spans="1:25" x14ac:dyDescent="0.15">
      <c r="A80" s="131">
        <v>43280</v>
      </c>
      <c r="B80" s="13" t="s">
        <v>172</v>
      </c>
      <c r="C80" s="10" t="s">
        <v>160</v>
      </c>
      <c r="D80" s="10" t="s">
        <v>200</v>
      </c>
      <c r="E80" s="8">
        <f t="shared" ca="1" si="9"/>
        <v>43301</v>
      </c>
      <c r="F80" s="8">
        <f t="shared" ca="1" si="183"/>
        <v>43332</v>
      </c>
      <c r="G80" s="120">
        <v>480</v>
      </c>
      <c r="H80" s="10">
        <v>31</v>
      </c>
      <c r="I80" s="12">
        <f t="shared" ref="I80:I84" si="189">(H80)/365</f>
        <v>8.4931506849315067E-2</v>
      </c>
      <c r="J80" s="12">
        <v>0</v>
      </c>
      <c r="K80" s="116">
        <v>0.26</v>
      </c>
      <c r="L80" s="13">
        <f>_xll.dnetGBlackScholesNGreeks("price",$Q80,$P80,$G80,$I80,$C$3,$J80,$K80,$C$4)*R80</f>
        <v>9.6877421607037775</v>
      </c>
      <c r="M80" s="15"/>
      <c r="N80" s="13">
        <f t="shared" si="184"/>
        <v>0</v>
      </c>
      <c r="O80" s="13">
        <f t="shared" si="185"/>
        <v>9.6877421607037775</v>
      </c>
      <c r="P80" s="120">
        <v>469.5</v>
      </c>
      <c r="Q80" s="10" t="s">
        <v>297</v>
      </c>
      <c r="R80" s="10">
        <f t="shared" si="186"/>
        <v>1</v>
      </c>
      <c r="S80" s="10" t="s">
        <v>151</v>
      </c>
      <c r="T80" s="14">
        <f t="shared" si="187"/>
        <v>2.0634168606397822E-2</v>
      </c>
      <c r="U80" s="13">
        <f>_xll.dnetGBlackScholesNGreeks("delta",$Q80,$P80,$G80,$I80,$C$3,$J80,$K80,$C$4)*R80</f>
        <v>0.3990638561433002</v>
      </c>
      <c r="V80" s="13">
        <f>_xll.dnetGBlackScholesNGreeks("vega",$Q80,$P80,$G80,$I80,$C$3,$J80,$K80,$C$4)*R80</f>
        <v>0.52759968041399929</v>
      </c>
      <c r="W80" s="114"/>
      <c r="X80" s="115">
        <v>-150338.07269999999</v>
      </c>
      <c r="Y80" s="6">
        <f t="shared" si="188"/>
        <v>-59994.491016813801</v>
      </c>
    </row>
    <row r="81" spans="1:25" x14ac:dyDescent="0.15">
      <c r="A81" s="131">
        <v>43280</v>
      </c>
      <c r="B81" s="13" t="s">
        <v>172</v>
      </c>
      <c r="C81" s="10" t="s">
        <v>160</v>
      </c>
      <c r="D81" s="10" t="s">
        <v>200</v>
      </c>
      <c r="E81" s="8">
        <f t="shared" ca="1" si="9"/>
        <v>43301</v>
      </c>
      <c r="F81" s="8">
        <f t="shared" ca="1" si="183"/>
        <v>43332</v>
      </c>
      <c r="G81" s="120">
        <v>440</v>
      </c>
      <c r="H81" s="10">
        <v>31</v>
      </c>
      <c r="I81" s="12">
        <f t="shared" si="189"/>
        <v>8.4931506849315067E-2</v>
      </c>
      <c r="J81" s="12">
        <v>0</v>
      </c>
      <c r="K81" s="116">
        <v>0.26</v>
      </c>
      <c r="L81" s="13">
        <f>_xll.dnetGBlackScholesNGreeks("price",$Q81,$P81,$G81,$I81,$C$3,$J81,$K81,$C$4)*R81</f>
        <v>3.7357559760188934</v>
      </c>
      <c r="M81" s="15"/>
      <c r="N81" s="13">
        <f t="shared" si="184"/>
        <v>0</v>
      </c>
      <c r="O81" s="13">
        <f t="shared" si="185"/>
        <v>3.7357559760188934</v>
      </c>
      <c r="P81" s="120">
        <v>469.5</v>
      </c>
      <c r="Q81" s="10" t="s">
        <v>85</v>
      </c>
      <c r="R81" s="10">
        <f t="shared" si="186"/>
        <v>1</v>
      </c>
      <c r="S81" s="10" t="s">
        <v>151</v>
      </c>
      <c r="T81" s="14">
        <f t="shared" si="187"/>
        <v>7.9568817380594112E-3</v>
      </c>
      <c r="U81" s="13">
        <f>_xll.dnetGBlackScholesNGreeks("delta",$Q81,$P81,$G81,$I81,$C$3,$J81,$K81,$C$4)*R81</f>
        <v>-0.18526041302067142</v>
      </c>
      <c r="V81" s="13">
        <f>_xll.dnetGBlackScholesNGreeks("vega",$Q81,$P81,$G81,$I81,$C$3,$J81,$K81,$C$4)*R81</f>
        <v>0.36516381138505949</v>
      </c>
      <c r="W81" s="114"/>
      <c r="X81" s="115">
        <v>-150338.07269999999</v>
      </c>
      <c r="Y81" s="6">
        <f t="shared" si="188"/>
        <v>27851.693441133724</v>
      </c>
    </row>
    <row r="82" spans="1:25" x14ac:dyDescent="0.15">
      <c r="A82" s="131">
        <v>43280</v>
      </c>
      <c r="B82" s="13" t="s">
        <v>172</v>
      </c>
      <c r="C82" s="10" t="s">
        <v>160</v>
      </c>
      <c r="D82" s="10" t="s">
        <v>200</v>
      </c>
      <c r="E82" s="8">
        <f t="shared" ca="1" si="9"/>
        <v>43301</v>
      </c>
      <c r="F82" s="8">
        <f t="shared" ca="1" si="183"/>
        <v>43393</v>
      </c>
      <c r="G82" s="120">
        <v>500</v>
      </c>
      <c r="H82" s="10">
        <v>92</v>
      </c>
      <c r="I82" s="12">
        <f t="shared" si="189"/>
        <v>0.25205479452054796</v>
      </c>
      <c r="J82" s="12">
        <v>0</v>
      </c>
      <c r="K82" s="116">
        <v>0.26</v>
      </c>
      <c r="L82" s="13">
        <f>_xll.dnetGBlackScholesNGreeks("price",$Q82,$P82,$G82,$I82,$C$3,$J82,$K82,$C$4)*R82</f>
        <v>12.782530644296543</v>
      </c>
      <c r="M82" s="15"/>
      <c r="N82" s="13">
        <f t="shared" si="184"/>
        <v>0</v>
      </c>
      <c r="O82" s="13">
        <f t="shared" si="185"/>
        <v>12.782530644296543</v>
      </c>
      <c r="P82" s="120">
        <v>469.5</v>
      </c>
      <c r="Q82" s="10" t="s">
        <v>297</v>
      </c>
      <c r="R82" s="10">
        <f t="shared" si="186"/>
        <v>1</v>
      </c>
      <c r="S82" s="10" t="s">
        <v>151</v>
      </c>
      <c r="T82" s="14">
        <f t="shared" si="187"/>
        <v>2.7225837368043754E-2</v>
      </c>
      <c r="U82" s="13">
        <f>_xll.dnetGBlackScholesNGreeks("delta",$Q82,$P82,$G82,$I82,$C$3,$J82,$K82,$C$4)*R82</f>
        <v>0.33667128484609066</v>
      </c>
      <c r="V82" s="13">
        <f>_xll.dnetGBlackScholesNGreeks("vega",$Q82,$P82,$G82,$I82,$C$3,$J82,$K82,$C$4)*R82</f>
        <v>0.85761284232575008</v>
      </c>
      <c r="W82" s="114"/>
      <c r="X82" s="115">
        <v>-150338.07269999999</v>
      </c>
      <c r="Y82" s="6">
        <f t="shared" si="188"/>
        <v>-50614.512097193983</v>
      </c>
    </row>
    <row r="83" spans="1:25" x14ac:dyDescent="0.15">
      <c r="A83" s="131">
        <v>43280</v>
      </c>
      <c r="B83" s="13" t="s">
        <v>172</v>
      </c>
      <c r="C83" s="10" t="s">
        <v>160</v>
      </c>
      <c r="D83" s="10" t="s">
        <v>200</v>
      </c>
      <c r="E83" s="8">
        <f t="shared" ca="1" si="9"/>
        <v>43301</v>
      </c>
      <c r="F83" s="8">
        <f t="shared" ca="1" si="183"/>
        <v>43393</v>
      </c>
      <c r="G83" s="120">
        <v>510</v>
      </c>
      <c r="H83" s="10">
        <v>92</v>
      </c>
      <c r="I83" s="12">
        <f t="shared" si="189"/>
        <v>0.25205479452054796</v>
      </c>
      <c r="J83" s="12">
        <v>0</v>
      </c>
      <c r="K83" s="116">
        <v>0.26</v>
      </c>
      <c r="L83" s="13">
        <f>_xll.dnetGBlackScholesNGreeks("price",$Q83,$P83,$G83,$I83,$C$3,$J83,$K83,$C$4)*R83</f>
        <v>10.129343598602915</v>
      </c>
      <c r="M83" s="15"/>
      <c r="N83" s="13">
        <f t="shared" si="184"/>
        <v>0</v>
      </c>
      <c r="O83" s="13">
        <f t="shared" si="185"/>
        <v>10.129343598602915</v>
      </c>
      <c r="P83" s="120">
        <v>469.5</v>
      </c>
      <c r="Q83" s="10" t="s">
        <v>297</v>
      </c>
      <c r="R83" s="10">
        <f t="shared" si="186"/>
        <v>1</v>
      </c>
      <c r="S83" s="10" t="s">
        <v>151</v>
      </c>
      <c r="T83" s="14">
        <f t="shared" si="187"/>
        <v>2.1574746748887999E-2</v>
      </c>
      <c r="U83" s="13">
        <f>_xll.dnetGBlackScholesNGreeks("delta",$Q83,$P83,$G83,$I83,$C$3,$J83,$K83,$C$4)*R83</f>
        <v>0.28337693341029535</v>
      </c>
      <c r="V83" s="13">
        <f>_xll.dnetGBlackScholesNGreeks("vega",$Q83,$P83,$G83,$I83,$C$3,$J83,$K83,$C$4)*R83</f>
        <v>0.79576100567470576</v>
      </c>
      <c r="W83" s="114"/>
      <c r="X83" s="115">
        <v>-150338.07269999999</v>
      </c>
      <c r="Y83" s="6">
        <f t="shared" si="188"/>
        <v>-42602.342016540038</v>
      </c>
    </row>
    <row r="84" spans="1:25" x14ac:dyDescent="0.15">
      <c r="A84" s="131">
        <v>43280</v>
      </c>
      <c r="B84" s="13" t="s">
        <v>172</v>
      </c>
      <c r="C84" s="10" t="s">
        <v>160</v>
      </c>
      <c r="D84" s="10" t="s">
        <v>200</v>
      </c>
      <c r="E84" s="8">
        <f t="shared" ca="1" si="9"/>
        <v>43301</v>
      </c>
      <c r="F84" s="8">
        <f t="shared" ca="1" si="183"/>
        <v>43393</v>
      </c>
      <c r="G84" s="120">
        <v>520</v>
      </c>
      <c r="H84" s="10">
        <v>92</v>
      </c>
      <c r="I84" s="12">
        <f t="shared" si="189"/>
        <v>0.25205479452054796</v>
      </c>
      <c r="J84" s="12">
        <v>0</v>
      </c>
      <c r="K84" s="116">
        <v>0.26</v>
      </c>
      <c r="L84" s="13">
        <f>_xll.dnetGBlackScholesNGreeks("price",$Q84,$P84,$G84,$I84,$C$3,$J84,$K84,$C$4)*R84</f>
        <v>7.9429441277310673</v>
      </c>
      <c r="M84" s="15"/>
      <c r="N84" s="13">
        <f t="shared" si="184"/>
        <v>0</v>
      </c>
      <c r="O84" s="13">
        <f t="shared" si="185"/>
        <v>7.9429441277310673</v>
      </c>
      <c r="P84" s="120">
        <v>469.5</v>
      </c>
      <c r="Q84" s="10" t="s">
        <v>297</v>
      </c>
      <c r="R84" s="10">
        <f t="shared" si="186"/>
        <v>1</v>
      </c>
      <c r="S84" s="10" t="s">
        <v>151</v>
      </c>
      <c r="T84" s="14">
        <f t="shared" si="187"/>
        <v>1.6917878866306853E-2</v>
      </c>
      <c r="U84" s="13">
        <f>_xll.dnetGBlackScholesNGreeks("delta",$Q84,$P84,$G84,$I84,$C$3,$J84,$K84,$C$4)*R84</f>
        <v>0.235382169395848</v>
      </c>
      <c r="V84" s="13">
        <f>_xll.dnetGBlackScholesNGreeks("vega",$Q84,$P84,$G84,$I84,$C$3,$J84,$K84,$C$4)*R84</f>
        <v>0.72309718314188842</v>
      </c>
      <c r="W84" s="114"/>
      <c r="X84" s="115">
        <v>-150338.07269999999</v>
      </c>
      <c r="Y84" s="6">
        <f t="shared" si="188"/>
        <v>-35386.901694916705</v>
      </c>
    </row>
    <row r="86" spans="1:25" x14ac:dyDescent="0.15">
      <c r="A86" s="131">
        <v>43280</v>
      </c>
      <c r="B86" s="13" t="s">
        <v>172</v>
      </c>
      <c r="C86" s="10" t="s">
        <v>160</v>
      </c>
      <c r="D86" s="10" t="s">
        <v>296</v>
      </c>
      <c r="E86" s="8">
        <f t="shared" ca="1" si="9"/>
        <v>43301</v>
      </c>
      <c r="F86" s="8">
        <f t="shared" ref="F86" ca="1" si="190">E86+H86</f>
        <v>43332</v>
      </c>
      <c r="G86" s="120">
        <v>3900</v>
      </c>
      <c r="H86" s="10">
        <v>31</v>
      </c>
      <c r="I86" s="12">
        <f>(H86)/365</f>
        <v>8.4931506849315067E-2</v>
      </c>
      <c r="J86" s="12">
        <v>0</v>
      </c>
      <c r="K86" s="116">
        <v>0.28499999999999998</v>
      </c>
      <c r="L86" s="13">
        <f>_xll.dnetGBlackScholesNGreeks("price",$Q86,$P86,$G86,$I86,$C$3,$J86,$K86,$C$4)*R86</f>
        <v>0</v>
      </c>
      <c r="M86" s="15"/>
      <c r="N86" s="13">
        <f t="shared" ref="N86" si="191">M86/10000*I86*P86</f>
        <v>0</v>
      </c>
      <c r="O86" s="13">
        <f>IF(L86&lt;=0,ABS(L86)+N86,L86-N86)</f>
        <v>0</v>
      </c>
      <c r="P86" s="11">
        <f>RTD("wdf.rtq",,D86,"LastPrice")</f>
        <v>0</v>
      </c>
      <c r="Q86" s="10" t="s">
        <v>297</v>
      </c>
      <c r="R86" s="10">
        <f t="shared" ref="R86" si="192">IF(S86="中金买入",1,-1)</f>
        <v>-1</v>
      </c>
      <c r="S86" s="10" t="s">
        <v>20</v>
      </c>
      <c r="T86" s="14" t="e">
        <f t="shared" ref="T86" si="193">O86/P86</f>
        <v>#DIV/0!</v>
      </c>
      <c r="U86" s="13" t="e">
        <f>_xll.dnetGBlackScholesNGreeks("delta",$Q86,$P86,$G86,$I86,$C$3,$J86,$K86,$C$4)*R86</f>
        <v>#VALUE!</v>
      </c>
      <c r="V86" s="13">
        <f>_xll.dnetGBlackScholesNGreeks("vega",$Q86,$P86,$G86,$I86,$C$3,$J86,$K86,$C$4)*R86</f>
        <v>0</v>
      </c>
      <c r="W86" s="114"/>
      <c r="X86" s="115">
        <v>-150338.07269999999</v>
      </c>
      <c r="Y86" s="6" t="e">
        <f>X86*U86</f>
        <v>#VALUE!</v>
      </c>
    </row>
    <row r="88" spans="1:25" x14ac:dyDescent="0.15">
      <c r="A88" s="131">
        <v>43280</v>
      </c>
      <c r="B88" s="13" t="s">
        <v>172</v>
      </c>
      <c r="C88" s="10" t="s">
        <v>160</v>
      </c>
      <c r="D88" s="10" t="s">
        <v>192</v>
      </c>
      <c r="E88" s="8">
        <f t="shared" ca="1" si="9"/>
        <v>43301</v>
      </c>
      <c r="F88" s="8">
        <f t="shared" ref="F88:F89" ca="1" si="194">E88+H88</f>
        <v>43340</v>
      </c>
      <c r="G88" s="120">
        <v>3800</v>
      </c>
      <c r="H88" s="10">
        <v>39</v>
      </c>
      <c r="I88" s="12">
        <f>(H88)/365</f>
        <v>0.10684931506849316</v>
      </c>
      <c r="J88" s="12">
        <v>0</v>
      </c>
      <c r="K88" s="116">
        <v>0.28000000000000003</v>
      </c>
      <c r="L88" s="13">
        <f>_xll.dnetGBlackScholesNGreeks("price",$Q88,$P88,$G88,$I88,$C$3,$J88,$K88,$C$4)*R88</f>
        <v>-138.40695631358699</v>
      </c>
      <c r="M88" s="15"/>
      <c r="N88" s="13">
        <f t="shared" ref="N88:N89" si="195">M88/10000*I88*P88</f>
        <v>0</v>
      </c>
      <c r="O88" s="13">
        <f>IF(L88&lt;=0,ABS(L88)+N88,L88-N88)</f>
        <v>138.40695631358699</v>
      </c>
      <c r="P88" s="11">
        <v>3800</v>
      </c>
      <c r="Q88" s="10" t="s">
        <v>25</v>
      </c>
      <c r="R88" s="10">
        <f t="shared" ref="R88:R89" si="196">IF(S88="中金买入",1,-1)</f>
        <v>-1</v>
      </c>
      <c r="S88" s="10" t="s">
        <v>20</v>
      </c>
      <c r="T88" s="14">
        <f t="shared" ref="T88:T89" si="197">O88/P88</f>
        <v>3.6422883240417626E-2</v>
      </c>
      <c r="U88" s="13">
        <f>_xll.dnetGBlackScholesNGreeks("delta",$Q88,$P88,$G88,$I88,$C$3,$J88,$K88,$C$4)*R88</f>
        <v>0.48072120612232538</v>
      </c>
      <c r="V88" s="13">
        <f>_xll.dnetGBlackScholesNGreeks("vega",$Q88,$P88,$G88,$I88,$C$3,$J88,$K88,$C$4)*R88</f>
        <v>-4.9396536575446817</v>
      </c>
      <c r="W88" s="114"/>
      <c r="X88" s="115">
        <v>-150338.07269999999</v>
      </c>
      <c r="Y88" s="6">
        <f>X88*U88</f>
        <v>-72270.699634449833</v>
      </c>
    </row>
    <row r="89" spans="1:25" x14ac:dyDescent="0.15">
      <c r="A89" s="131">
        <v>43280</v>
      </c>
      <c r="B89" s="13" t="s">
        <v>172</v>
      </c>
      <c r="C89" s="10" t="s">
        <v>160</v>
      </c>
      <c r="D89" s="10" t="s">
        <v>192</v>
      </c>
      <c r="E89" s="8">
        <f t="shared" ca="1" si="9"/>
        <v>43301</v>
      </c>
      <c r="F89" s="8">
        <f t="shared" ca="1" si="194"/>
        <v>43340</v>
      </c>
      <c r="G89" s="120">
        <v>3500</v>
      </c>
      <c r="H89" s="10">
        <v>39</v>
      </c>
      <c r="I89" s="12">
        <f>(H89)/365</f>
        <v>0.10684931506849316</v>
      </c>
      <c r="J89" s="12">
        <v>0</v>
      </c>
      <c r="K89" s="116">
        <v>0.26500000000000001</v>
      </c>
      <c r="L89" s="13">
        <f>_xll.dnetGBlackScholesNGreeks("price",$Q89,$P89,$G89,$I89,$C$3,$J89,$K89,$C$4)*R89</f>
        <v>-28.877639717004399</v>
      </c>
      <c r="M89" s="15"/>
      <c r="N89" s="13">
        <f t="shared" si="195"/>
        <v>0</v>
      </c>
      <c r="O89" s="13">
        <f>IF(L89&lt;=0,ABS(L89)+N89,L89-N89)</f>
        <v>28.877639717004399</v>
      </c>
      <c r="P89" s="11">
        <v>3800</v>
      </c>
      <c r="Q89" s="10" t="s">
        <v>25</v>
      </c>
      <c r="R89" s="10">
        <f t="shared" si="196"/>
        <v>-1</v>
      </c>
      <c r="S89" s="10" t="s">
        <v>20</v>
      </c>
      <c r="T89" s="14">
        <f t="shared" si="197"/>
        <v>7.5993788728958948E-3</v>
      </c>
      <c r="U89" s="13">
        <f>_xll.dnetGBlackScholesNGreeks("delta",$Q89,$P89,$G89,$I89,$C$3,$J89,$K89,$C$4)*R89</f>
        <v>0.16008706746220014</v>
      </c>
      <c r="V89" s="13">
        <f>_xll.dnetGBlackScholesNGreeks("vega",$Q89,$P89,$G89,$I89,$C$3,$J89,$K89,$C$4)*R89</f>
        <v>-3.0197428105723247</v>
      </c>
      <c r="W89" s="114"/>
      <c r="X89" s="115">
        <v>-150338.07269999999</v>
      </c>
      <c r="Y89" s="6">
        <f>X89*U89</f>
        <v>-24067.181186462047</v>
      </c>
    </row>
    <row r="91" spans="1:25" x14ac:dyDescent="0.15">
      <c r="A91" s="131">
        <v>43280</v>
      </c>
      <c r="B91" s="13" t="s">
        <v>172</v>
      </c>
      <c r="C91" s="10" t="s">
        <v>160</v>
      </c>
      <c r="D91" s="10" t="s">
        <v>269</v>
      </c>
      <c r="E91" s="8">
        <f t="shared" ca="1" si="9"/>
        <v>43301</v>
      </c>
      <c r="F91" s="8">
        <f t="shared" ref="F91" ca="1" si="198">E91+H91</f>
        <v>43331</v>
      </c>
      <c r="G91" s="120">
        <v>53200</v>
      </c>
      <c r="H91" s="10">
        <v>30</v>
      </c>
      <c r="I91" s="12">
        <f>(H91)/365</f>
        <v>8.2191780821917804E-2</v>
      </c>
      <c r="J91" s="12">
        <v>0</v>
      </c>
      <c r="K91" s="116">
        <v>0.13250000000000001</v>
      </c>
      <c r="L91" s="13">
        <f>_xll.dnetGBlackScholesNGreeks("price",$Q91,$P91,$G91,$I91,$C$3,$J91,$K91,$C$4)*R91</f>
        <v>212.34618127701287</v>
      </c>
      <c r="M91" s="15">
        <v>30</v>
      </c>
      <c r="N91" s="13">
        <f t="shared" ref="N91" si="199">M91/10000*I91*P91</f>
        <v>12.693698630136986</v>
      </c>
      <c r="O91" s="13">
        <f>IF(L91&lt;=0,ABS(L91)+N91,L91-N91)</f>
        <v>199.65248264687588</v>
      </c>
      <c r="P91" s="11">
        <v>51480</v>
      </c>
      <c r="Q91" s="10" t="s">
        <v>39</v>
      </c>
      <c r="R91" s="10">
        <f t="shared" ref="R91" si="200">IF(S91="中金买入",1,-1)</f>
        <v>1</v>
      </c>
      <c r="S91" s="10" t="s">
        <v>151</v>
      </c>
      <c r="T91" s="14">
        <f t="shared" ref="T91" si="201">O91/P91</f>
        <v>3.8782533536689178E-3</v>
      </c>
      <c r="U91" s="13">
        <f>_xll.dnetGBlackScholesNGreeks("delta",$Q91,$P91,$G91,$I91,$C$3,$J91,$K91,$C$4)*R91</f>
        <v>0.19839940769088571</v>
      </c>
      <c r="V91" s="13">
        <f>_xll.dnetGBlackScholesNGreeks("vega",$Q91,$P91,$G91,$I91,$C$3,$J91,$K91,$C$4)*R91</f>
        <v>41.026983383458173</v>
      </c>
      <c r="W91" s="114"/>
      <c r="X91" s="115">
        <v>-150338.07269999999</v>
      </c>
      <c r="Y91" s="6">
        <f>X91*U91</f>
        <v>-29826.984577069314</v>
      </c>
    </row>
    <row r="92" spans="1:25" x14ac:dyDescent="0.15">
      <c r="A92" s="131">
        <v>43280</v>
      </c>
      <c r="B92" s="13" t="s">
        <v>172</v>
      </c>
      <c r="C92" s="10" t="s">
        <v>160</v>
      </c>
      <c r="D92" s="10" t="s">
        <v>269</v>
      </c>
      <c r="E92" s="8">
        <f t="shared" ca="1" si="9"/>
        <v>43301</v>
      </c>
      <c r="F92" s="8">
        <f t="shared" ref="F92" ca="1" si="202">E92+H92</f>
        <v>43331</v>
      </c>
      <c r="G92" s="120">
        <v>53200</v>
      </c>
      <c r="H92" s="10">
        <v>30</v>
      </c>
      <c r="I92" s="12">
        <f>(H92)/365</f>
        <v>8.2191780821917804E-2</v>
      </c>
      <c r="J92" s="12">
        <v>0</v>
      </c>
      <c r="K92" s="116">
        <v>0.13250000000000001</v>
      </c>
      <c r="L92" s="13">
        <f>_xll.dnetGBlackScholesNGreeks("price",$Q92,$P92,$G92,$I92,$C$3,$J92,$K92,$C$4)*R92</f>
        <v>212.34618127701287</v>
      </c>
      <c r="M92" s="15">
        <v>30</v>
      </c>
      <c r="N92" s="13">
        <f t="shared" ref="N92" si="203">M92/10000*I92*P92</f>
        <v>12.693698630136986</v>
      </c>
      <c r="O92" s="13">
        <f>IF(L92&lt;=0,ABS(L92)+N92,L92-N92)</f>
        <v>199.65248264687588</v>
      </c>
      <c r="P92" s="11">
        <v>51480</v>
      </c>
      <c r="Q92" s="10" t="s">
        <v>39</v>
      </c>
      <c r="R92" s="10">
        <f t="shared" ref="R92" si="204">IF(S92="中金买入",1,-1)</f>
        <v>1</v>
      </c>
      <c r="S92" s="10" t="s">
        <v>151</v>
      </c>
      <c r="T92" s="14">
        <f t="shared" ref="T92" si="205">O92/P92</f>
        <v>3.8782533536689178E-3</v>
      </c>
      <c r="U92" s="13">
        <f>_xll.dnetGBlackScholesNGreeks("delta",$Q92,$P92,$G92,$I92,$C$3,$J92,$K92,$C$4)*R92</f>
        <v>0.19839940769088571</v>
      </c>
      <c r="V92" s="13">
        <f>_xll.dnetGBlackScholesNGreeks("vega",$Q92,$P92,$G92,$I92,$C$3,$J92,$K92,$C$4)*R92</f>
        <v>41.026983383458173</v>
      </c>
      <c r="W92" s="114"/>
      <c r="X92" s="115">
        <v>-150338.07269999999</v>
      </c>
      <c r="Y92" s="6">
        <f>X92*U92</f>
        <v>-29826.984577069314</v>
      </c>
    </row>
    <row r="94" spans="1:25" x14ac:dyDescent="0.15">
      <c r="A94" s="131">
        <v>43280</v>
      </c>
      <c r="B94" s="13" t="s">
        <v>172</v>
      </c>
      <c r="C94" s="10" t="s">
        <v>160</v>
      </c>
      <c r="D94" s="10" t="s">
        <v>310</v>
      </c>
      <c r="E94" s="8">
        <f t="shared" ca="1" si="9"/>
        <v>43301</v>
      </c>
      <c r="F94" s="8">
        <f t="shared" ref="F94:F95" ca="1" si="206">E94+H94</f>
        <v>43331</v>
      </c>
      <c r="G94" s="120">
        <v>100</v>
      </c>
      <c r="H94" s="10">
        <v>30</v>
      </c>
      <c r="I94" s="12">
        <f>(H94)/365</f>
        <v>8.2191780821917804E-2</v>
      </c>
      <c r="J94" s="12">
        <v>0</v>
      </c>
      <c r="K94" s="116">
        <v>0.13</v>
      </c>
      <c r="L94" s="13">
        <f>_xll.dnetGBlackScholesNGreeks("price",$Q94,$P94,$G94,$I94,$C$3,$J94,$K94,$C$4)*R94</f>
        <v>1.4843235213826489</v>
      </c>
      <c r="M94" s="15"/>
      <c r="N94" s="13">
        <f t="shared" ref="N94:N95" si="207">M94/10000*I94*P94</f>
        <v>0</v>
      </c>
      <c r="O94" s="13">
        <f>IF(L94&lt;=0,ABS(L94)+N94,L94-N94)</f>
        <v>1.4843235213826489</v>
      </c>
      <c r="P94" s="11">
        <v>100</v>
      </c>
      <c r="Q94" s="10" t="s">
        <v>39</v>
      </c>
      <c r="R94" s="10">
        <f t="shared" ref="R94:R95" si="208">IF(S94="中金买入",1,-1)</f>
        <v>1</v>
      </c>
      <c r="S94" s="10" t="s">
        <v>151</v>
      </c>
      <c r="T94" s="14">
        <f t="shared" ref="T94:T95" si="209">O94/P94</f>
        <v>1.4843235213826489E-2</v>
      </c>
      <c r="U94" s="13">
        <f>_xll.dnetGBlackScholesNGreeks("delta",$Q94,$P94,$G94,$I94,$C$3,$J94,$K94,$C$4)*R94</f>
        <v>0.50660034826606193</v>
      </c>
      <c r="V94" s="13">
        <f>_xll.dnetGBlackScholesNGreeks("vega",$Q94,$P94,$G94,$I94,$C$3,$J94,$K94,$C$4)*R94</f>
        <v>0.11416547736249072</v>
      </c>
      <c r="W94" s="114"/>
      <c r="X94" s="115">
        <v>-150338.07269999999</v>
      </c>
      <c r="Y94" s="6">
        <f>X94*U94</f>
        <v>-76161.319987468538</v>
      </c>
    </row>
    <row r="95" spans="1:25" x14ac:dyDescent="0.15">
      <c r="A95" s="131">
        <v>43280</v>
      </c>
      <c r="B95" s="13" t="s">
        <v>172</v>
      </c>
      <c r="C95" s="10" t="s">
        <v>160</v>
      </c>
      <c r="D95" s="10" t="s">
        <v>310</v>
      </c>
      <c r="E95" s="8">
        <f t="shared" ref="E95" ca="1" si="210">TODAY()</f>
        <v>43301</v>
      </c>
      <c r="F95" s="8">
        <f t="shared" ca="1" si="206"/>
        <v>43363</v>
      </c>
      <c r="G95" s="120">
        <v>100</v>
      </c>
      <c r="H95" s="10">
        <v>62</v>
      </c>
      <c r="I95" s="12">
        <f>(H95)/365</f>
        <v>0.16986301369863013</v>
      </c>
      <c r="J95" s="12">
        <v>0</v>
      </c>
      <c r="K95" s="116">
        <v>0.12</v>
      </c>
      <c r="L95" s="13">
        <f>_xll.dnetGBlackScholesNGreeks("price",$Q95,$P95,$G95,$I95,$C$3,$J95,$K95,$C$4)*R95</f>
        <v>1.9661699418225353</v>
      </c>
      <c r="M95" s="15"/>
      <c r="N95" s="13">
        <f t="shared" si="207"/>
        <v>0</v>
      </c>
      <c r="O95" s="13">
        <f>IF(L95&lt;=0,ABS(L95)+N95,L95-N95)</f>
        <v>1.9661699418225353</v>
      </c>
      <c r="P95" s="11">
        <v>100</v>
      </c>
      <c r="Q95" s="10" t="s">
        <v>39</v>
      </c>
      <c r="R95" s="10">
        <f t="shared" si="208"/>
        <v>1</v>
      </c>
      <c r="S95" s="10" t="s">
        <v>151</v>
      </c>
      <c r="T95" s="14">
        <f t="shared" si="209"/>
        <v>1.9661699418225355E-2</v>
      </c>
      <c r="U95" s="13">
        <f>_xll.dnetGBlackScholesNGreeks("delta",$Q95,$P95,$G95,$I95,$C$3,$J95,$K95,$C$4)*R95</f>
        <v>0.50813508156117848</v>
      </c>
      <c r="V95" s="13">
        <f>_xll.dnetGBlackScholesNGreeks("vega",$Q95,$P95,$G95,$I95,$C$3,$J95,$K95,$C$4)*R95</f>
        <v>0.16381398404918457</v>
      </c>
      <c r="W95" s="114"/>
      <c r="X95" s="115">
        <v>-150338.07269999999</v>
      </c>
      <c r="Y95" s="6">
        <f>X95*U95</f>
        <v>-76392.048833164881</v>
      </c>
    </row>
    <row r="97" spans="1:25" x14ac:dyDescent="0.15">
      <c r="A97" s="131">
        <v>43285</v>
      </c>
      <c r="B97" s="13" t="s">
        <v>172</v>
      </c>
      <c r="C97" s="10" t="s">
        <v>160</v>
      </c>
      <c r="D97" s="10" t="s">
        <v>311</v>
      </c>
      <c r="E97" s="8">
        <f t="shared" ref="E97:E133" ca="1" si="211">TODAY()</f>
        <v>43301</v>
      </c>
      <c r="F97" s="8">
        <f t="shared" ref="F97:F98" ca="1" si="212">E97+H97</f>
        <v>43331</v>
      </c>
      <c r="G97" s="120">
        <v>2100</v>
      </c>
      <c r="H97" s="10">
        <v>30</v>
      </c>
      <c r="I97" s="12">
        <f>(H97)/365</f>
        <v>8.2191780821917804E-2</v>
      </c>
      <c r="J97" s="12">
        <v>0</v>
      </c>
      <c r="K97" s="116">
        <v>0.30499999999999999</v>
      </c>
      <c r="L97" s="13">
        <f>_xll.dnetGBlackScholesNGreeks("price",$Q97,$P97,$G97,$I97,$C$3,$J97,$K97,$C$4)*R97</f>
        <v>51.863640374417514</v>
      </c>
      <c r="M97" s="15"/>
      <c r="N97" s="13">
        <f t="shared" ref="N97:N98" si="213">M97/10000*I97*P97</f>
        <v>0</v>
      </c>
      <c r="O97" s="13">
        <f>IF(L97&lt;=0,ABS(L97)+N97,L97-N97)</f>
        <v>51.863640374417514</v>
      </c>
      <c r="P97" s="11">
        <f>RTD("wdf.rtq",,D97,"LastPrice")</f>
        <v>2054.5</v>
      </c>
      <c r="Q97" s="10" t="s">
        <v>39</v>
      </c>
      <c r="R97" s="10">
        <f t="shared" ref="R97:R98" si="214">IF(S97="中金买入",1,-1)</f>
        <v>1</v>
      </c>
      <c r="S97" s="10" t="s">
        <v>151</v>
      </c>
      <c r="T97" s="14">
        <f t="shared" ref="T97:T98" si="215">O97/P97</f>
        <v>2.5243923277886354E-2</v>
      </c>
      <c r="U97" s="13">
        <f>_xll.dnetGBlackScholesNGreeks("delta",$Q97,$P97,$G97,$I97,$C$3,$J97,$K97,$C$4)*R97</f>
        <v>0.41740018332347972</v>
      </c>
      <c r="V97" s="13">
        <f>_xll.dnetGBlackScholesNGreeks("vega",$Q97,$P97,$G97,$I97,$C$3,$J97,$K97,$C$4)*R97</f>
        <v>2.2962347728140458</v>
      </c>
      <c r="W97" s="114"/>
      <c r="X97" s="115">
        <v>-150338.07269999999</v>
      </c>
      <c r="Y97" s="6">
        <f>X97*U97</f>
        <v>-62751.139105478615</v>
      </c>
    </row>
    <row r="98" spans="1:25" x14ac:dyDescent="0.15">
      <c r="A98" s="131">
        <v>43285</v>
      </c>
      <c r="B98" s="13" t="s">
        <v>172</v>
      </c>
      <c r="C98" s="10" t="s">
        <v>160</v>
      </c>
      <c r="D98" s="10" t="s">
        <v>311</v>
      </c>
      <c r="E98" s="8">
        <f t="shared" ca="1" si="211"/>
        <v>43301</v>
      </c>
      <c r="F98" s="8">
        <f t="shared" ca="1" si="212"/>
        <v>43331</v>
      </c>
      <c r="G98" s="120">
        <v>2150</v>
      </c>
      <c r="H98" s="10">
        <v>30</v>
      </c>
      <c r="I98" s="12">
        <f>(H98)/365</f>
        <v>8.2191780821917804E-2</v>
      </c>
      <c r="J98" s="12">
        <v>0</v>
      </c>
      <c r="K98" s="116">
        <v>0.30499999999999999</v>
      </c>
      <c r="L98" s="13">
        <f>_xll.dnetGBlackScholesNGreeks("price",$Q98,$P98,$G98,$I98,$C$3,$J98,$K98,$C$4)*R98</f>
        <v>35.175154038268829</v>
      </c>
      <c r="M98" s="15"/>
      <c r="N98" s="13">
        <f t="shared" si="213"/>
        <v>0</v>
      </c>
      <c r="O98" s="13">
        <f>IF(L98&lt;=0,ABS(L98)+N98,L98-N98)</f>
        <v>35.175154038268829</v>
      </c>
      <c r="P98" s="11">
        <f>RTD("wdf.rtq",,D98,"LastPrice")</f>
        <v>2054.5</v>
      </c>
      <c r="Q98" s="10" t="s">
        <v>39</v>
      </c>
      <c r="R98" s="10">
        <f t="shared" si="214"/>
        <v>1</v>
      </c>
      <c r="S98" s="10" t="s">
        <v>151</v>
      </c>
      <c r="T98" s="14">
        <f t="shared" si="215"/>
        <v>1.712102897944455E-2</v>
      </c>
      <c r="U98" s="13">
        <f>_xll.dnetGBlackScholesNGreeks("delta",$Q98,$P98,$G98,$I98,$C$3,$J98,$K98,$C$4)*R98</f>
        <v>0.31655479237997497</v>
      </c>
      <c r="V98" s="13">
        <f>_xll.dnetGBlackScholesNGreeks("vega",$Q98,$P98,$G98,$I98,$C$3,$J98,$K98,$C$4)*R98</f>
        <v>2.0945020597267785</v>
      </c>
      <c r="W98" s="114"/>
      <c r="X98" s="115">
        <v>-150338.07269999999</v>
      </c>
      <c r="Y98" s="6">
        <f>X98*U98</f>
        <v>-47590.237390354079</v>
      </c>
    </row>
    <row r="99" spans="1:25" x14ac:dyDescent="0.15">
      <c r="A99" s="131">
        <v>43285</v>
      </c>
      <c r="B99" s="13" t="s">
        <v>172</v>
      </c>
      <c r="C99" s="10" t="s">
        <v>160</v>
      </c>
      <c r="D99" s="10" t="s">
        <v>311</v>
      </c>
      <c r="E99" s="8">
        <f t="shared" ca="1" si="211"/>
        <v>43301</v>
      </c>
      <c r="F99" s="8">
        <f t="shared" ref="F99" ca="1" si="216">E99+H99</f>
        <v>43331</v>
      </c>
      <c r="G99" s="120">
        <v>2200</v>
      </c>
      <c r="H99" s="10">
        <v>30</v>
      </c>
      <c r="I99" s="12">
        <f>(H99)/365</f>
        <v>8.2191780821917804E-2</v>
      </c>
      <c r="J99" s="12">
        <v>0</v>
      </c>
      <c r="K99" s="116">
        <v>0.30499999999999999</v>
      </c>
      <c r="L99" s="13">
        <f>_xll.dnetGBlackScholesNGreeks("price",$Q99,$P99,$G99,$I99,$C$3,$J99,$K99,$C$4)*R99</f>
        <v>22.992130860334385</v>
      </c>
      <c r="M99" s="15"/>
      <c r="N99" s="13">
        <f t="shared" ref="N99" si="217">M99/10000*I99*P99</f>
        <v>0</v>
      </c>
      <c r="O99" s="13">
        <f>IF(L99&lt;=0,ABS(L99)+N99,L99-N99)</f>
        <v>22.992130860334385</v>
      </c>
      <c r="P99" s="11">
        <f>RTD("wdf.rtq",,D99,"LastPrice")</f>
        <v>2054.5</v>
      </c>
      <c r="Q99" s="10" t="s">
        <v>39</v>
      </c>
      <c r="R99" s="10">
        <f t="shared" ref="R99" si="218">IF(S99="中金买入",1,-1)</f>
        <v>1</v>
      </c>
      <c r="S99" s="10" t="s">
        <v>151</v>
      </c>
      <c r="T99" s="14">
        <f t="shared" ref="T99" si="219">O99/P99</f>
        <v>1.1191107744139393E-2</v>
      </c>
      <c r="U99" s="13">
        <f>_xll.dnetGBlackScholesNGreeks("delta",$Q99,$P99,$G99,$I99,$C$3,$J99,$K99,$C$4)*R99</f>
        <v>0.22963415720482772</v>
      </c>
      <c r="V99" s="13">
        <f>_xll.dnetGBlackScholesNGreeks("vega",$Q99,$P99,$G99,$I99,$C$3,$J99,$K99,$C$4)*R99</f>
        <v>1.7851529864261124</v>
      </c>
      <c r="W99" s="114"/>
      <c r="X99" s="115">
        <v>-150338.07269999999</v>
      </c>
      <c r="Y99" s="6">
        <f>X99*U99</f>
        <v>-34522.756620262619</v>
      </c>
    </row>
    <row r="101" spans="1:25" x14ac:dyDescent="0.15">
      <c r="A101" s="131">
        <v>43285</v>
      </c>
      <c r="B101" s="13" t="s">
        <v>172</v>
      </c>
      <c r="C101" s="10" t="s">
        <v>160</v>
      </c>
      <c r="D101" s="10" t="s">
        <v>313</v>
      </c>
      <c r="E101" s="8">
        <f t="shared" ca="1" si="211"/>
        <v>43301</v>
      </c>
      <c r="F101" s="8">
        <f t="shared" ref="F101:F102" ca="1" si="220">E101+H101</f>
        <v>43344</v>
      </c>
      <c r="G101" s="120">
        <v>410</v>
      </c>
      <c r="H101" s="10">
        <v>43</v>
      </c>
      <c r="I101" s="12">
        <f>(H101)/365</f>
        <v>0.11780821917808219</v>
      </c>
      <c r="J101" s="12">
        <v>0</v>
      </c>
      <c r="K101" s="116">
        <v>0.24</v>
      </c>
      <c r="L101" s="13">
        <f>_xll.dnetGBlackScholesNGreeks("price",$Q101,$P101,$G101,$I101,$C$3,$J101,$K101,$C$4)*R101</f>
        <v>1.9425419792219643</v>
      </c>
      <c r="M101" s="15"/>
      <c r="N101" s="13">
        <f t="shared" ref="N101:N102" si="221">M101/10000*I101*P101</f>
        <v>0</v>
      </c>
      <c r="O101" s="13">
        <f>IF(L101&lt;=0,ABS(L101)+N101,L101-N101)</f>
        <v>1.9425419792219643</v>
      </c>
      <c r="P101" s="11">
        <v>453</v>
      </c>
      <c r="Q101" s="10" t="s">
        <v>85</v>
      </c>
      <c r="R101" s="10">
        <f t="shared" ref="R101:R102" si="222">IF(S101="中金买入",1,-1)</f>
        <v>1</v>
      </c>
      <c r="S101" s="10" t="s">
        <v>151</v>
      </c>
      <c r="T101" s="14">
        <f t="shared" ref="T101:T102" si="223">O101/P101</f>
        <v>4.2881721395628351E-3</v>
      </c>
      <c r="U101" s="13">
        <f>_xll.dnetGBlackScholesNGreeks("delta",$Q101,$P101,$G101,$I101,$C$3,$J101,$K101,$C$4)*R101</f>
        <v>-0.10505153386120014</v>
      </c>
      <c r="V101" s="13">
        <f>_xll.dnetGBlackScholesNGreeks("vega",$Q101,$P101,$G101,$I101,$C$3,$J101,$K101,$C$4)*R101</f>
        <v>0.28245764206735657</v>
      </c>
      <c r="W101" s="114"/>
      <c r="X101" s="115">
        <v>-150338.07269999999</v>
      </c>
      <c r="Y101" s="6">
        <f>X101*U101</f>
        <v>15793.245134871617</v>
      </c>
    </row>
    <row r="102" spans="1:25" x14ac:dyDescent="0.15">
      <c r="A102" s="131">
        <v>43285</v>
      </c>
      <c r="B102" s="13" t="s">
        <v>172</v>
      </c>
      <c r="C102" s="10" t="s">
        <v>160</v>
      </c>
      <c r="D102" s="10" t="s">
        <v>313</v>
      </c>
      <c r="E102" s="8">
        <f t="shared" ca="1" si="211"/>
        <v>43301</v>
      </c>
      <c r="F102" s="8">
        <f t="shared" ca="1" si="220"/>
        <v>43344</v>
      </c>
      <c r="G102" s="120">
        <v>415</v>
      </c>
      <c r="H102" s="10">
        <v>43</v>
      </c>
      <c r="I102" s="12">
        <f>(H102)/365</f>
        <v>0.11780821917808219</v>
      </c>
      <c r="J102" s="12">
        <v>0</v>
      </c>
      <c r="K102" s="116">
        <v>0.24</v>
      </c>
      <c r="L102" s="13">
        <f>_xll.dnetGBlackScholesNGreeks("price",$Q102,$P102,$G102,$I102,$C$3,$J102,$K102,$C$4)*R102</f>
        <v>2.6249042749864415</v>
      </c>
      <c r="M102" s="15"/>
      <c r="N102" s="13">
        <f t="shared" si="221"/>
        <v>0</v>
      </c>
      <c r="O102" s="13">
        <f>IF(L102&lt;=0,ABS(L102)+N102,L102-N102)</f>
        <v>2.6249042749864415</v>
      </c>
      <c r="P102" s="11">
        <v>453</v>
      </c>
      <c r="Q102" s="10" t="s">
        <v>85</v>
      </c>
      <c r="R102" s="10">
        <f t="shared" si="222"/>
        <v>1</v>
      </c>
      <c r="S102" s="10" t="s">
        <v>151</v>
      </c>
      <c r="T102" s="14">
        <f t="shared" si="223"/>
        <v>5.7944906732592524E-3</v>
      </c>
      <c r="U102" s="13">
        <f>_xll.dnetGBlackScholesNGreeks("delta",$Q102,$P102,$G102,$I102,$C$3,$J102,$K102,$C$4)*R102</f>
        <v>-0.13431201938338688</v>
      </c>
      <c r="V102" s="13">
        <f>_xll.dnetGBlackScholesNGreeks("vega",$Q102,$P102,$G102,$I102,$C$3,$J102,$K102,$C$4)*R102</f>
        <v>0.33594859619361017</v>
      </c>
      <c r="W102" s="114"/>
      <c r="X102" s="115">
        <v>-150338.07269999999</v>
      </c>
      <c r="Y102" s="6">
        <f>X102*U102</f>
        <v>20192.210134543424</v>
      </c>
    </row>
    <row r="104" spans="1:25" x14ac:dyDescent="0.15">
      <c r="A104" s="131">
        <v>43285</v>
      </c>
      <c r="B104" s="13" t="s">
        <v>172</v>
      </c>
      <c r="C104" s="10" t="s">
        <v>160</v>
      </c>
      <c r="D104" s="10" t="s">
        <v>311</v>
      </c>
      <c r="E104" s="8">
        <f t="shared" ca="1" si="211"/>
        <v>43301</v>
      </c>
      <c r="F104" s="8">
        <f t="shared" ref="F104" ca="1" si="224">E104+H104</f>
        <v>43316</v>
      </c>
      <c r="G104" s="120">
        <v>468</v>
      </c>
      <c r="H104" s="10">
        <v>15</v>
      </c>
      <c r="I104" s="12">
        <f>(H104)/365</f>
        <v>4.1095890410958902E-2</v>
      </c>
      <c r="J104" s="12">
        <v>0</v>
      </c>
      <c r="K104" s="116">
        <v>0.22</v>
      </c>
      <c r="L104" s="13">
        <f>_xll.dnetGBlackScholesNGreeks("price",$Q104,$P104,$G104,$I104,$C$3,$J104,$K104,$C$4)*R104</f>
        <v>2.7830906316774673</v>
      </c>
      <c r="M104" s="15"/>
      <c r="N104" s="13">
        <f t="shared" ref="N104" si="225">M104/10000*I104*P104</f>
        <v>0</v>
      </c>
      <c r="O104" s="13">
        <f>IF(L104&lt;=0,ABS(L104)+N104,L104-N104)</f>
        <v>2.7830906316774673</v>
      </c>
      <c r="P104" s="11">
        <v>453</v>
      </c>
      <c r="Q104" s="10" t="s">
        <v>39</v>
      </c>
      <c r="R104" s="10">
        <f t="shared" ref="R104" si="226">IF(S104="中金买入",1,-1)</f>
        <v>1</v>
      </c>
      <c r="S104" s="10" t="s">
        <v>151</v>
      </c>
      <c r="T104" s="14">
        <f t="shared" ref="T104" si="227">O104/P104</f>
        <v>6.1436879286478306E-3</v>
      </c>
      <c r="U104" s="13">
        <f>_xll.dnetGBlackScholesNGreeks("delta",$Q104,$P104,$G104,$I104,$C$3,$J104,$K104,$C$4)*R104</f>
        <v>0.23923559009872974</v>
      </c>
      <c r="V104" s="13">
        <f>_xll.dnetGBlackScholesNGreeks("vega",$Q104,$P104,$G104,$I104,$C$3,$J104,$K104,$C$4)*R104</f>
        <v>0.2847510056888467</v>
      </c>
      <c r="W104" s="114"/>
      <c r="X104" s="115">
        <v>-150338.07269999999</v>
      </c>
      <c r="Y104" s="6">
        <f>X104*U104</f>
        <v>-35966.21753669023</v>
      </c>
    </row>
    <row r="105" spans="1:25" x14ac:dyDescent="0.15">
      <c r="A105" s="131"/>
      <c r="B105" s="13"/>
      <c r="C105" s="10"/>
      <c r="D105" s="10"/>
      <c r="E105" s="8"/>
      <c r="F105" s="8"/>
      <c r="G105" s="120"/>
      <c r="H105" s="10"/>
      <c r="I105" s="12"/>
      <c r="J105" s="12"/>
      <c r="K105" s="116"/>
      <c r="L105" s="13"/>
      <c r="M105" s="15"/>
      <c r="N105" s="13"/>
      <c r="O105" s="13"/>
      <c r="P105" s="11"/>
      <c r="Q105" s="10"/>
      <c r="R105" s="10"/>
      <c r="S105" s="10"/>
      <c r="T105" s="14"/>
      <c r="U105" s="13"/>
      <c r="V105" s="13"/>
      <c r="W105" s="114"/>
      <c r="X105" s="115"/>
    </row>
    <row r="107" spans="1:25" x14ac:dyDescent="0.15">
      <c r="A107" s="131">
        <v>43286</v>
      </c>
      <c r="B107" s="13" t="s">
        <v>172</v>
      </c>
      <c r="C107" s="10" t="s">
        <v>160</v>
      </c>
      <c r="D107" s="10" t="s">
        <v>325</v>
      </c>
      <c r="E107" s="8">
        <f t="shared" ca="1" si="211"/>
        <v>43301</v>
      </c>
      <c r="F107" s="8">
        <f t="shared" ref="F107" ca="1" si="228">E107+H107</f>
        <v>43336</v>
      </c>
      <c r="G107" s="120">
        <v>13800</v>
      </c>
      <c r="H107" s="10">
        <v>35</v>
      </c>
      <c r="I107" s="12">
        <f>(H107)/365</f>
        <v>9.5890410958904104E-2</v>
      </c>
      <c r="J107" s="12">
        <v>0</v>
      </c>
      <c r="K107" s="116">
        <v>0.1225</v>
      </c>
      <c r="L107" s="13">
        <f>_xll.dnetGBlackScholesNGreeks("price",$Q107,$P107,$G107,$I107,$C$3,$J107,$K107,$C$4)*R107</f>
        <v>13773.559608479385</v>
      </c>
      <c r="M107" s="15">
        <v>30</v>
      </c>
      <c r="N107" s="13">
        <f t="shared" ref="N107" si="229">M107/10000*I107*P107</f>
        <v>0</v>
      </c>
      <c r="O107" s="13">
        <f t="shared" ref="O107:O112" si="230">IF(L107&lt;=0,ABS(L107)+N107,L107-N107)</f>
        <v>13773.559608479385</v>
      </c>
      <c r="P107" s="11">
        <f>RTD("wdf.rtq",,D107,"LastPrice")</f>
        <v>0</v>
      </c>
      <c r="Q107" s="10" t="s">
        <v>329</v>
      </c>
      <c r="R107" s="10">
        <f t="shared" ref="R107" si="231">IF(S107="中金买入",1,-1)</f>
        <v>1</v>
      </c>
      <c r="S107" s="10" t="s">
        <v>151</v>
      </c>
      <c r="T107" s="14" t="e">
        <f t="shared" ref="T107" si="232">O107/P107</f>
        <v>#DIV/0!</v>
      </c>
      <c r="U107" s="13" t="e">
        <f>_xll.dnetGBlackScholesNGreeks("delta",$Q107,$P107,$G107,$I107,$C$3,$J107,$K107,$C$4)*R107</f>
        <v>#VALUE!</v>
      </c>
      <c r="V107" s="13">
        <f>_xll.dnetGBlackScholesNGreeks("vega",$Q107,$P107,$G107,$I107,$C$3,$J107,$K107,$C$4)*R107</f>
        <v>0</v>
      </c>
      <c r="W107" s="114"/>
      <c r="X107" s="115">
        <v>-150338.07269999999</v>
      </c>
      <c r="Y107" s="6" t="e">
        <f t="shared" ref="Y107:Y112" si="233">X107*U107</f>
        <v>#VALUE!</v>
      </c>
    </row>
    <row r="108" spans="1:25" x14ac:dyDescent="0.15">
      <c r="A108" s="131">
        <v>43286</v>
      </c>
      <c r="B108" s="13" t="s">
        <v>172</v>
      </c>
      <c r="C108" s="10" t="s">
        <v>160</v>
      </c>
      <c r="D108" s="10" t="s">
        <v>325</v>
      </c>
      <c r="E108" s="8">
        <f t="shared" ca="1" si="211"/>
        <v>43301</v>
      </c>
      <c r="F108" s="8">
        <f t="shared" ref="F108:F109" ca="1" si="234">E108+H108</f>
        <v>43336</v>
      </c>
      <c r="G108" s="120">
        <v>13500</v>
      </c>
      <c r="H108" s="10">
        <v>35</v>
      </c>
      <c r="I108" s="12">
        <f>(H108)/365</f>
        <v>9.5890410958904104E-2</v>
      </c>
      <c r="J108" s="12">
        <v>0</v>
      </c>
      <c r="K108" s="116">
        <v>0.1225</v>
      </c>
      <c r="L108" s="13">
        <f>_xll.dnetGBlackScholesNGreeks("price",$Q108,$P108,$G108,$I108,$C$3,$J108,$K108,$C$4)*R108</f>
        <v>13474.134399599399</v>
      </c>
      <c r="M108" s="15">
        <v>30</v>
      </c>
      <c r="N108" s="13">
        <f t="shared" ref="N108:N109" si="235">M108/10000*I108*P108</f>
        <v>0</v>
      </c>
      <c r="O108" s="13">
        <f t="shared" si="230"/>
        <v>13474.134399599399</v>
      </c>
      <c r="P108" s="11">
        <f>RTD("wdf.rtq",,D108,"LastPrice")</f>
        <v>0</v>
      </c>
      <c r="Q108" s="10" t="s">
        <v>329</v>
      </c>
      <c r="R108" s="10">
        <f t="shared" ref="R108:R109" si="236">IF(S108="中金买入",1,-1)</f>
        <v>1</v>
      </c>
      <c r="S108" s="10" t="s">
        <v>151</v>
      </c>
      <c r="T108" s="14" t="e">
        <f t="shared" ref="T108:T109" si="237">O108/P108</f>
        <v>#DIV/0!</v>
      </c>
      <c r="U108" s="13" t="e">
        <f>_xll.dnetGBlackScholesNGreeks("delta",$Q108,$P108,$G108,$I108,$C$3,$J108,$K108,$C$4)*R108</f>
        <v>#VALUE!</v>
      </c>
      <c r="V108" s="13">
        <f>_xll.dnetGBlackScholesNGreeks("vega",$Q108,$P108,$G108,$I108,$C$3,$J108,$K108,$C$4)*R108</f>
        <v>0</v>
      </c>
      <c r="W108" s="114"/>
      <c r="X108" s="115">
        <v>-150338.07269999999</v>
      </c>
      <c r="Y108" s="6" t="e">
        <f t="shared" si="233"/>
        <v>#VALUE!</v>
      </c>
    </row>
    <row r="109" spans="1:25" x14ac:dyDescent="0.15">
      <c r="A109" s="131">
        <v>43286</v>
      </c>
      <c r="B109" s="13" t="s">
        <v>172</v>
      </c>
      <c r="C109" s="10" t="s">
        <v>160</v>
      </c>
      <c r="D109" s="10" t="s">
        <v>326</v>
      </c>
      <c r="E109" s="8">
        <f t="shared" ca="1" si="211"/>
        <v>43301</v>
      </c>
      <c r="F109" s="8">
        <f t="shared" ca="1" si="234"/>
        <v>43372</v>
      </c>
      <c r="G109" s="120">
        <v>13800</v>
      </c>
      <c r="H109" s="10">
        <v>71</v>
      </c>
      <c r="I109" s="12">
        <f>(H109)/365</f>
        <v>0.19452054794520549</v>
      </c>
      <c r="J109" s="12">
        <v>0</v>
      </c>
      <c r="K109" s="116">
        <v>0.1225</v>
      </c>
      <c r="L109" s="13">
        <f>_xll.dnetGBlackScholesNGreeks("price",$Q109,$P109,$G109,$I109,$C$3,$J109,$K109,$C$4)*R109</f>
        <v>166.88120659672586</v>
      </c>
      <c r="M109" s="15">
        <v>30</v>
      </c>
      <c r="N109" s="13">
        <f t="shared" si="235"/>
        <v>8.2398904109589051</v>
      </c>
      <c r="O109" s="13">
        <f t="shared" si="230"/>
        <v>158.64131618576695</v>
      </c>
      <c r="P109" s="11">
        <f>RTD("wdf.rtq",,D109,"LastPrice")</f>
        <v>14120</v>
      </c>
      <c r="Q109" s="10" t="s">
        <v>329</v>
      </c>
      <c r="R109" s="10">
        <f t="shared" si="236"/>
        <v>1</v>
      </c>
      <c r="S109" s="10" t="s">
        <v>151</v>
      </c>
      <c r="T109" s="14">
        <f t="shared" si="237"/>
        <v>1.1235220693042985E-2</v>
      </c>
      <c r="U109" s="13">
        <f>_xll.dnetGBlackScholesNGreeks("delta",$Q109,$P109,$G109,$I109,$C$3,$J109,$K109,$C$4)*R109</f>
        <v>-0.32461918399349088</v>
      </c>
      <c r="V109" s="13">
        <f>_xll.dnetGBlackScholesNGreeks("vega",$Q109,$P109,$G109,$I109,$C$3,$J109,$K109,$C$4)*R109</f>
        <v>22.338974385143956</v>
      </c>
      <c r="W109" s="114"/>
      <c r="X109" s="115">
        <v>-150338.07269999999</v>
      </c>
      <c r="Y109" s="6">
        <f t="shared" si="233"/>
        <v>48802.622483028106</v>
      </c>
    </row>
    <row r="110" spans="1:25" x14ac:dyDescent="0.15">
      <c r="A110" s="131">
        <v>43286</v>
      </c>
      <c r="B110" s="13" t="s">
        <v>172</v>
      </c>
      <c r="C110" s="10" t="s">
        <v>160</v>
      </c>
      <c r="D110" s="10" t="s">
        <v>326</v>
      </c>
      <c r="E110" s="8">
        <f t="shared" ca="1" si="211"/>
        <v>43301</v>
      </c>
      <c r="F110" s="8">
        <f t="shared" ref="F110:F111" ca="1" si="238">E110+H110</f>
        <v>43372</v>
      </c>
      <c r="G110" s="120">
        <v>13500</v>
      </c>
      <c r="H110" s="10">
        <v>71</v>
      </c>
      <c r="I110" s="12">
        <f>(H110)/365</f>
        <v>0.19452054794520549</v>
      </c>
      <c r="J110" s="12">
        <v>0</v>
      </c>
      <c r="K110" s="116">
        <v>0.1225</v>
      </c>
      <c r="L110" s="13">
        <f>_xll.dnetGBlackScholesNGreeks("price",$Q110,$P110,$G110,$I110,$C$3,$J110,$K110,$C$4)*R110</f>
        <v>84.508502312377004</v>
      </c>
      <c r="M110" s="15">
        <v>30</v>
      </c>
      <c r="N110" s="13">
        <f t="shared" ref="N110:N111" si="239">M110/10000*I110*P110</f>
        <v>8.2398904109589051</v>
      </c>
      <c r="O110" s="13">
        <f t="shared" si="230"/>
        <v>76.268611901418097</v>
      </c>
      <c r="P110" s="11">
        <f>RTD("wdf.rtq",,D110,"LastPrice")</f>
        <v>14120</v>
      </c>
      <c r="Q110" s="10" t="s">
        <v>329</v>
      </c>
      <c r="R110" s="10">
        <f t="shared" ref="R110:R111" si="240">IF(S110="中金买入",1,-1)</f>
        <v>1</v>
      </c>
      <c r="S110" s="10" t="s">
        <v>151</v>
      </c>
      <c r="T110" s="14">
        <f t="shared" ref="T110:T111" si="241">O110/P110</f>
        <v>5.4014597663893833E-3</v>
      </c>
      <c r="U110" s="13">
        <f>_xll.dnetGBlackScholesNGreeks("delta",$Q110,$P110,$G110,$I110,$C$3,$J110,$K110,$C$4)*R110</f>
        <v>-0.19465659329398477</v>
      </c>
      <c r="V110" s="13">
        <f>_xll.dnetGBlackScholesNGreeks("vega",$Q110,$P110,$G110,$I110,$C$3,$J110,$K110,$C$4)*R110</f>
        <v>17.094938629506487</v>
      </c>
      <c r="W110" s="114"/>
      <c r="X110" s="115">
        <v>-150338.07269999999</v>
      </c>
      <c r="Y110" s="6">
        <f t="shared" si="233"/>
        <v>29264.297074165414</v>
      </c>
    </row>
    <row r="111" spans="1:25" x14ac:dyDescent="0.15">
      <c r="A111" s="131">
        <v>43286</v>
      </c>
      <c r="B111" s="13" t="s">
        <v>172</v>
      </c>
      <c r="C111" s="10" t="s">
        <v>160</v>
      </c>
      <c r="D111" s="10" t="s">
        <v>327</v>
      </c>
      <c r="E111" s="8">
        <f t="shared" ca="1" si="211"/>
        <v>43301</v>
      </c>
      <c r="F111" s="8">
        <f t="shared" ca="1" si="238"/>
        <v>43400</v>
      </c>
      <c r="G111" s="120">
        <v>13800</v>
      </c>
      <c r="H111" s="10">
        <v>99</v>
      </c>
      <c r="I111" s="12">
        <f>(H111-5)/365</f>
        <v>0.25753424657534246</v>
      </c>
      <c r="J111" s="12">
        <v>0</v>
      </c>
      <c r="K111" s="116">
        <v>0.1225</v>
      </c>
      <c r="L111" s="13">
        <f>_xll.dnetGBlackScholesNGreeks("price",$Q111,$P111,$G111,$I111,$C$3,$J111,$K111,$C$4)*R111</f>
        <v>179.15324221541414</v>
      </c>
      <c r="M111" s="15">
        <v>30</v>
      </c>
      <c r="N111" s="13">
        <f t="shared" si="239"/>
        <v>10.97868493150685</v>
      </c>
      <c r="O111" s="13">
        <f t="shared" si="230"/>
        <v>168.17455728390729</v>
      </c>
      <c r="P111" s="11">
        <f>RTD("wdf.rtq",,D111,"LastPrice")</f>
        <v>14210</v>
      </c>
      <c r="Q111" s="10" t="s">
        <v>329</v>
      </c>
      <c r="R111" s="10">
        <f t="shared" si="240"/>
        <v>1</v>
      </c>
      <c r="S111" s="10" t="s">
        <v>151</v>
      </c>
      <c r="T111" s="14">
        <f t="shared" si="241"/>
        <v>1.1834944214208817E-2</v>
      </c>
      <c r="U111" s="13">
        <f>_xll.dnetGBlackScholesNGreeks("delta",$Q111,$P111,$G111,$I111,$C$3,$J111,$K111,$C$4)*R111</f>
        <v>-0.30623943662249076</v>
      </c>
      <c r="V111" s="13">
        <f>_xll.dnetGBlackScholesNGreeks("vega",$Q111,$P111,$G111,$I111,$C$3,$J111,$K111,$C$4)*R111</f>
        <v>25.214778886490421</v>
      </c>
      <c r="W111" s="114"/>
      <c r="X111" s="115">
        <v>-150338.07269999999</v>
      </c>
      <c r="Y111" s="6">
        <f t="shared" si="233"/>
        <v>46039.446686559051</v>
      </c>
    </row>
    <row r="112" spans="1:25" x14ac:dyDescent="0.15">
      <c r="A112" s="131">
        <v>43286</v>
      </c>
      <c r="B112" s="13" t="s">
        <v>172</v>
      </c>
      <c r="C112" s="10" t="s">
        <v>160</v>
      </c>
      <c r="D112" s="10" t="s">
        <v>327</v>
      </c>
      <c r="E112" s="8">
        <f t="shared" ca="1" si="211"/>
        <v>43301</v>
      </c>
      <c r="F112" s="8">
        <f t="shared" ref="F112" ca="1" si="242">E112+H112</f>
        <v>43400</v>
      </c>
      <c r="G112" s="120">
        <v>13500</v>
      </c>
      <c r="H112" s="10">
        <v>99</v>
      </c>
      <c r="I112" s="12">
        <f>(H112-5)/365</f>
        <v>0.25753424657534246</v>
      </c>
      <c r="J112" s="12">
        <v>0</v>
      </c>
      <c r="K112" s="116">
        <v>0.1225</v>
      </c>
      <c r="L112" s="13">
        <f>_xll.dnetGBlackScholesNGreeks("price",$Q112,$P112,$G112,$I112,$C$3,$J112,$K112,$C$4)*R112</f>
        <v>98.568677927783483</v>
      </c>
      <c r="M112" s="15">
        <v>30</v>
      </c>
      <c r="N112" s="13">
        <f t="shared" ref="N112" si="243">M112/10000*I112*P112</f>
        <v>10.97868493150685</v>
      </c>
      <c r="O112" s="13">
        <f t="shared" si="230"/>
        <v>87.589992996276635</v>
      </c>
      <c r="P112" s="11">
        <f>RTD("wdf.rtq",,D112,"LastPrice")</f>
        <v>14210</v>
      </c>
      <c r="Q112" s="10" t="s">
        <v>329</v>
      </c>
      <c r="R112" s="10">
        <f t="shared" ref="R112" si="244">IF(S112="中金买入",1,-1)</f>
        <v>1</v>
      </c>
      <c r="S112" s="10" t="s">
        <v>151</v>
      </c>
      <c r="T112" s="14">
        <f t="shared" ref="T112" si="245">O112/P112</f>
        <v>6.1639685430173565E-3</v>
      </c>
      <c r="U112" s="13">
        <f>_xll.dnetGBlackScholesNGreeks("delta",$Q112,$P112,$G112,$I112,$C$3,$J112,$K112,$C$4)*R112</f>
        <v>-0.19510531876676396</v>
      </c>
      <c r="V112" s="13">
        <f>_xll.dnetGBlackScholesNGreeks("vega",$Q112,$P112,$G112,$I112,$C$3,$J112,$K112,$C$4)*R112</f>
        <v>19.813527368956102</v>
      </c>
      <c r="W112" s="114"/>
      <c r="X112" s="115">
        <v>-150338.07269999999</v>
      </c>
      <c r="Y112" s="6">
        <f t="shared" si="233"/>
        <v>29331.757596914431</v>
      </c>
    </row>
    <row r="113" spans="1:25" x14ac:dyDescent="0.15">
      <c r="I113" s="6" t="s">
        <v>328</v>
      </c>
    </row>
    <row r="114" spans="1:25" x14ac:dyDescent="0.15">
      <c r="A114" s="131">
        <v>43286</v>
      </c>
      <c r="B114" s="13" t="s">
        <v>172</v>
      </c>
      <c r="C114" s="10" t="s">
        <v>160</v>
      </c>
      <c r="D114" s="10" t="s">
        <v>330</v>
      </c>
      <c r="E114" s="8">
        <f t="shared" ca="1" si="211"/>
        <v>43301</v>
      </c>
      <c r="F114" s="8">
        <f t="shared" ref="F114:F116" ca="1" si="246">E114+H114</f>
        <v>43333</v>
      </c>
      <c r="G114" s="120">
        <v>1950</v>
      </c>
      <c r="H114" s="10">
        <v>32</v>
      </c>
      <c r="I114" s="12">
        <f>(H114)/365</f>
        <v>8.7671232876712329E-2</v>
      </c>
      <c r="J114" s="12">
        <v>0</v>
      </c>
      <c r="K114" s="116">
        <v>0.3725</v>
      </c>
      <c r="L114" s="13">
        <f>_xll.dnetGBlackScholesNGreeks("price",$Q114,$P114,$G114,$I114,$C$3,$J114,$K114,$C$4)*R114</f>
        <v>-45.397710256610708</v>
      </c>
      <c r="M114" s="15">
        <v>0</v>
      </c>
      <c r="N114" s="13">
        <f t="shared" ref="N114:N116" si="247">M114/10000*I114*P114</f>
        <v>0</v>
      </c>
      <c r="O114" s="13">
        <f>IF(L114&lt;=0,ABS(L114)+N114,L114-N114)</f>
        <v>45.397710256610708</v>
      </c>
      <c r="P114" s="11">
        <f>RTD("wdf.rtq",,D114,"LastPrice")</f>
        <v>2054.5</v>
      </c>
      <c r="Q114" s="10" t="s">
        <v>329</v>
      </c>
      <c r="R114" s="10">
        <f t="shared" ref="R114:R116" si="248">IF(S114="中金买入",1,-1)</f>
        <v>-1</v>
      </c>
      <c r="S114" s="10" t="s">
        <v>20</v>
      </c>
      <c r="T114" s="14">
        <f t="shared" ref="T114:T116" si="249">O114/P114</f>
        <v>2.2096719521348604E-2</v>
      </c>
      <c r="U114" s="13">
        <f>_xll.dnetGBlackScholesNGreeks("delta",$Q114,$P114,$G114,$I114,$C$3,$J114,$K114,$C$4)*R114</f>
        <v>0.29806934214775538</v>
      </c>
      <c r="V114" s="13">
        <f>_xll.dnetGBlackScholesNGreeks("vega",$Q114,$P114,$G114,$I114,$C$3,$J114,$K114,$C$4)*R114</f>
        <v>-2.1067327889980447</v>
      </c>
      <c r="W114" s="114"/>
      <c r="X114" s="115">
        <v>-150338.07269999999</v>
      </c>
      <c r="Y114" s="6">
        <f>X114*U114</f>
        <v>-44811.170429450416</v>
      </c>
    </row>
    <row r="115" spans="1:25" x14ac:dyDescent="0.15">
      <c r="A115" s="131">
        <v>43286</v>
      </c>
      <c r="B115" s="13" t="s">
        <v>172</v>
      </c>
      <c r="C115" s="10" t="s">
        <v>160</v>
      </c>
      <c r="D115" s="10" t="s">
        <v>313</v>
      </c>
      <c r="E115" s="8">
        <f t="shared" ca="1" si="211"/>
        <v>43301</v>
      </c>
      <c r="F115" s="8">
        <f t="shared" ca="1" si="246"/>
        <v>43333</v>
      </c>
      <c r="G115" s="120">
        <v>450</v>
      </c>
      <c r="H115" s="10">
        <v>32</v>
      </c>
      <c r="I115" s="12">
        <f>(H115-5)/365</f>
        <v>7.3972602739726029E-2</v>
      </c>
      <c r="J115" s="12">
        <v>0</v>
      </c>
      <c r="K115" s="116">
        <v>0.30249999999999999</v>
      </c>
      <c r="L115" s="13">
        <f>_xll.dnetGBlackScholesNGreeks("price",$Q115,$P115,$G115,$I115,$C$3,$J115,$K115,$C$4)*R115</f>
        <v>-449.33473880770384</v>
      </c>
      <c r="M115" s="15">
        <v>0</v>
      </c>
      <c r="N115" s="13">
        <f t="shared" si="247"/>
        <v>0</v>
      </c>
      <c r="O115" s="13">
        <f>IF(L115&lt;=0,ABS(L115)+N115,L115-N115)</f>
        <v>449.33473880770384</v>
      </c>
      <c r="P115" s="136">
        <f>RTD("wdf.rtq",,D115,"LastPrice")</f>
        <v>0</v>
      </c>
      <c r="Q115" s="10" t="s">
        <v>329</v>
      </c>
      <c r="R115" s="10">
        <f t="shared" si="248"/>
        <v>-1</v>
      </c>
      <c r="S115" s="10" t="s">
        <v>20</v>
      </c>
      <c r="T115" s="14" t="e">
        <f t="shared" si="249"/>
        <v>#DIV/0!</v>
      </c>
      <c r="U115" s="13" t="e">
        <f>_xll.dnetGBlackScholesNGreeks("delta",$Q115,$P115,$G115,$I115,$C$3,$J115,$K115,$C$4)*R115</f>
        <v>#VALUE!</v>
      </c>
      <c r="V115" s="13">
        <f>_xll.dnetGBlackScholesNGreeks("vega",$Q115,$P115,$G115,$I115,$C$3,$J115,$K115,$C$4)*R115</f>
        <v>0</v>
      </c>
      <c r="W115" s="114"/>
      <c r="X115" s="115">
        <v>-150338.07269999999</v>
      </c>
      <c r="Y115" s="6" t="e">
        <f>X115*U115</f>
        <v>#VALUE!</v>
      </c>
    </row>
    <row r="116" spans="1:25" x14ac:dyDescent="0.15">
      <c r="A116" s="131">
        <v>43286</v>
      </c>
      <c r="B116" s="13" t="s">
        <v>172</v>
      </c>
      <c r="C116" s="10" t="s">
        <v>160</v>
      </c>
      <c r="D116" s="10" t="s">
        <v>313</v>
      </c>
      <c r="E116" s="8">
        <f t="shared" ca="1" si="211"/>
        <v>43301</v>
      </c>
      <c r="F116" s="8">
        <f t="shared" ca="1" si="246"/>
        <v>43333</v>
      </c>
      <c r="G116" s="120">
        <v>440</v>
      </c>
      <c r="H116" s="10">
        <v>32</v>
      </c>
      <c r="I116" s="12">
        <f>(H116-5)/365</f>
        <v>7.3972602739726029E-2</v>
      </c>
      <c r="J116" s="12">
        <v>0</v>
      </c>
      <c r="K116" s="116">
        <v>0.30249999999999999</v>
      </c>
      <c r="L116" s="13">
        <f>_xll.dnetGBlackScholesNGreeks("price",$Q116,$P116,$G116,$I116,$C$3,$J116,$K116,$C$4)*R116</f>
        <v>-439.3495223897549</v>
      </c>
      <c r="M116" s="15">
        <v>0</v>
      </c>
      <c r="N116" s="13">
        <f t="shared" si="247"/>
        <v>0</v>
      </c>
      <c r="O116" s="13">
        <f>IF(L116&lt;=0,ABS(L116)+N116,L116-N116)</f>
        <v>439.3495223897549</v>
      </c>
      <c r="P116" s="136">
        <f>RTD("wdf.rtq",,D116,"LastPrice")</f>
        <v>0</v>
      </c>
      <c r="Q116" s="10" t="s">
        <v>329</v>
      </c>
      <c r="R116" s="10">
        <f t="shared" si="248"/>
        <v>-1</v>
      </c>
      <c r="S116" s="10" t="s">
        <v>20</v>
      </c>
      <c r="T116" s="14" t="e">
        <f t="shared" si="249"/>
        <v>#DIV/0!</v>
      </c>
      <c r="U116" s="13" t="e">
        <f>_xll.dnetGBlackScholesNGreeks("delta",$Q116,$P116,$G116,$I116,$C$3,$J116,$K116,$C$4)*R116</f>
        <v>#VALUE!</v>
      </c>
      <c r="V116" s="13">
        <f>_xll.dnetGBlackScholesNGreeks("vega",$Q116,$P116,$G116,$I116,$C$3,$J116,$K116,$C$4)*R116</f>
        <v>0</v>
      </c>
      <c r="W116" s="114"/>
      <c r="X116" s="115">
        <v>-150338.07269999999</v>
      </c>
      <c r="Y116" s="6" t="e">
        <f>X116*U116</f>
        <v>#VALUE!</v>
      </c>
    </row>
    <row r="118" spans="1:25" x14ac:dyDescent="0.15">
      <c r="A118" s="131">
        <v>43286</v>
      </c>
      <c r="B118" s="13" t="s">
        <v>172</v>
      </c>
      <c r="C118" s="10" t="s">
        <v>160</v>
      </c>
      <c r="D118" s="10" t="s">
        <v>337</v>
      </c>
      <c r="E118" s="8">
        <f t="shared" ca="1" si="211"/>
        <v>43301</v>
      </c>
      <c r="F118" s="8">
        <f t="shared" ref="F118:F120" ca="1" si="250">E118+H118</f>
        <v>43666</v>
      </c>
      <c r="G118" s="120">
        <v>97</v>
      </c>
      <c r="H118" s="10">
        <v>365</v>
      </c>
      <c r="I118" s="12">
        <f>(H118)/365</f>
        <v>1</v>
      </c>
      <c r="J118" s="12">
        <v>0.04</v>
      </c>
      <c r="K118" s="116">
        <v>0.11</v>
      </c>
      <c r="L118" s="13">
        <f>_xll.dnetGBlackScholesNGreeks("price",$Q118,$P118,$G118,$I118,$C$3,$J118,$K118,$C$4)*R118</f>
        <v>-1.7084318944888324</v>
      </c>
      <c r="M118" s="15">
        <v>0</v>
      </c>
      <c r="N118" s="13">
        <f t="shared" ref="N118:N120" si="251">M118/10000*I118*P118</f>
        <v>0</v>
      </c>
      <c r="O118" s="13">
        <f>IF(L118&lt;=0,ABS(L118)+N118,L118-N118)</f>
        <v>1.7084318944888324</v>
      </c>
      <c r="P118" s="11">
        <v>100</v>
      </c>
      <c r="Q118" s="10" t="s">
        <v>329</v>
      </c>
      <c r="R118" s="10">
        <f t="shared" ref="R118:R120" si="252">IF(S118="中金买入",1,-1)</f>
        <v>-1</v>
      </c>
      <c r="S118" s="10" t="s">
        <v>20</v>
      </c>
      <c r="T118" s="14">
        <f t="shared" ref="T118:T120" si="253">O118/P118</f>
        <v>1.7084318944888325E-2</v>
      </c>
      <c r="U118" s="13">
        <f>_xll.dnetGBlackScholesNGreeks("delta",$Q118,$P118,$G118,$I118,$C$3,$J118,$K118,$C$4)*R118</f>
        <v>0.24827523838375498</v>
      </c>
      <c r="V118" s="13">
        <f>_xll.dnetGBlackScholesNGreeks("vega",$Q118,$P118,$G118,$I118,$C$3,$J118,$K118,$C$4)*R118</f>
        <v>-0.31908268103608073</v>
      </c>
      <c r="W118" s="114"/>
      <c r="X118" s="115">
        <v>-150338.07269999999</v>
      </c>
      <c r="Y118" s="6">
        <f>X118*U118</f>
        <v>-37325.220837746783</v>
      </c>
    </row>
    <row r="119" spans="1:25" x14ac:dyDescent="0.15">
      <c r="A119" s="131">
        <v>43286</v>
      </c>
      <c r="B119" s="13" t="s">
        <v>172</v>
      </c>
      <c r="C119" s="10" t="s">
        <v>160</v>
      </c>
      <c r="D119" s="10" t="s">
        <v>337</v>
      </c>
      <c r="E119" s="8">
        <f t="shared" ca="1" si="211"/>
        <v>43301</v>
      </c>
      <c r="F119" s="8">
        <f t="shared" ca="1" si="250"/>
        <v>43666</v>
      </c>
      <c r="G119" s="120">
        <v>100</v>
      </c>
      <c r="H119" s="10">
        <v>365</v>
      </c>
      <c r="I119" s="12">
        <f>(H119-5)/365</f>
        <v>0.98630136986301364</v>
      </c>
      <c r="J119" s="12">
        <f>J118</f>
        <v>0.04</v>
      </c>
      <c r="K119" s="116">
        <v>0.11</v>
      </c>
      <c r="L119" s="13">
        <f>_xll.dnetGBlackScholesNGreeks("price",$Q119,$P119,$G119,$I119,$C$3,$J119,$K119,$C$4)*R119</f>
        <v>2.6648944515912234</v>
      </c>
      <c r="M119" s="15">
        <v>0</v>
      </c>
      <c r="N119" s="13">
        <f t="shared" si="251"/>
        <v>0</v>
      </c>
      <c r="O119" s="13">
        <f>IF(L119&lt;=0,ABS(L119)+N119,L119-N119)</f>
        <v>2.6648944515912234</v>
      </c>
      <c r="P119" s="136">
        <v>100</v>
      </c>
      <c r="Q119" s="10" t="s">
        <v>329</v>
      </c>
      <c r="R119" s="10">
        <f t="shared" si="252"/>
        <v>1</v>
      </c>
      <c r="S119" s="10" t="s">
        <v>151</v>
      </c>
      <c r="T119" s="14">
        <f t="shared" si="253"/>
        <v>2.6648944515912234E-2</v>
      </c>
      <c r="U119" s="13">
        <f>_xll.dnetGBlackScholesNGreeks("delta",$Q119,$P119,$G119,$I119,$C$3,$J119,$K119,$C$4)*R119</f>
        <v>-0.34554256440237907</v>
      </c>
      <c r="V119" s="13">
        <f>_xll.dnetGBlackScholesNGreeks("vega",$Q119,$P119,$G119,$I119,$C$3,$J119,$K119,$C$4)*R119</f>
        <v>0.37044082312193183</v>
      </c>
      <c r="W119" s="114"/>
      <c r="X119" s="115">
        <v>-150338.07269999999</v>
      </c>
      <c r="Y119" s="6">
        <f>X119*U119</f>
        <v>51948.203168069296</v>
      </c>
    </row>
    <row r="120" spans="1:25" x14ac:dyDescent="0.15">
      <c r="A120" s="131">
        <v>43286</v>
      </c>
      <c r="B120" s="13" t="s">
        <v>172</v>
      </c>
      <c r="C120" s="10" t="s">
        <v>160</v>
      </c>
      <c r="D120" s="10" t="s">
        <v>337</v>
      </c>
      <c r="E120" s="8">
        <f t="shared" ca="1" si="211"/>
        <v>43301</v>
      </c>
      <c r="F120" s="8">
        <f t="shared" ca="1" si="250"/>
        <v>43666</v>
      </c>
      <c r="G120" s="120">
        <v>100</v>
      </c>
      <c r="H120" s="10">
        <v>365</v>
      </c>
      <c r="I120" s="12">
        <f>(H120-5)/365</f>
        <v>0.98630136986301364</v>
      </c>
      <c r="J120" s="12">
        <f>J119</f>
        <v>0.04</v>
      </c>
      <c r="K120" s="116">
        <v>0.11</v>
      </c>
      <c r="L120" s="13">
        <f>_xll.dnetGBlackScholesNGreeks("price",$Q120,$P120,$G120,$I120,$C$3,$J120,$K120,$C$4)*R120</f>
        <v>-6.6103557932202648</v>
      </c>
      <c r="M120" s="15">
        <v>0</v>
      </c>
      <c r="N120" s="13">
        <f t="shared" si="251"/>
        <v>0</v>
      </c>
      <c r="O120" s="13">
        <f>IF(L120&lt;=0,ABS(L120)+N120,L120-N120)</f>
        <v>6.6103557932202648</v>
      </c>
      <c r="P120" s="136">
        <v>100</v>
      </c>
      <c r="Q120" s="10" t="s">
        <v>24</v>
      </c>
      <c r="R120" s="10">
        <f t="shared" si="252"/>
        <v>-1</v>
      </c>
      <c r="S120" s="10" t="s">
        <v>20</v>
      </c>
      <c r="T120" s="14">
        <f t="shared" si="253"/>
        <v>6.6103557932202642E-2</v>
      </c>
      <c r="U120" s="13">
        <f>_xll.dnetGBlackScholesNGreeks("delta",$Q120,$P120,$G120,$I120,$C$3,$J120,$K120,$C$4)*R120</f>
        <v>-0.67437930669349555</v>
      </c>
      <c r="V120" s="13">
        <f>_xll.dnetGBlackScholesNGreeks("vega",$Q120,$P120,$G120,$I120,$C$3,$J120,$K120,$C$4)*R120</f>
        <v>-0.37044082312192472</v>
      </c>
      <c r="W120" s="114"/>
      <c r="X120" s="115">
        <v>-150338.07269999999</v>
      </c>
      <c r="Y120" s="6">
        <f>X120*U120</f>
        <v>101384.88523706232</v>
      </c>
    </row>
    <row r="121" spans="1:25" x14ac:dyDescent="0.15">
      <c r="A121" s="131">
        <v>43286</v>
      </c>
      <c r="B121" s="13" t="s">
        <v>172</v>
      </c>
      <c r="C121" s="10" t="s">
        <v>160</v>
      </c>
      <c r="D121" s="10" t="s">
        <v>337</v>
      </c>
      <c r="E121" s="8">
        <f t="shared" ca="1" si="211"/>
        <v>43301</v>
      </c>
      <c r="F121" s="8">
        <f t="shared" ref="F121" ca="1" si="254">E121+H121</f>
        <v>43666</v>
      </c>
      <c r="G121" s="120">
        <v>110</v>
      </c>
      <c r="H121" s="10">
        <v>365</v>
      </c>
      <c r="I121" s="12">
        <f>(H121-5)/365</f>
        <v>0.98630136986301364</v>
      </c>
      <c r="J121" s="12">
        <f>J120</f>
        <v>0.04</v>
      </c>
      <c r="K121" s="116">
        <v>0.1</v>
      </c>
      <c r="L121" s="13">
        <f>_xll.dnetGBlackScholesNGreeks("price",$Q121,$P121,$G121,$I121,$C$3,$J121,$K121,$C$4)*R121</f>
        <v>1.8654217849643082</v>
      </c>
      <c r="M121" s="15">
        <v>0</v>
      </c>
      <c r="N121" s="13">
        <f t="shared" ref="N121" si="255">M121/10000*I121*P121</f>
        <v>0</v>
      </c>
      <c r="O121" s="13">
        <f>IF(L121&lt;=0,ABS(L121)+N121,L121-N121)</f>
        <v>1.8654217849643082</v>
      </c>
      <c r="P121" s="136">
        <v>100</v>
      </c>
      <c r="Q121" s="10" t="s">
        <v>24</v>
      </c>
      <c r="R121" s="10">
        <f t="shared" ref="R121" si="256">IF(S121="中金买入",1,-1)</f>
        <v>1</v>
      </c>
      <c r="S121" s="10" t="s">
        <v>151</v>
      </c>
      <c r="T121" s="14">
        <f t="shared" ref="T121" si="257">O121/P121</f>
        <v>1.8654217849643082E-2</v>
      </c>
      <c r="U121" s="13">
        <f>_xll.dnetGBlackScholesNGreeks("delta",$Q121,$P121,$G121,$I121,$C$3,$J121,$K121,$C$4)*R121</f>
        <v>0.31010616621287568</v>
      </c>
      <c r="V121" s="13">
        <f>_xll.dnetGBlackScholesNGreeks("vega",$Q121,$P121,$G121,$I121,$C$3,$J121,$K121,$C$4)*R121</f>
        <v>0.35380158854336941</v>
      </c>
      <c r="W121" s="114"/>
      <c r="X121" s="115">
        <v>-150338.07269999999</v>
      </c>
      <c r="Y121" s="6">
        <f>X121*U121</f>
        <v>-46620.763360829587</v>
      </c>
    </row>
    <row r="123" spans="1:25" x14ac:dyDescent="0.15">
      <c r="A123" s="131">
        <v>43286</v>
      </c>
      <c r="B123" s="13" t="s">
        <v>172</v>
      </c>
      <c r="C123" s="10" t="s">
        <v>160</v>
      </c>
      <c r="D123" s="10" t="s">
        <v>248</v>
      </c>
      <c r="E123" s="8">
        <f t="shared" ca="1" si="211"/>
        <v>43301</v>
      </c>
      <c r="F123" s="8">
        <f t="shared" ref="F123" ca="1" si="258">E123+H123</f>
        <v>43305</v>
      </c>
      <c r="G123" s="120">
        <v>19000</v>
      </c>
      <c r="H123" s="10">
        <v>4</v>
      </c>
      <c r="I123" s="12">
        <f>(H123)/365</f>
        <v>1.0958904109589041E-2</v>
      </c>
      <c r="J123" s="12">
        <f>J122</f>
        <v>0</v>
      </c>
      <c r="K123" s="116">
        <v>0.34</v>
      </c>
      <c r="L123" s="13">
        <f>_xll.dnetGBlackScholesNGreeks("price",$Q123,$P123,$G123,$I123,$C$3,$J123,$K123,$C$4)*R123</f>
        <v>0</v>
      </c>
      <c r="M123" s="15">
        <v>0</v>
      </c>
      <c r="N123" s="13">
        <f t="shared" ref="N123" si="259">M123/10000*I123*P123</f>
        <v>0</v>
      </c>
      <c r="O123" s="13">
        <f>IF(L123&lt;=0,ABS(L123)+N123,L123-N123)</f>
        <v>0</v>
      </c>
      <c r="P123" s="11">
        <f>RTD("wdf.rtq",,D123,"LastPrice")</f>
        <v>0</v>
      </c>
      <c r="Q123" s="10" t="s">
        <v>24</v>
      </c>
      <c r="R123" s="10">
        <f t="shared" ref="R123" si="260">IF(S123="中金买入",1,-1)</f>
        <v>1</v>
      </c>
      <c r="S123" s="10" t="s">
        <v>151</v>
      </c>
      <c r="T123" s="14" t="e">
        <f t="shared" ref="T123" si="261">O123/P123</f>
        <v>#DIV/0!</v>
      </c>
      <c r="U123" s="13" t="e">
        <f>_xll.dnetGBlackScholesNGreeks("delta",$Q123,$P123,$G123,$I123,$C$3,$J123,$K123,$C$4)*R123</f>
        <v>#VALUE!</v>
      </c>
      <c r="V123" s="13">
        <f>_xll.dnetGBlackScholesNGreeks("vega",$Q123,$P123,$G123,$I123,$C$3,$J123,$K123,$C$4)*R123</f>
        <v>0</v>
      </c>
      <c r="W123" s="114"/>
      <c r="X123" s="115">
        <v>-150338.07269999999</v>
      </c>
      <c r="Y123" s="6" t="e">
        <f>X123*U123</f>
        <v>#VALUE!</v>
      </c>
    </row>
    <row r="125" spans="1:25" x14ac:dyDescent="0.15">
      <c r="A125" s="131">
        <v>43286</v>
      </c>
      <c r="B125" s="13" t="s">
        <v>172</v>
      </c>
      <c r="C125" s="10" t="s">
        <v>160</v>
      </c>
      <c r="D125" s="10" t="s">
        <v>248</v>
      </c>
      <c r="E125" s="8">
        <f t="shared" ca="1" si="211"/>
        <v>43301</v>
      </c>
      <c r="F125" s="8">
        <f t="shared" ref="F125" ca="1" si="262">E125+H125</f>
        <v>43331</v>
      </c>
      <c r="G125" s="120">
        <v>103.94</v>
      </c>
      <c r="H125" s="10">
        <v>30</v>
      </c>
      <c r="I125" s="12">
        <f>(H125)/365</f>
        <v>8.2191780821917804E-2</v>
      </c>
      <c r="J125" s="12">
        <f>J124</f>
        <v>0</v>
      </c>
      <c r="K125" s="116">
        <v>0.34</v>
      </c>
      <c r="L125" s="13">
        <f>_xll.dnetGBlackScholesNGreeks("price",$Q125,$P125,$G125,$I125,$C$3,$J125,$K125,$C$4)*R125</f>
        <v>2.2971291323232208</v>
      </c>
      <c r="M125" s="15">
        <v>0</v>
      </c>
      <c r="N125" s="13">
        <f t="shared" ref="N125" si="263">M125/10000*I125*P125</f>
        <v>0</v>
      </c>
      <c r="O125" s="13">
        <f>IF(L125&lt;=0,ABS(L125)+N125,L125-N125)</f>
        <v>2.2971291323232208</v>
      </c>
      <c r="P125" s="136">
        <v>100</v>
      </c>
      <c r="Q125" s="10" t="s">
        <v>24</v>
      </c>
      <c r="R125" s="10">
        <f t="shared" ref="R125" si="264">IF(S125="中金买入",1,-1)</f>
        <v>1</v>
      </c>
      <c r="S125" s="10" t="s">
        <v>151</v>
      </c>
      <c r="T125" s="14">
        <f t="shared" ref="T125" si="265">O125/P125</f>
        <v>2.297129132323221E-2</v>
      </c>
      <c r="U125" s="13">
        <f>_xll.dnetGBlackScholesNGreeks("delta",$Q125,$P125,$G125,$I125,$C$3,$J125,$K125,$C$4)*R125</f>
        <v>0.36343141757591013</v>
      </c>
      <c r="V125" s="13">
        <f>_xll.dnetGBlackScholesNGreeks("vega",$Q125,$P125,$G125,$I125,$C$3,$J125,$K125,$C$4)*R125</f>
        <v>0.10748025771654213</v>
      </c>
      <c r="W125" s="114"/>
      <c r="X125" s="115">
        <v>-150338.07269999999</v>
      </c>
      <c r="Y125" s="6">
        <f>X125*U125</f>
        <v>-54637.578876991232</v>
      </c>
    </row>
    <row r="127" spans="1:25" x14ac:dyDescent="0.15">
      <c r="A127" s="131">
        <v>43286</v>
      </c>
      <c r="B127" s="13" t="s">
        <v>172</v>
      </c>
      <c r="C127" s="10" t="s">
        <v>160</v>
      </c>
      <c r="D127" s="10" t="s">
        <v>313</v>
      </c>
      <c r="E127" s="8">
        <f t="shared" ca="1" si="211"/>
        <v>43301</v>
      </c>
      <c r="F127" s="8">
        <f t="shared" ref="F127" ca="1" si="266">E127+H127</f>
        <v>43333</v>
      </c>
      <c r="G127" s="120">
        <v>430</v>
      </c>
      <c r="H127" s="10">
        <v>32</v>
      </c>
      <c r="I127" s="12">
        <f>(H127)/365</f>
        <v>8.7671232876712329E-2</v>
      </c>
      <c r="J127" s="12">
        <f>J126</f>
        <v>0</v>
      </c>
      <c r="K127" s="116">
        <v>0.245</v>
      </c>
      <c r="L127" s="13">
        <f>_xll.dnetGBlackScholesNGreeks("price",$Q127,$P127,$G127,$I127,$C$3,$J127,$K127,$C$4)*R127</f>
        <v>429.24668802815808</v>
      </c>
      <c r="M127" s="15">
        <v>0</v>
      </c>
      <c r="N127" s="13">
        <f t="shared" ref="N127" si="267">M127/10000*I127*P127</f>
        <v>0</v>
      </c>
      <c r="O127" s="13">
        <f>IF(L127&lt;=0,ABS(L127)+N127,L127-N127)</f>
        <v>429.24668802815808</v>
      </c>
      <c r="P127" s="11">
        <f>RTD("wdf.rtq",,D127,"LastPrice")</f>
        <v>0</v>
      </c>
      <c r="Q127" s="10" t="s">
        <v>85</v>
      </c>
      <c r="R127" s="10">
        <f t="shared" ref="R127" si="268">IF(S127="中金买入",1,-1)</f>
        <v>1</v>
      </c>
      <c r="S127" s="10" t="s">
        <v>151</v>
      </c>
      <c r="T127" s="14" t="e">
        <f t="shared" ref="T127" si="269">O127/P127</f>
        <v>#DIV/0!</v>
      </c>
      <c r="U127" s="13" t="e">
        <f>_xll.dnetGBlackScholesNGreeks("delta",$Q127,$P127,$G127,$I127,$C$3,$J127,$K127,$C$4)*R127</f>
        <v>#VALUE!</v>
      </c>
      <c r="V127" s="13">
        <f>_xll.dnetGBlackScholesNGreeks("vega",$Q127,$P127,$G127,$I127,$C$3,$J127,$K127,$C$4)*R127</f>
        <v>0</v>
      </c>
      <c r="W127" s="114"/>
      <c r="X127" s="115">
        <v>-150338.07269999999</v>
      </c>
      <c r="Y127" s="6" t="e">
        <f>X127*U127</f>
        <v>#VALUE!</v>
      </c>
    </row>
    <row r="129" spans="1:25" x14ac:dyDescent="0.15">
      <c r="A129" s="131">
        <v>43286</v>
      </c>
      <c r="B129" s="13" t="s">
        <v>172</v>
      </c>
      <c r="C129" s="10" t="s">
        <v>160</v>
      </c>
      <c r="D129" s="10" t="s">
        <v>342</v>
      </c>
      <c r="E129" s="8">
        <f t="shared" ca="1" si="211"/>
        <v>43301</v>
      </c>
      <c r="F129" s="8">
        <f t="shared" ref="F129" ca="1" si="270">E129+H129</f>
        <v>43304</v>
      </c>
      <c r="G129" s="120">
        <v>14000</v>
      </c>
      <c r="H129" s="10">
        <v>3</v>
      </c>
      <c r="I129" s="12">
        <f>(H129)/365</f>
        <v>8.21917808219178E-3</v>
      </c>
      <c r="J129" s="12">
        <f>J128</f>
        <v>0</v>
      </c>
      <c r="K129" s="116">
        <v>0.22</v>
      </c>
      <c r="L129" s="13">
        <f>_xll.dnetGBlackScholesNGreeks("price",$Q129,$P129,$G129,$I129,$C$3,$J129,$K129,$C$4)*R129</f>
        <v>-13997.698819280309</v>
      </c>
      <c r="M129" s="15">
        <v>0</v>
      </c>
      <c r="N129" s="13">
        <f t="shared" ref="N129" si="271">M129/10000*I129*P129</f>
        <v>0</v>
      </c>
      <c r="O129" s="13">
        <f>IF(L129&lt;=0,ABS(L129)+N129,L129-N129)</f>
        <v>13997.698819280309</v>
      </c>
      <c r="P129" s="11">
        <f>RTD("wdf.rtq",,D129,"LastPrice")</f>
        <v>0</v>
      </c>
      <c r="Q129" s="10" t="s">
        <v>85</v>
      </c>
      <c r="R129" s="10">
        <f t="shared" ref="R129" si="272">IF(S129="中金买入",1,-1)</f>
        <v>-1</v>
      </c>
      <c r="S129" s="10" t="s">
        <v>20</v>
      </c>
      <c r="T129" s="14" t="e">
        <f t="shared" ref="T129" si="273">O129/P129</f>
        <v>#DIV/0!</v>
      </c>
      <c r="U129" s="13" t="e">
        <f>_xll.dnetGBlackScholesNGreeks("delta",$Q129,$P129,$G129,$I129,$C$3,$J129,$K129,$C$4)*R129</f>
        <v>#VALUE!</v>
      </c>
      <c r="V129" s="13">
        <f>_xll.dnetGBlackScholesNGreeks("vega",$Q129,$P129,$G129,$I129,$C$3,$J129,$K129,$C$4)*R129</f>
        <v>0</v>
      </c>
      <c r="W129" s="114"/>
      <c r="X129" s="115">
        <v>-150338.07269999999</v>
      </c>
      <c r="Y129" s="6" t="e">
        <f>X129*U129</f>
        <v>#VALUE!</v>
      </c>
    </row>
    <row r="131" spans="1:25" x14ac:dyDescent="0.15">
      <c r="A131" s="131">
        <v>43286</v>
      </c>
      <c r="B131" s="13" t="s">
        <v>172</v>
      </c>
      <c r="C131" s="10" t="s">
        <v>160</v>
      </c>
      <c r="D131" s="10" t="s">
        <v>344</v>
      </c>
      <c r="E131" s="8">
        <f t="shared" ca="1" si="211"/>
        <v>43301</v>
      </c>
      <c r="F131" s="8">
        <f t="shared" ref="F131" ca="1" si="274">E131+H131</f>
        <v>43444</v>
      </c>
      <c r="G131" s="120">
        <f>P131+150</f>
        <v>3917</v>
      </c>
      <c r="H131" s="10">
        <v>143</v>
      </c>
      <c r="I131" s="12">
        <f>(H131-5)/365</f>
        <v>0.37808219178082192</v>
      </c>
      <c r="J131" s="12">
        <f>J130</f>
        <v>0</v>
      </c>
      <c r="K131" s="116">
        <v>0.18</v>
      </c>
      <c r="L131" s="13">
        <f>_xll.dnetGBlackScholesNGreeks("price",$Q131,$P131,$G131,$I131,$C$3,$J131,$K131,$C$4)*R131</f>
        <v>104.19587536958238</v>
      </c>
      <c r="M131" s="15">
        <v>0</v>
      </c>
      <c r="N131" s="13">
        <f t="shared" ref="N131" si="275">M131/10000*I131*P131</f>
        <v>0</v>
      </c>
      <c r="O131" s="13">
        <f>IF(L131&lt;=0,ABS(L131)+N131,L131-N131)</f>
        <v>104.19587536958238</v>
      </c>
      <c r="P131" s="11">
        <f>RTD("wdf.rtq",,D131,"LastPrice")</f>
        <v>3767</v>
      </c>
      <c r="Q131" s="10" t="s">
        <v>345</v>
      </c>
      <c r="R131" s="10">
        <f t="shared" ref="R131" si="276">IF(S131="中金买入",1,-1)</f>
        <v>1</v>
      </c>
      <c r="S131" s="10" t="s">
        <v>151</v>
      </c>
      <c r="T131" s="14">
        <f t="shared" ref="T131" si="277">O131/P131</f>
        <v>2.7660173976528372E-2</v>
      </c>
      <c r="U131" s="13">
        <f>_xll.dnetGBlackScholesNGreeks("delta",$Q131,$P131,$G131,$I131,$C$3,$J131,$K131,$C$4)*R131</f>
        <v>0.38017345373191347</v>
      </c>
      <c r="V131" s="13">
        <f>_xll.dnetGBlackScholesNGreeks("vega",$Q131,$P131,$G131,$I131,$C$3,$J131,$K131,$C$4)*R131</f>
        <v>8.7724426900227854</v>
      </c>
      <c r="W131" s="114"/>
      <c r="X131" s="115">
        <v>-150338.07269999999</v>
      </c>
      <c r="Y131" s="6">
        <f>X131*U131</f>
        <v>-57154.544325758492</v>
      </c>
    </row>
    <row r="133" spans="1:25" x14ac:dyDescent="0.15">
      <c r="A133" s="131">
        <v>43286</v>
      </c>
      <c r="B133" s="13" t="s">
        <v>172</v>
      </c>
      <c r="C133" s="10" t="s">
        <v>160</v>
      </c>
      <c r="D133" s="10" t="s">
        <v>346</v>
      </c>
      <c r="E133" s="8">
        <f t="shared" ca="1" si="211"/>
        <v>43301</v>
      </c>
      <c r="F133" s="8">
        <f t="shared" ref="F133" ca="1" si="278">E133+H133</f>
        <v>43362</v>
      </c>
      <c r="G133" s="120">
        <v>16400</v>
      </c>
      <c r="H133" s="10">
        <v>61</v>
      </c>
      <c r="I133" s="12">
        <f>(H133)/365</f>
        <v>0.16712328767123288</v>
      </c>
      <c r="J133" s="12">
        <f>J132</f>
        <v>0</v>
      </c>
      <c r="K133" s="116">
        <v>0.25</v>
      </c>
      <c r="L133" s="13">
        <f>_xll.dnetGBlackScholesNGreeks("price",$Q133,$P133,$G133,$I133,$C$3,$J133,$K133,$C$4)*R133</f>
        <v>-16345.275070694119</v>
      </c>
      <c r="M133" s="15">
        <v>0</v>
      </c>
      <c r="N133" s="13">
        <f t="shared" ref="N133" si="279">M133/10000*I133*P133</f>
        <v>0</v>
      </c>
      <c r="O133" s="13">
        <f>IF(L133&lt;=0,ABS(L133)+N133,L133-N133)</f>
        <v>16345.275070694119</v>
      </c>
      <c r="P133" s="11">
        <f>RTD("wdf.rtq",,D133,"LastPrice")</f>
        <v>0</v>
      </c>
      <c r="Q133" s="10" t="s">
        <v>85</v>
      </c>
      <c r="R133" s="10">
        <f t="shared" ref="R133" si="280">IF(S133="中金买入",1,-1)</f>
        <v>-1</v>
      </c>
      <c r="S133" s="10" t="s">
        <v>20</v>
      </c>
      <c r="T133" s="14" t="e">
        <f t="shared" ref="T133" si="281">O133/P133</f>
        <v>#DIV/0!</v>
      </c>
      <c r="U133" s="13" t="e">
        <f>_xll.dnetGBlackScholesNGreeks("delta",$Q133,$P133,$G133,$I133,$C$3,$J133,$K133,$C$4)*R133</f>
        <v>#VALUE!</v>
      </c>
      <c r="V133" s="13">
        <f>_xll.dnetGBlackScholesNGreeks("vega",$Q133,$P133,$G133,$I133,$C$3,$J133,$K133,$C$4)*R133</f>
        <v>0</v>
      </c>
      <c r="W133" s="114"/>
      <c r="X133" s="115">
        <v>-150338.07269999999</v>
      </c>
      <c r="Y133" s="6" t="e">
        <f>X133*U133</f>
        <v>#VALUE!</v>
      </c>
    </row>
    <row r="135" spans="1:25" x14ac:dyDescent="0.15">
      <c r="A135" s="131">
        <v>43286</v>
      </c>
      <c r="B135" s="13" t="s">
        <v>172</v>
      </c>
      <c r="C135" s="10" t="s">
        <v>160</v>
      </c>
      <c r="D135" s="10" t="s">
        <v>346</v>
      </c>
      <c r="E135" s="8">
        <f ca="1">TODAY()</f>
        <v>43301</v>
      </c>
      <c r="F135" s="8">
        <f ca="1">E135+H135</f>
        <v>43393</v>
      </c>
      <c r="G135" s="120">
        <v>10500</v>
      </c>
      <c r="H135" s="10">
        <v>92</v>
      </c>
      <c r="I135" s="12">
        <f>(H135)/365</f>
        <v>0.25205479452054796</v>
      </c>
      <c r="J135" s="12">
        <f>J134</f>
        <v>0</v>
      </c>
      <c r="K135" s="116">
        <v>0.37</v>
      </c>
      <c r="L135" s="13">
        <f>_xll.dnetGBlackScholesNGreeks("price",$Q135,$P135,$G135,$I135,$C$3,$J135,$K135,$C$4)*R135</f>
        <v>-686.2175925443853</v>
      </c>
      <c r="M135" s="15">
        <v>0</v>
      </c>
      <c r="N135" s="13">
        <f t="shared" ref="N135" si="282">M135/10000*I135*P135</f>
        <v>0</v>
      </c>
      <c r="O135" s="13">
        <f>IF(L135&lt;=0,ABS(L135)+N135,L135-N135)</f>
        <v>686.2175925443853</v>
      </c>
      <c r="P135" s="11">
        <v>10332</v>
      </c>
      <c r="Q135" s="10" t="s">
        <v>39</v>
      </c>
      <c r="R135" s="10">
        <f t="shared" ref="R135" si="283">IF(S135="中金买入",1,-1)</f>
        <v>-1</v>
      </c>
      <c r="S135" s="10" t="s">
        <v>20</v>
      </c>
      <c r="T135" s="14">
        <f t="shared" ref="T135" si="284">O135/P135</f>
        <v>6.6416724017071743E-2</v>
      </c>
      <c r="U135" s="13">
        <f>_xll.dnetGBlackScholesNGreeks("delta",$Q135,$P135,$G135,$I135,$C$3,$J135,$K135,$C$4)*R135</f>
        <v>-0.49988709133685916</v>
      </c>
      <c r="V135" s="13">
        <f>_xll.dnetGBlackScholesNGreeks("vega",$Q135,$P135,$G135,$I135,$C$3,$J135,$K135,$C$4)*R135</f>
        <v>-20.589368415426634</v>
      </c>
      <c r="W135" s="114"/>
      <c r="X135" s="115">
        <v>-150338.07269999999</v>
      </c>
      <c r="Y135" s="6">
        <f>X135*U135</f>
        <v>75152.061879192261</v>
      </c>
    </row>
    <row r="137" spans="1:25" x14ac:dyDescent="0.15">
      <c r="A137" s="131">
        <v>43286</v>
      </c>
      <c r="B137" s="13" t="s">
        <v>172</v>
      </c>
      <c r="C137" s="10" t="s">
        <v>160</v>
      </c>
      <c r="D137" s="10" t="s">
        <v>347</v>
      </c>
      <c r="E137" s="8">
        <f ca="1">TODAY()</f>
        <v>43301</v>
      </c>
      <c r="F137" s="8">
        <f ca="1">E137+H137</f>
        <v>43323</v>
      </c>
      <c r="G137" s="120">
        <v>1900</v>
      </c>
      <c r="H137" s="10">
        <v>22</v>
      </c>
      <c r="I137" s="12">
        <f>(H137)/365</f>
        <v>6.0273972602739728E-2</v>
      </c>
      <c r="J137" s="12">
        <f>J136</f>
        <v>0</v>
      </c>
      <c r="K137" s="116">
        <v>0.28000000000000003</v>
      </c>
      <c r="L137" s="13">
        <f>_xll.dnetGBlackScholesNGreeks("price",$Q137,$P137,$G137,$I137,$C$3,$J137,$K137,$C$4)*R137</f>
        <v>7.9975918054692556</v>
      </c>
      <c r="M137" s="15">
        <v>0</v>
      </c>
      <c r="N137" s="13">
        <f t="shared" ref="N137:N139" si="285">M137/10000*I137*P137</f>
        <v>0</v>
      </c>
      <c r="O137" s="13">
        <f>IF(L137&lt;=0,ABS(L137)+N137,L137-N137)</f>
        <v>7.9975918054692556</v>
      </c>
      <c r="P137" s="11">
        <v>2060</v>
      </c>
      <c r="Q137" s="10" t="s">
        <v>85</v>
      </c>
      <c r="R137" s="10">
        <f t="shared" ref="R137:R139" si="286">IF(S137="中金买入",1,-1)</f>
        <v>1</v>
      </c>
      <c r="S137" s="10" t="s">
        <v>151</v>
      </c>
      <c r="T137" s="14">
        <f t="shared" ref="T137:T139" si="287">O137/P137</f>
        <v>3.8823261191598328E-3</v>
      </c>
      <c r="U137" s="13">
        <f>_xll.dnetGBlackScholesNGreeks("delta",$Q137,$P137,$G137,$I137,$C$3,$J137,$K137,$C$4)*R137</f>
        <v>-0.11290040056479711</v>
      </c>
      <c r="V137" s="13">
        <f>_xll.dnetGBlackScholesNGreeks("vega",$Q137,$P137,$G137,$I137,$C$3,$J137,$K137,$C$4)*R137</f>
        <v>0.96806529970078259</v>
      </c>
      <c r="W137" s="114"/>
      <c r="X137" s="115">
        <v>500</v>
      </c>
      <c r="Y137" s="6">
        <f>X137*U137</f>
        <v>-56.450200282398555</v>
      </c>
    </row>
    <row r="138" spans="1:25" x14ac:dyDescent="0.15">
      <c r="A138" s="131">
        <v>43286</v>
      </c>
      <c r="B138" s="13" t="s">
        <v>172</v>
      </c>
      <c r="C138" s="10" t="s">
        <v>160</v>
      </c>
      <c r="D138" s="10" t="s">
        <v>347</v>
      </c>
      <c r="E138" s="8">
        <f ca="1">TODAY()</f>
        <v>43301</v>
      </c>
      <c r="F138" s="8">
        <f ca="1">E138+H138</f>
        <v>43323</v>
      </c>
      <c r="G138" s="120">
        <v>1950</v>
      </c>
      <c r="H138" s="10">
        <v>22</v>
      </c>
      <c r="I138" s="12">
        <f>(H138)/365</f>
        <v>6.0273972602739728E-2</v>
      </c>
      <c r="J138" s="12">
        <f>J137</f>
        <v>0</v>
      </c>
      <c r="K138" s="116">
        <v>0.28999999999999998</v>
      </c>
      <c r="L138" s="13">
        <f>_xll.dnetGBlackScholesNGreeks("price",$Q138,$P138,$G138,$I138,$C$3,$J138,$K138,$C$4)*R138</f>
        <v>18.026235693560238</v>
      </c>
      <c r="M138" s="15">
        <v>0</v>
      </c>
      <c r="N138" s="13">
        <f t="shared" si="285"/>
        <v>0</v>
      </c>
      <c r="O138" s="13">
        <f>IF(L138&lt;=0,ABS(L138)+N138,L138-N138)</f>
        <v>18.026235693560238</v>
      </c>
      <c r="P138" s="11">
        <v>2060</v>
      </c>
      <c r="Q138" s="10" t="s">
        <v>85</v>
      </c>
      <c r="R138" s="10">
        <f t="shared" si="286"/>
        <v>1</v>
      </c>
      <c r="S138" s="10" t="s">
        <v>151</v>
      </c>
      <c r="T138" s="14">
        <f t="shared" si="287"/>
        <v>8.7505998512428344E-3</v>
      </c>
      <c r="U138" s="13">
        <f>_xll.dnetGBlackScholesNGreeks("delta",$Q138,$P138,$G138,$I138,$C$3,$J138,$K138,$C$4)*R138</f>
        <v>-0.20976237788659091</v>
      </c>
      <c r="V138" s="13">
        <f>_xll.dnetGBlackScholesNGreeks("vega",$Q138,$P138,$G138,$I138,$C$3,$J138,$K138,$C$4)*R138</f>
        <v>1.455458649162864</v>
      </c>
      <c r="W138" s="114"/>
      <c r="X138" s="115">
        <v>500</v>
      </c>
    </row>
    <row r="139" spans="1:25" x14ac:dyDescent="0.15">
      <c r="A139" s="131">
        <v>43286</v>
      </c>
      <c r="B139" s="13" t="s">
        <v>172</v>
      </c>
      <c r="C139" s="10" t="s">
        <v>160</v>
      </c>
      <c r="D139" s="10" t="s">
        <v>347</v>
      </c>
      <c r="E139" s="8">
        <f ca="1">TODAY()</f>
        <v>43301</v>
      </c>
      <c r="F139" s="8">
        <f ca="1">E139+H139</f>
        <v>43323</v>
      </c>
      <c r="G139" s="120">
        <v>2000</v>
      </c>
      <c r="H139" s="10">
        <v>22</v>
      </c>
      <c r="I139" s="12">
        <f>(H139)/365</f>
        <v>6.0273972602739728E-2</v>
      </c>
      <c r="J139" s="12">
        <f>J138</f>
        <v>0</v>
      </c>
      <c r="K139" s="116">
        <v>0.29849999999999999</v>
      </c>
      <c r="L139" s="13">
        <f>_xll.dnetGBlackScholesNGreeks("price",$Q139,$P139,$G139,$I139,$C$3,$J139,$K139,$C$4)*R139</f>
        <v>34.054582927128877</v>
      </c>
      <c r="M139" s="15">
        <v>0</v>
      </c>
      <c r="N139" s="13">
        <f t="shared" si="285"/>
        <v>0</v>
      </c>
      <c r="O139" s="13">
        <f>IF(L139&lt;=0,ABS(L139)+N139,L139-N139)</f>
        <v>34.054582927128877</v>
      </c>
      <c r="P139" s="11">
        <v>2060</v>
      </c>
      <c r="Q139" s="10" t="s">
        <v>85</v>
      </c>
      <c r="R139" s="10">
        <f t="shared" si="286"/>
        <v>1</v>
      </c>
      <c r="S139" s="10" t="s">
        <v>151</v>
      </c>
      <c r="T139" s="14">
        <f t="shared" si="287"/>
        <v>1.6531350935499456E-2</v>
      </c>
      <c r="U139" s="13">
        <f>_xll.dnetGBlackScholesNGreeks("delta",$Q139,$P139,$G139,$I139,$C$3,$J139,$K139,$C$4)*R139</f>
        <v>-0.32957541696987391</v>
      </c>
      <c r="V139" s="13">
        <f>_xll.dnetGBlackScholesNGreeks("vega",$Q139,$P139,$G139,$I139,$C$3,$J139,$K139,$C$4)*R139</f>
        <v>1.8291258900859475</v>
      </c>
      <c r="W139" s="114"/>
      <c r="X139" s="115">
        <v>500</v>
      </c>
    </row>
    <row r="141" spans="1:25" x14ac:dyDescent="0.15">
      <c r="A141" s="131">
        <v>43293</v>
      </c>
      <c r="B141" s="13" t="s">
        <v>172</v>
      </c>
      <c r="C141" s="10" t="s">
        <v>160</v>
      </c>
      <c r="D141" s="10" t="s">
        <v>348</v>
      </c>
      <c r="E141" s="8">
        <v>43313</v>
      </c>
      <c r="F141" s="8">
        <f>E141+H141</f>
        <v>43405</v>
      </c>
      <c r="G141" s="120">
        <v>100</v>
      </c>
      <c r="H141" s="10">
        <v>92</v>
      </c>
      <c r="I141" s="12">
        <f>(H141)/365</f>
        <v>0.25205479452054796</v>
      </c>
      <c r="J141" s="12">
        <v>0</v>
      </c>
      <c r="K141" s="116">
        <v>0.13</v>
      </c>
      <c r="L141" s="13">
        <f>_xll.dnetGBlackScholesNGreeks("price",$Q141,$P141,$G141,$I141,$C$3,$J141,$K141,$C$4)*R141</f>
        <v>-2.5902071782528537</v>
      </c>
      <c r="M141" s="15"/>
      <c r="N141" s="13">
        <f t="shared" ref="N141:N143" si="288">M141/10000*I141*P141</f>
        <v>0</v>
      </c>
      <c r="O141" s="13">
        <f>IF(L141&lt;=0,ABS(L141)+N141,L141-N141)</f>
        <v>2.5902071782528537</v>
      </c>
      <c r="P141" s="11">
        <v>100</v>
      </c>
      <c r="Q141" s="10" t="s">
        <v>352</v>
      </c>
      <c r="R141" s="10">
        <f t="shared" ref="R141:R143" si="289">IF(S141="中金买入",1,-1)</f>
        <v>-1</v>
      </c>
      <c r="S141" s="10" t="s">
        <v>20</v>
      </c>
      <c r="T141" s="14">
        <f t="shared" ref="T141:T143" si="290">O141/P141</f>
        <v>2.5902071782528537E-2</v>
      </c>
      <c r="U141" s="13">
        <f>_xll.dnetGBlackScholesNGreeks("delta",$Q141,$P141,$G141,$I141,$C$3,$J141,$K141,$C$4)*R141</f>
        <v>0.4845347738598349</v>
      </c>
      <c r="V141" s="13">
        <f>_xll.dnetGBlackScholesNGreeks("vega",$Q141,$P141,$G141,$I141,$C$3,$J141,$K141,$C$4)*R141</f>
        <v>-0.19917577907274975</v>
      </c>
      <c r="W141" s="114"/>
      <c r="X141" s="115">
        <v>500</v>
      </c>
      <c r="Y141" s="6">
        <f>X141*U141</f>
        <v>242.26738692991745</v>
      </c>
    </row>
    <row r="142" spans="1:25" x14ac:dyDescent="0.15">
      <c r="A142" s="131">
        <v>43293</v>
      </c>
      <c r="B142" s="13" t="s">
        <v>172</v>
      </c>
      <c r="C142" s="10" t="s">
        <v>160</v>
      </c>
      <c r="D142" s="10" t="s">
        <v>349</v>
      </c>
      <c r="E142" s="8">
        <v>43313</v>
      </c>
      <c r="F142" s="8">
        <f>E142+H142</f>
        <v>43405</v>
      </c>
      <c r="G142" s="120">
        <v>100</v>
      </c>
      <c r="H142" s="10">
        <v>92</v>
      </c>
      <c r="I142" s="12">
        <f>(H142)/365</f>
        <v>0.25205479452054796</v>
      </c>
      <c r="J142" s="12">
        <v>0</v>
      </c>
      <c r="K142" s="116">
        <v>0.2</v>
      </c>
      <c r="L142" s="13">
        <f>_xll.dnetGBlackScholesNGreeks("price",$Q142,$P142,$G142,$I142,$C$3,$J142,$K142,$C$4)*R142</f>
        <v>-3.9839677127218067</v>
      </c>
      <c r="M142" s="15"/>
      <c r="N142" s="13">
        <f t="shared" si="288"/>
        <v>0</v>
      </c>
      <c r="O142" s="13">
        <f>IF(L142&lt;=0,ABS(L142)+N142,L142-N142)</f>
        <v>3.9839677127218067</v>
      </c>
      <c r="P142" s="11">
        <v>100</v>
      </c>
      <c r="Q142" s="10" t="s">
        <v>352</v>
      </c>
      <c r="R142" s="10">
        <f t="shared" si="289"/>
        <v>-1</v>
      </c>
      <c r="S142" s="10" t="s">
        <v>20</v>
      </c>
      <c r="T142" s="14">
        <f t="shared" si="290"/>
        <v>3.9839677127218066E-2</v>
      </c>
      <c r="U142" s="13">
        <f>_xll.dnetGBlackScholesNGreeks("delta",$Q142,$P142,$G142,$I142,$C$3,$J142,$K142,$C$4)*R142</f>
        <v>0.47756596586125966</v>
      </c>
      <c r="V142" s="13">
        <f>_xll.dnetGBlackScholesNGreeks("vega",$Q142,$P142,$G142,$I142,$C$3,$J142,$K142,$C$4)*R142</f>
        <v>-0.19903087034733602</v>
      </c>
      <c r="W142" s="114"/>
      <c r="X142" s="115">
        <v>500</v>
      </c>
    </row>
    <row r="143" spans="1:25" x14ac:dyDescent="0.15">
      <c r="A143" s="131">
        <v>43293</v>
      </c>
      <c r="B143" s="13" t="s">
        <v>172</v>
      </c>
      <c r="C143" s="10" t="s">
        <v>160</v>
      </c>
      <c r="D143" s="10" t="s">
        <v>350</v>
      </c>
      <c r="E143" s="8">
        <v>43313</v>
      </c>
      <c r="F143" s="8">
        <f>E143+H143</f>
        <v>43405</v>
      </c>
      <c r="G143" s="120">
        <v>100</v>
      </c>
      <c r="H143" s="10">
        <v>92</v>
      </c>
      <c r="I143" s="12">
        <f>(H143)/365</f>
        <v>0.25205479452054796</v>
      </c>
      <c r="J143" s="12">
        <v>0</v>
      </c>
      <c r="K143" s="116">
        <v>0.37</v>
      </c>
      <c r="L143" s="13">
        <f>_xll.dnetGBlackScholesNGreeks("price",$Q143,$P143,$G143,$I143,$C$3,$J143,$K143,$C$4)*R143</f>
        <v>-7.3628490672383009</v>
      </c>
      <c r="M143" s="15"/>
      <c r="N143" s="13">
        <f t="shared" si="288"/>
        <v>0</v>
      </c>
      <c r="O143" s="13">
        <f>IF(L143&lt;=0,ABS(L143)+N143,L143-N143)</f>
        <v>7.3628490672383009</v>
      </c>
      <c r="P143" s="11">
        <v>100</v>
      </c>
      <c r="Q143" s="10" t="s">
        <v>352</v>
      </c>
      <c r="R143" s="10">
        <f t="shared" si="289"/>
        <v>-1</v>
      </c>
      <c r="S143" s="10" t="s">
        <v>20</v>
      </c>
      <c r="T143" s="14">
        <f t="shared" si="290"/>
        <v>7.3628490672383015E-2</v>
      </c>
      <c r="U143" s="13">
        <f>_xll.dnetGBlackScholesNGreeks("delta",$Q143,$P143,$G143,$I143,$C$3,$J143,$K143,$C$4)*R143</f>
        <v>0.46067155453783926</v>
      </c>
      <c r="V143" s="13">
        <f>_xll.dnetGBlackScholesNGreeks("vega",$Q143,$P143,$G143,$I143,$C$3,$J143,$K143,$C$4)*R143</f>
        <v>-0.19842415427559246</v>
      </c>
      <c r="W143" s="114"/>
      <c r="X143" s="115">
        <v>500</v>
      </c>
    </row>
    <row r="145" spans="1:25" x14ac:dyDescent="0.15">
      <c r="A145" s="131">
        <v>43293</v>
      </c>
      <c r="B145" s="13" t="s">
        <v>172</v>
      </c>
      <c r="C145" s="10" t="s">
        <v>160</v>
      </c>
      <c r="D145" s="10">
        <v>300</v>
      </c>
      <c r="E145" s="8">
        <v>43313</v>
      </c>
      <c r="F145" s="8">
        <f>E145+H145</f>
        <v>43405</v>
      </c>
      <c r="G145" s="120">
        <v>100</v>
      </c>
      <c r="H145" s="10">
        <v>92</v>
      </c>
      <c r="I145" s="12">
        <f>(H145)/365</f>
        <v>0.25205479452054796</v>
      </c>
      <c r="J145" s="12">
        <v>-0.02</v>
      </c>
      <c r="K145" s="116">
        <v>0.24</v>
      </c>
      <c r="L145" s="13">
        <f>_xll.dnetGBlackScholesNGreeks("price",$Q145,$P145,$G145,$I145,$C$3,$J145,$K145,$C$4)*R145</f>
        <v>-5.022183845824074</v>
      </c>
      <c r="M145" s="15"/>
      <c r="N145" s="13">
        <f t="shared" ref="N145:N148" si="291">M145/10000*I145*P145</f>
        <v>0</v>
      </c>
      <c r="O145" s="13">
        <f>IF(L145&lt;=0,ABS(L145)+N145,L145-N145)</f>
        <v>5.022183845824074</v>
      </c>
      <c r="P145" s="11">
        <v>100</v>
      </c>
      <c r="Q145" s="10" t="s">
        <v>352</v>
      </c>
      <c r="R145" s="10">
        <f t="shared" ref="R145:R148" si="292">IF(S145="中金买入",1,-1)</f>
        <v>-1</v>
      </c>
      <c r="S145" s="10" t="s">
        <v>20</v>
      </c>
      <c r="T145" s="14">
        <f t="shared" ref="T145:T148" si="293">O145/P145</f>
        <v>5.0221838458240742E-2</v>
      </c>
      <c r="U145" s="13">
        <f>_xll.dnetGBlackScholesNGreeks("delta",$Q145,$P145,$G145,$I145,$C$3,$J145,$K145,$C$4)*R145</f>
        <v>0.48771438184722626</v>
      </c>
      <c r="V145" s="13">
        <f>_xll.dnetGBlackScholesNGreeks("vega",$Q145,$P145,$G145,$I145,$C$3,$J145,$K145,$C$4)*R145</f>
        <v>-0.19824589569315876</v>
      </c>
      <c r="W145" s="114"/>
      <c r="X145" s="115">
        <v>500</v>
      </c>
      <c r="Y145" s="6">
        <f>X145*U145</f>
        <v>243.85719092361313</v>
      </c>
    </row>
    <row r="146" spans="1:25" x14ac:dyDescent="0.15">
      <c r="A146" s="131">
        <v>43293</v>
      </c>
      <c r="B146" s="13" t="s">
        <v>172</v>
      </c>
      <c r="C146" s="10" t="s">
        <v>160</v>
      </c>
      <c r="D146" s="10">
        <v>300</v>
      </c>
      <c r="E146" s="8">
        <v>43313</v>
      </c>
      <c r="F146" s="8">
        <f>E146+H146</f>
        <v>43497</v>
      </c>
      <c r="G146" s="120">
        <v>100</v>
      </c>
      <c r="H146" s="10">
        <v>184</v>
      </c>
      <c r="I146" s="12">
        <f>(H146)/365</f>
        <v>0.50410958904109593</v>
      </c>
      <c r="J146" s="12">
        <v>-0.02</v>
      </c>
      <c r="K146" s="116">
        <v>0.24</v>
      </c>
      <c r="L146" s="13">
        <f>_xll.dnetGBlackScholesNGreeks("price",$Q146,$P146,$G146,$I146,$C$3,$J146,$K146,$C$4)*R146</f>
        <v>-7.1962183941503497</v>
      </c>
      <c r="M146" s="15"/>
      <c r="N146" s="13">
        <f t="shared" si="291"/>
        <v>0</v>
      </c>
      <c r="O146" s="13">
        <f>IF(L146&lt;=0,ABS(L146)+N146,L146-N146)</f>
        <v>7.1962183941503497</v>
      </c>
      <c r="P146" s="11">
        <v>100</v>
      </c>
      <c r="Q146" s="10" t="s">
        <v>352</v>
      </c>
      <c r="R146" s="10">
        <f t="shared" si="292"/>
        <v>-1</v>
      </c>
      <c r="S146" s="10" t="s">
        <v>20</v>
      </c>
      <c r="T146" s="14">
        <f t="shared" si="293"/>
        <v>7.1962183941503499E-2</v>
      </c>
      <c r="U146" s="13">
        <f>_xll.dnetGBlackScholesNGreeks("delta",$Q146,$P146,$G146,$I146,$C$3,$J146,$K146,$C$4)*R146</f>
        <v>0.47984136474426009</v>
      </c>
      <c r="V146" s="13">
        <f>_xll.dnetGBlackScholesNGreeks("vega",$Q146,$P146,$G146,$I146,$C$3,$J146,$K146,$C$4)*R146</f>
        <v>-0.27750183618465485</v>
      </c>
      <c r="W146" s="114"/>
      <c r="X146" s="115">
        <v>500</v>
      </c>
      <c r="Y146" s="6">
        <f>X146*U146</f>
        <v>239.92068237213005</v>
      </c>
    </row>
    <row r="147" spans="1:25" x14ac:dyDescent="0.15">
      <c r="A147" s="131">
        <v>43293</v>
      </c>
      <c r="B147" s="13" t="s">
        <v>172</v>
      </c>
      <c r="C147" s="10" t="s">
        <v>160</v>
      </c>
      <c r="D147" s="10">
        <v>905</v>
      </c>
      <c r="E147" s="8">
        <v>43313</v>
      </c>
      <c r="F147" s="8">
        <f>E147+H147</f>
        <v>43405</v>
      </c>
      <c r="G147" s="120">
        <v>100</v>
      </c>
      <c r="H147" s="10">
        <v>92</v>
      </c>
      <c r="I147" s="12">
        <f>(H147)/365</f>
        <v>0.25205479452054796</v>
      </c>
      <c r="J147" s="12">
        <v>-0.04</v>
      </c>
      <c r="K147" s="116">
        <v>0.28999999999999998</v>
      </c>
      <c r="L147" s="13">
        <f>_xll.dnetGBlackScholesNGreeks("price",$Q147,$P147,$G147,$I147,$C$3,$J147,$K147,$C$4)*R147</f>
        <v>-6.2579178813579617</v>
      </c>
      <c r="M147" s="15"/>
      <c r="N147" s="13">
        <f t="shared" si="291"/>
        <v>0</v>
      </c>
      <c r="O147" s="13">
        <f>IF(L147&lt;=0,ABS(L147)+N147,L147-N147)</f>
        <v>6.2579178813579617</v>
      </c>
      <c r="P147" s="11">
        <v>100</v>
      </c>
      <c r="Q147" s="10" t="s">
        <v>352</v>
      </c>
      <c r="R147" s="10">
        <f t="shared" si="292"/>
        <v>-1</v>
      </c>
      <c r="S147" s="10" t="s">
        <v>20</v>
      </c>
      <c r="T147" s="14">
        <f t="shared" si="293"/>
        <v>6.257917881357962E-2</v>
      </c>
      <c r="U147" s="13">
        <f>_xll.dnetGBlackScholesNGreeks("delta",$Q147,$P147,$G147,$I147,$C$3,$J147,$K147,$C$4)*R147</f>
        <v>0.49110066852335876</v>
      </c>
      <c r="V147" s="13">
        <f>_xll.dnetGBlackScholesNGreeks("vega",$Q147,$P147,$G147,$I147,$C$3,$J147,$K147,$C$4)*R147</f>
        <v>-0.19728095252157019</v>
      </c>
      <c r="W147" s="114"/>
      <c r="X147" s="115">
        <v>500</v>
      </c>
    </row>
    <row r="148" spans="1:25" x14ac:dyDescent="0.15">
      <c r="A148" s="131">
        <v>43293</v>
      </c>
      <c r="B148" s="13" t="s">
        <v>172</v>
      </c>
      <c r="C148" s="10" t="s">
        <v>160</v>
      </c>
      <c r="D148" s="10">
        <v>905</v>
      </c>
      <c r="E148" s="8">
        <v>43313</v>
      </c>
      <c r="F148" s="8">
        <f>E148+H148</f>
        <v>43497</v>
      </c>
      <c r="G148" s="120">
        <v>100</v>
      </c>
      <c r="H148" s="10">
        <v>184</v>
      </c>
      <c r="I148" s="12">
        <f>(H148)/365</f>
        <v>0.50410958904109593</v>
      </c>
      <c r="J148" s="12">
        <v>-0.04</v>
      </c>
      <c r="K148" s="116">
        <v>0.28999999999999998</v>
      </c>
      <c r="L148" s="13">
        <f>_xll.dnetGBlackScholesNGreeks("price",$Q148,$P148,$G148,$I148,$C$3,$J148,$K148,$C$4)*R148</f>
        <v>-9.0630114730961822</v>
      </c>
      <c r="M148" s="15"/>
      <c r="N148" s="13">
        <f t="shared" si="291"/>
        <v>0</v>
      </c>
      <c r="O148" s="13">
        <f>IF(L148&lt;=0,ABS(L148)+N148,L148-N148)</f>
        <v>9.0630114730961822</v>
      </c>
      <c r="P148" s="11">
        <v>100</v>
      </c>
      <c r="Q148" s="10" t="s">
        <v>352</v>
      </c>
      <c r="R148" s="10">
        <f t="shared" si="292"/>
        <v>-1</v>
      </c>
      <c r="S148" s="10" t="s">
        <v>20</v>
      </c>
      <c r="T148" s="14">
        <f t="shared" si="293"/>
        <v>9.0630114730961817E-2</v>
      </c>
      <c r="U148" s="13">
        <f>_xll.dnetGBlackScholesNGreeks("delta",$Q148,$P148,$G148,$I148,$C$3,$J148,$K148,$C$4)*R148</f>
        <v>0.48316050820069734</v>
      </c>
      <c r="V148" s="13">
        <f>_xll.dnetGBlackScholesNGreeks("vega",$Q148,$P148,$G148,$I148,$C$3,$J148,$K148,$C$4)*R148</f>
        <v>-0.27480698217542354</v>
      </c>
      <c r="W148" s="114"/>
      <c r="X148" s="115">
        <v>500</v>
      </c>
    </row>
    <row r="149" spans="1:25" x14ac:dyDescent="0.15">
      <c r="A149" s="131"/>
      <c r="B149" s="13"/>
      <c r="C149" s="10"/>
      <c r="D149" s="10"/>
      <c r="E149" s="8"/>
      <c r="F149" s="8"/>
      <c r="G149" s="120"/>
      <c r="H149" s="10"/>
      <c r="I149" s="12"/>
      <c r="J149" s="12"/>
      <c r="K149" s="116"/>
      <c r="L149" s="13"/>
      <c r="M149" s="15"/>
      <c r="N149" s="13"/>
      <c r="O149" s="13"/>
      <c r="P149" s="11"/>
      <c r="Q149" s="10"/>
      <c r="R149" s="10"/>
      <c r="S149" s="10"/>
      <c r="T149" s="14"/>
      <c r="U149" s="13"/>
      <c r="V149" s="13"/>
      <c r="W149" s="114"/>
      <c r="X149" s="115"/>
    </row>
    <row r="150" spans="1:25" x14ac:dyDescent="0.15">
      <c r="A150" s="131">
        <v>43293</v>
      </c>
      <c r="B150" s="13" t="s">
        <v>172</v>
      </c>
      <c r="C150" s="10" t="s">
        <v>160</v>
      </c>
      <c r="D150" s="10" t="s">
        <v>362</v>
      </c>
      <c r="E150" s="8">
        <f ca="1">TODAY()</f>
        <v>43301</v>
      </c>
      <c r="F150" s="8">
        <f ca="1">E150+H150</f>
        <v>43393</v>
      </c>
      <c r="G150" s="120">
        <v>11800</v>
      </c>
      <c r="H150" s="10">
        <v>92</v>
      </c>
      <c r="I150" s="12">
        <f>(H150)/365</f>
        <v>0.25205479452054796</v>
      </c>
      <c r="J150" s="12">
        <v>0</v>
      </c>
      <c r="K150" s="116">
        <v>0.2</v>
      </c>
      <c r="L150" s="13">
        <f>_xll.dnetGBlackScholesNGreeks("price",$Q150,$P150,$G150,$I150,$C$3,$J150,$K150,$C$4)*R150</f>
        <v>-14.585580098689434</v>
      </c>
      <c r="M150" s="15"/>
      <c r="N150" s="13">
        <f t="shared" ref="N150" si="294">M150/10000*I150*P150</f>
        <v>0</v>
      </c>
      <c r="O150" s="13">
        <f>IF(L150&lt;=0,ABS(L150)+N150,L150-N150)</f>
        <v>14.585580098689434</v>
      </c>
      <c r="P150" s="11">
        <f>RTD("wdf.rtq",,D150,"LastPrice")</f>
        <v>14270</v>
      </c>
      <c r="Q150" s="10" t="s">
        <v>352</v>
      </c>
      <c r="R150" s="10">
        <f t="shared" ref="R150" si="295">IF(S150="中金买入",1,-1)</f>
        <v>-1</v>
      </c>
      <c r="S150" s="10" t="s">
        <v>20</v>
      </c>
      <c r="T150" s="14">
        <f t="shared" ref="T150" si="296">O150/P150</f>
        <v>1.0221149333349288E-3</v>
      </c>
      <c r="U150" s="13">
        <f>_xll.dnetGBlackScholesNGreeks("delta",$Q150,$P150,$G150,$I150,$C$3,$J150,$K150,$C$4)*R150</f>
        <v>2.587482354954318E-2</v>
      </c>
      <c r="V150" s="13">
        <f>_xll.dnetGBlackScholesNGreeks("vega",$Q150,$P150,$G150,$I150,$C$3,$J150,$K150,$C$4)*R150</f>
        <v>-4.3097137588181624</v>
      </c>
      <c r="W150" s="114"/>
      <c r="X150" s="115">
        <v>500</v>
      </c>
    </row>
    <row r="151" spans="1:25" x14ac:dyDescent="0.15">
      <c r="A151" s="131"/>
      <c r="B151" s="13"/>
      <c r="C151" s="10"/>
      <c r="D151" s="10"/>
      <c r="E151" s="8"/>
      <c r="F151" s="8"/>
      <c r="G151" s="120"/>
      <c r="H151" s="10"/>
      <c r="I151" s="12"/>
      <c r="J151" s="12"/>
      <c r="K151" s="116"/>
      <c r="L151" s="13"/>
      <c r="M151" s="15"/>
      <c r="N151" s="13"/>
      <c r="O151" s="13"/>
      <c r="P151" s="11"/>
      <c r="Q151" s="10"/>
      <c r="R151" s="10"/>
      <c r="S151" s="10"/>
      <c r="T151" s="14"/>
      <c r="U151" s="13"/>
      <c r="V151" s="13"/>
      <c r="W151" s="114"/>
      <c r="X151" s="115"/>
    </row>
    <row r="152" spans="1:25" x14ac:dyDescent="0.15">
      <c r="A152" s="131">
        <v>43293</v>
      </c>
      <c r="B152" s="13" t="s">
        <v>172</v>
      </c>
      <c r="C152" s="10" t="s">
        <v>160</v>
      </c>
      <c r="D152" s="10" t="s">
        <v>363</v>
      </c>
      <c r="E152" s="8">
        <f ca="1">TODAY()</f>
        <v>43301</v>
      </c>
      <c r="F152" s="8">
        <f ca="1">E152+H152</f>
        <v>43363</v>
      </c>
      <c r="G152" s="120">
        <v>4200</v>
      </c>
      <c r="H152" s="10">
        <v>62</v>
      </c>
      <c r="I152" s="12">
        <f>(H152)/365</f>
        <v>0.16986301369863013</v>
      </c>
      <c r="J152" s="12">
        <v>0</v>
      </c>
      <c r="K152" s="116">
        <v>0.19</v>
      </c>
      <c r="L152" s="13">
        <f>_xll.dnetGBlackScholesNGreeks("price",$Q152,$P152,$G152,$I152,$C$3,$J152,$K152,$C$4)*R152</f>
        <v>0</v>
      </c>
      <c r="M152" s="15"/>
      <c r="N152" s="13">
        <f t="shared" ref="N152" si="297">M152/10000*I152*P152</f>
        <v>0</v>
      </c>
      <c r="O152" s="13">
        <f>IF(L152&lt;=0,ABS(L152)+N152,L152-N152)</f>
        <v>0</v>
      </c>
      <c r="P152" s="11">
        <f>RTD("wdf.rtq",,D152,"LastPrice")</f>
        <v>0</v>
      </c>
      <c r="Q152" s="10" t="s">
        <v>351</v>
      </c>
      <c r="R152" s="10">
        <f t="shared" ref="R152" si="298">IF(S152="中金买入",1,-1)</f>
        <v>1</v>
      </c>
      <c r="S152" s="10" t="s">
        <v>151</v>
      </c>
      <c r="T152" s="14" t="e">
        <f t="shared" ref="T152" si="299">O152/P152</f>
        <v>#DIV/0!</v>
      </c>
      <c r="U152" s="13" t="e">
        <f>_xll.dnetGBlackScholesNGreeks("delta",$Q152,$P152,$G152,$I152,$C$3,$J152,$K152,$C$4)*R152</f>
        <v>#VALUE!</v>
      </c>
      <c r="V152" s="13">
        <f>_xll.dnetGBlackScholesNGreeks("vega",$Q152,$P152,$G152,$I152,$C$3,$J152,$K152,$C$4)*R152</f>
        <v>0</v>
      </c>
      <c r="W152" s="114"/>
      <c r="X152" s="115">
        <v>500</v>
      </c>
    </row>
    <row r="153" spans="1:25" x14ac:dyDescent="0.15">
      <c r="A153" s="131">
        <v>43293</v>
      </c>
      <c r="B153" s="13" t="s">
        <v>172</v>
      </c>
      <c r="C153" s="10" t="s">
        <v>160</v>
      </c>
      <c r="D153" s="10" t="s">
        <v>365</v>
      </c>
      <c r="E153" s="8">
        <f ca="1">TODAY()</f>
        <v>43301</v>
      </c>
      <c r="F153" s="8">
        <f ca="1">E153+H153</f>
        <v>43393</v>
      </c>
      <c r="G153" s="120">
        <v>98000</v>
      </c>
      <c r="H153" s="10">
        <v>92</v>
      </c>
      <c r="I153" s="12">
        <f>(H153)/365</f>
        <v>0.25205479452054796</v>
      </c>
      <c r="J153" s="12">
        <v>0</v>
      </c>
      <c r="K153" s="116">
        <v>0.3</v>
      </c>
      <c r="L153" s="13">
        <f>_xll.dnetGBlackScholesNGreeks("price",$Q153,$P153,$G153,$I153,$C$3,$J153,$K153,$C$4)*R153</f>
        <v>-2038.9334398043065</v>
      </c>
      <c r="M153" s="15"/>
      <c r="N153" s="13">
        <f t="shared" ref="N153" si="300">M153/10000*I153*P153</f>
        <v>0</v>
      </c>
      <c r="O153" s="13">
        <f>IF(L153&lt;=0,ABS(L153)+N153,L153-N153)</f>
        <v>2038.9334398043065</v>
      </c>
      <c r="P153" s="11">
        <f>RTD("wdf.rtq",,D153,"LastPrice")</f>
        <v>109700</v>
      </c>
      <c r="Q153" s="10" t="s">
        <v>85</v>
      </c>
      <c r="R153" s="10">
        <f t="shared" ref="R153" si="301">IF(S153="中金买入",1,-1)</f>
        <v>-1</v>
      </c>
      <c r="S153" s="10" t="s">
        <v>20</v>
      </c>
      <c r="T153" s="14">
        <f t="shared" ref="T153" si="302">O153/P153</f>
        <v>1.8586448858744817E-2</v>
      </c>
      <c r="U153" s="13">
        <f>_xll.dnetGBlackScholesNGreeks("delta",$Q153,$P153,$G153,$I153,$C$3,$J153,$K153,$C$4)*R153</f>
        <v>0.20390636072988855</v>
      </c>
      <c r="V153" s="13">
        <f>_xll.dnetGBlackScholesNGreeks("vega",$Q153,$P153,$G153,$I153,$C$3,$J153,$K153,$C$4)*R153</f>
        <v>-155.62687274641939</v>
      </c>
      <c r="W153" s="114"/>
      <c r="X153" s="115">
        <v>500</v>
      </c>
    </row>
    <row r="154" spans="1:25" x14ac:dyDescent="0.15">
      <c r="A154" s="131">
        <v>43293</v>
      </c>
      <c r="B154" s="13" t="s">
        <v>172</v>
      </c>
      <c r="C154" s="10" t="s">
        <v>160</v>
      </c>
      <c r="D154" s="10" t="s">
        <v>367</v>
      </c>
      <c r="E154" s="8">
        <f ca="1">TODAY()</f>
        <v>43301</v>
      </c>
      <c r="F154" s="8">
        <f ca="1">E154+H154</f>
        <v>43363</v>
      </c>
      <c r="G154" s="120">
        <v>17070</v>
      </c>
      <c r="H154" s="10">
        <v>62</v>
      </c>
      <c r="I154" s="12">
        <f>(H154)/365</f>
        <v>0.16986301369863013</v>
      </c>
      <c r="J154" s="12">
        <v>0</v>
      </c>
      <c r="K154" s="116">
        <v>0.2</v>
      </c>
      <c r="L154" s="13">
        <f>_xll.dnetGBlackScholesNGreeks("price",$Q154,$P154,$G154,$I154,$C$3,$J154,$K154,$C$4)*R154</f>
        <v>-5.823418047546852</v>
      </c>
      <c r="M154" s="15"/>
      <c r="N154" s="13">
        <f t="shared" ref="N154" si="303">M154/10000*I154*P154</f>
        <v>0</v>
      </c>
      <c r="O154" s="13">
        <f>IF(L154&lt;=0,ABS(L154)+N154,L154-N154)</f>
        <v>5.823418047546852</v>
      </c>
      <c r="P154" s="11">
        <f>RTD("wdf.rtq",,D154,"LastPrice")</f>
        <v>14210</v>
      </c>
      <c r="Q154" s="10" t="s">
        <v>39</v>
      </c>
      <c r="R154" s="10">
        <f t="shared" ref="R154" si="304">IF(S154="中金买入",1,-1)</f>
        <v>-1</v>
      </c>
      <c r="S154" s="10" t="s">
        <v>20</v>
      </c>
      <c r="T154" s="14">
        <f t="shared" ref="T154" si="305">O154/P154</f>
        <v>4.0981126302229784E-4</v>
      </c>
      <c r="U154" s="12">
        <f>_xll.dnetGBlackScholesNGreeks("delta",$Q154,$P154,$G154,$I154,$C$3,$J154,$K154,$C$4)*R154</f>
        <v>-1.4452165696354768E-2</v>
      </c>
      <c r="V154" s="13">
        <f>_xll.dnetGBlackScholesNGreeks("vega",$Q154,$P154,$G154,$I154,$C$3,$J154,$K154,$C$4)*R154</f>
        <v>-2.1556416839406722</v>
      </c>
      <c r="W154" s="114"/>
      <c r="X154" s="115">
        <v>500</v>
      </c>
    </row>
    <row r="155" spans="1:25" x14ac:dyDescent="0.15">
      <c r="A155" s="131">
        <v>43293</v>
      </c>
      <c r="B155" s="13" t="s">
        <v>172</v>
      </c>
      <c r="C155" s="10" t="s">
        <v>160</v>
      </c>
      <c r="D155" s="10" t="s">
        <v>367</v>
      </c>
      <c r="E155" s="8">
        <f ca="1">TODAY()</f>
        <v>43301</v>
      </c>
      <c r="F155" s="8">
        <f ca="1">E155+H155</f>
        <v>43363</v>
      </c>
      <c r="G155" s="120">
        <v>11500</v>
      </c>
      <c r="H155" s="10">
        <v>62</v>
      </c>
      <c r="I155" s="12">
        <f>(H155)/365</f>
        <v>0.16986301369863013</v>
      </c>
      <c r="J155" s="12">
        <v>0</v>
      </c>
      <c r="K155" s="116">
        <v>0.2</v>
      </c>
      <c r="L155" s="13">
        <f>_xll.dnetGBlackScholesNGreeks("price",$Q155,$P155,$G155,$I155,$C$3,$J155,$K155,$C$4)*R155</f>
        <v>-1.7053427169203843</v>
      </c>
      <c r="M155" s="15"/>
      <c r="N155" s="13">
        <f t="shared" ref="N155" si="306">M155/10000*I155*P155</f>
        <v>0</v>
      </c>
      <c r="O155" s="13">
        <f>IF(L155&lt;=0,ABS(L155)+N155,L155-N155)</f>
        <v>1.7053427169203843</v>
      </c>
      <c r="P155" s="11">
        <f>RTD("wdf.rtq",,D155,"LastPrice")</f>
        <v>14210</v>
      </c>
      <c r="Q155" s="10" t="s">
        <v>85</v>
      </c>
      <c r="R155" s="10">
        <f t="shared" ref="R155" si="307">IF(S155="中金买入",1,-1)</f>
        <v>-1</v>
      </c>
      <c r="S155" s="10" t="s">
        <v>20</v>
      </c>
      <c r="T155" s="14">
        <f t="shared" ref="T155" si="308">O155/P155</f>
        <v>1.2001004341452387E-4</v>
      </c>
      <c r="U155" s="12">
        <f>_xll.dnetGBlackScholesNGreeks("delta",$Q155,$P155,$G155,$I155,$C$3,$J155,$K155,$C$4)*R155</f>
        <v>4.5347241204751754E-3</v>
      </c>
      <c r="V155" s="13">
        <f>_xll.dnetGBlackScholesNGreeks("vega",$Q155,$P155,$G155,$I155,$C$3,$J155,$K155,$C$4)*R155</f>
        <v>-0.78354589516840178</v>
      </c>
      <c r="W155" s="114"/>
      <c r="X155" s="115">
        <v>500</v>
      </c>
    </row>
    <row r="156" spans="1:25" x14ac:dyDescent="0.15">
      <c r="G156" s="114"/>
    </row>
    <row r="157" spans="1:25" x14ac:dyDescent="0.15">
      <c r="A157" s="131">
        <v>43294</v>
      </c>
      <c r="B157" s="13" t="s">
        <v>172</v>
      </c>
      <c r="C157" s="10" t="s">
        <v>160</v>
      </c>
      <c r="D157" s="10" t="s">
        <v>369</v>
      </c>
      <c r="E157" s="8">
        <v>43313</v>
      </c>
      <c r="F157" s="8">
        <f>E157+H157</f>
        <v>43346</v>
      </c>
      <c r="G157" s="120">
        <v>100</v>
      </c>
      <c r="H157" s="10">
        <v>33</v>
      </c>
      <c r="I157" s="12">
        <f>(H157)/365</f>
        <v>9.0410958904109592E-2</v>
      </c>
      <c r="J157" s="12">
        <v>0</v>
      </c>
      <c r="K157" s="116">
        <v>0.2</v>
      </c>
      <c r="L157" s="13">
        <f>_xll.dnetGBlackScholesNGreeks("price",$Q157,$P157,$G157,$I157,$C$3,$J157,$K157,$C$4)*R157</f>
        <v>-2.3944174114397185</v>
      </c>
      <c r="M157" s="15">
        <v>240</v>
      </c>
      <c r="N157" s="13">
        <f t="shared" ref="N157" si="309">M157/10000*I157*P157</f>
        <v>0.21698630136986302</v>
      </c>
      <c r="O157" s="13">
        <f>IF(L157&lt;=0,ABS(L157)+N157,L157-N157)</f>
        <v>2.6114037128095817</v>
      </c>
      <c r="P157" s="11">
        <v>100</v>
      </c>
      <c r="Q157" s="10" t="s">
        <v>352</v>
      </c>
      <c r="R157" s="10">
        <f t="shared" ref="R157" si="310">IF(S157="中金买入",1,-1)</f>
        <v>-1</v>
      </c>
      <c r="S157" s="10" t="s">
        <v>20</v>
      </c>
      <c r="T157" s="14">
        <f t="shared" ref="T157" si="311">O157/P157</f>
        <v>2.6114037128095818E-2</v>
      </c>
      <c r="U157" s="13">
        <f>_xll.dnetGBlackScholesNGreeks("delta",$Q157,$P157,$G157,$I157,$C$3,$J157,$K157,$C$4)*R157</f>
        <v>0.48712463682285545</v>
      </c>
      <c r="V157" s="13">
        <f>_xll.dnetGBlackScholesNGreeks("vega",$Q157,$P157,$G157,$I157,$C$3,$J157,$K157,$C$4)*R157</f>
        <v>-0.11968474961287257</v>
      </c>
      <c r="W157" s="114"/>
      <c r="X157" s="115">
        <v>500</v>
      </c>
    </row>
    <row r="159" spans="1:25" x14ac:dyDescent="0.15">
      <c r="A159" s="131">
        <v>43294</v>
      </c>
      <c r="B159" s="13" t="s">
        <v>172</v>
      </c>
      <c r="C159" s="10" t="s">
        <v>160</v>
      </c>
      <c r="D159" s="10" t="s">
        <v>371</v>
      </c>
      <c r="E159" s="8">
        <f t="shared" ref="E159:E194" ca="1" si="312">TODAY()</f>
        <v>43301</v>
      </c>
      <c r="F159" s="8">
        <f ca="1">E159+H159</f>
        <v>43332</v>
      </c>
      <c r="G159" s="120">
        <v>4400</v>
      </c>
      <c r="H159" s="10">
        <v>31</v>
      </c>
      <c r="I159" s="12">
        <f>(H159)/365</f>
        <v>8.4931506849315067E-2</v>
      </c>
      <c r="J159" s="12">
        <v>0</v>
      </c>
      <c r="K159" s="116">
        <v>0.09</v>
      </c>
      <c r="L159" s="13">
        <f>_xll.dnetGBlackScholesNGreeks("price",$Q159,$P159,$G159,$I159,$C$3,$J159,$K159,$C$4)*R159</f>
        <v>0.85971921075930879</v>
      </c>
      <c r="M159" s="15">
        <v>0</v>
      </c>
      <c r="N159" s="13">
        <f t="shared" ref="N159:N160" si="313">M159/10000*I159*P159</f>
        <v>0</v>
      </c>
      <c r="O159" s="13">
        <f>IF(L159&lt;=0,ABS(L159)+N159,L159-N159)</f>
        <v>0.85971921075930879</v>
      </c>
      <c r="P159" s="11">
        <f>RTD("wdf.rtq",,D159,"LastPrice")</f>
        <v>4644</v>
      </c>
      <c r="Q159" s="10" t="s">
        <v>352</v>
      </c>
      <c r="R159" s="10">
        <f t="shared" ref="R159:R160" si="314">IF(S159="中金买入",1,-1)</f>
        <v>1</v>
      </c>
      <c r="S159" s="10" t="s">
        <v>151</v>
      </c>
      <c r="T159" s="14">
        <f t="shared" ref="T159:T160" si="315">O159/P159</f>
        <v>1.851247223857254E-4</v>
      </c>
      <c r="U159" s="13">
        <f>_xll.dnetGBlackScholesNGreeks("delta",$Q159,$P159,$G159,$I159,$C$3,$J159,$K159,$C$4)*R159</f>
        <v>-1.9154250215080992E-2</v>
      </c>
      <c r="V159" s="13">
        <f>_xll.dnetGBlackScholesNGreeks("vega",$Q159,$P159,$G159,$I159,$C$3,$J159,$K159,$C$4)*R159</f>
        <v>0.63834496721959866</v>
      </c>
      <c r="W159" s="114"/>
      <c r="X159" s="115">
        <v>500</v>
      </c>
    </row>
    <row r="160" spans="1:25" x14ac:dyDescent="0.15">
      <c r="A160" s="131">
        <v>43294</v>
      </c>
      <c r="B160" s="13" t="s">
        <v>172</v>
      </c>
      <c r="C160" s="10" t="s">
        <v>160</v>
      </c>
      <c r="D160" s="10" t="s">
        <v>373</v>
      </c>
      <c r="E160" s="8">
        <f t="shared" ca="1" si="312"/>
        <v>43301</v>
      </c>
      <c r="F160" s="8">
        <f ca="1">E160+H160</f>
        <v>43332</v>
      </c>
      <c r="G160" s="120">
        <v>9000</v>
      </c>
      <c r="H160" s="10">
        <v>31</v>
      </c>
      <c r="I160" s="12">
        <f>(H160)/365</f>
        <v>8.4931506849315067E-2</v>
      </c>
      <c r="J160" s="12">
        <v>0</v>
      </c>
      <c r="K160" s="116">
        <v>0.2</v>
      </c>
      <c r="L160" s="13">
        <f>_xll.dnetGBlackScholesNGreeks("price",$Q160,$P160,$G160,$I160,$C$3,$J160,$K160,$C$4)*R160</f>
        <v>2.1113206546258567</v>
      </c>
      <c r="M160" s="15">
        <v>0</v>
      </c>
      <c r="N160" s="13">
        <f t="shared" si="313"/>
        <v>0</v>
      </c>
      <c r="O160" s="13">
        <f>IF(L160&lt;=0,ABS(L160)+N160,L160-N160)</f>
        <v>2.1113206546258567</v>
      </c>
      <c r="P160" s="11">
        <f>RTD("wdf.rtq",,D160,"LastPrice")</f>
        <v>10285</v>
      </c>
      <c r="Q160" s="10" t="s">
        <v>352</v>
      </c>
      <c r="R160" s="10">
        <f t="shared" si="314"/>
        <v>1</v>
      </c>
      <c r="S160" s="10" t="s">
        <v>151</v>
      </c>
      <c r="T160" s="14">
        <f t="shared" si="315"/>
        <v>2.0528154152900892E-4</v>
      </c>
      <c r="U160" s="13">
        <f>_xll.dnetGBlackScholesNGreeks("delta",$Q160,$P160,$G160,$I160,$C$3,$J160,$K160,$C$4)*R160</f>
        <v>-1.0182397123514875E-2</v>
      </c>
      <c r="V160" s="13">
        <f>_xll.dnetGBlackScholesNGreeks("vega",$Q160,$P160,$G160,$I160,$C$3,$J160,$K160,$C$4)*R160</f>
        <v>0.81535281312149266</v>
      </c>
      <c r="W160" s="114"/>
      <c r="X160" s="115">
        <v>500</v>
      </c>
    </row>
    <row r="162" spans="1:24" x14ac:dyDescent="0.15">
      <c r="A162" s="131">
        <v>43294</v>
      </c>
      <c r="B162" s="13" t="s">
        <v>172</v>
      </c>
      <c r="C162" s="10" t="s">
        <v>160</v>
      </c>
      <c r="D162" s="10" t="s">
        <v>371</v>
      </c>
      <c r="E162" s="8">
        <f t="shared" ca="1" si="312"/>
        <v>43301</v>
      </c>
      <c r="F162" s="8">
        <f ca="1">E162+H162</f>
        <v>43332</v>
      </c>
      <c r="G162" s="120">
        <f>P162+P159-G159</f>
        <v>4888</v>
      </c>
      <c r="H162" s="10">
        <v>31</v>
      </c>
      <c r="I162" s="12">
        <f>(H162)/365</f>
        <v>8.4931506849315067E-2</v>
      </c>
      <c r="J162" s="12">
        <v>0</v>
      </c>
      <c r="K162" s="116">
        <v>0.09</v>
      </c>
      <c r="L162" s="13">
        <f>_xll.dnetGBlackScholesNGreeks("price",$Q162,$P162,$G162,$I162,$C$3,$J162,$K162,$C$4)*R162</f>
        <v>1.2023472845526726</v>
      </c>
      <c r="M162" s="15">
        <v>0</v>
      </c>
      <c r="N162" s="13">
        <f t="shared" ref="N162:N163" si="316">M162/10000*I162*P162</f>
        <v>0</v>
      </c>
      <c r="O162" s="13">
        <f>IF(L162&lt;=0,ABS(L162)+N162,L162-N162)</f>
        <v>1.2023472845526726</v>
      </c>
      <c r="P162" s="11">
        <f>RTD("wdf.rtq",,D162,"LastPrice")</f>
        <v>4644</v>
      </c>
      <c r="Q162" s="10" t="s">
        <v>24</v>
      </c>
      <c r="R162" s="10">
        <f t="shared" ref="R162:R163" si="317">IF(S162="中金买入",1,-1)</f>
        <v>1</v>
      </c>
      <c r="S162" s="10" t="s">
        <v>151</v>
      </c>
      <c r="T162" s="14">
        <f t="shared" ref="T162:T163" si="318">O162/P162</f>
        <v>2.5890337737998978E-4</v>
      </c>
      <c r="U162" s="13">
        <f>_xll.dnetGBlackScholesNGreeks("delta",$Q162,$P162,$G162,$I162,$C$3,$J162,$K162,$C$4)*R162</f>
        <v>2.6192870323882289E-2</v>
      </c>
      <c r="V162" s="13">
        <f>_xll.dnetGBlackScholesNGreeks("vega",$Q162,$P162,$G162,$I162,$C$3,$J162,$K162,$C$4)*R162</f>
        <v>0.82755485329179379</v>
      </c>
      <c r="W162" s="114"/>
      <c r="X162" s="115">
        <v>500</v>
      </c>
    </row>
    <row r="163" spans="1:24" x14ac:dyDescent="0.15">
      <c r="A163" s="131">
        <v>43294</v>
      </c>
      <c r="B163" s="13" t="s">
        <v>172</v>
      </c>
      <c r="C163" s="10" t="s">
        <v>160</v>
      </c>
      <c r="D163" s="10" t="s">
        <v>373</v>
      </c>
      <c r="E163" s="8">
        <f t="shared" ca="1" si="312"/>
        <v>43301</v>
      </c>
      <c r="F163" s="8">
        <f ca="1">E163+H163</f>
        <v>43332</v>
      </c>
      <c r="G163" s="120">
        <f>P163+P160-G160</f>
        <v>11570</v>
      </c>
      <c r="H163" s="10">
        <v>31</v>
      </c>
      <c r="I163" s="12">
        <f>(H163)/365</f>
        <v>8.4931506849315067E-2</v>
      </c>
      <c r="J163" s="12">
        <v>0</v>
      </c>
      <c r="K163" s="116">
        <v>0.2</v>
      </c>
      <c r="L163" s="13">
        <f>_xll.dnetGBlackScholesNGreeks("price",$Q163,$P163,$G163,$I163,$C$3,$J163,$K163,$C$4)*R163</f>
        <v>5.1076954191948971</v>
      </c>
      <c r="M163" s="15">
        <v>0</v>
      </c>
      <c r="N163" s="13">
        <f t="shared" si="316"/>
        <v>0</v>
      </c>
      <c r="O163" s="13">
        <f>IF(L163&lt;=0,ABS(L163)+N163,L163-N163)</f>
        <v>5.1076954191948971</v>
      </c>
      <c r="P163" s="11">
        <f>RTD("wdf.rtq",,D163,"LastPrice")</f>
        <v>10285</v>
      </c>
      <c r="Q163" s="10" t="s">
        <v>24</v>
      </c>
      <c r="R163" s="10">
        <f t="shared" si="317"/>
        <v>1</v>
      </c>
      <c r="S163" s="10" t="s">
        <v>151</v>
      </c>
      <c r="T163" s="14">
        <f t="shared" si="318"/>
        <v>4.9661598630966431E-4</v>
      </c>
      <c r="U163" s="13">
        <f>_xll.dnetGBlackScholesNGreeks("delta",$Q163,$P163,$G163,$I163,$C$3,$J163,$K163,$C$4)*R163</f>
        <v>2.3217085997373488E-2</v>
      </c>
      <c r="V163" s="13">
        <f>_xll.dnetGBlackScholesNGreeks("vega",$Q163,$P163,$G163,$I163,$C$3,$J163,$K163,$C$4)*R163</f>
        <v>1.6488134927056706</v>
      </c>
      <c r="W163" s="114"/>
      <c r="X163" s="115">
        <v>500</v>
      </c>
    </row>
    <row r="165" spans="1:24" x14ac:dyDescent="0.15">
      <c r="A165" s="131">
        <v>43294</v>
      </c>
      <c r="B165" s="13" t="s">
        <v>172</v>
      </c>
      <c r="C165" s="10" t="s">
        <v>160</v>
      </c>
      <c r="D165" s="10" t="s">
        <v>375</v>
      </c>
      <c r="E165" s="8">
        <f t="shared" ca="1" si="312"/>
        <v>43301</v>
      </c>
      <c r="F165" s="8">
        <f ca="1">E165+H165</f>
        <v>43441</v>
      </c>
      <c r="G165" s="120">
        <v>3500</v>
      </c>
      <c r="H165" s="10">
        <v>140</v>
      </c>
      <c r="I165" s="12">
        <f>(H165)/365</f>
        <v>0.38356164383561642</v>
      </c>
      <c r="J165" s="12">
        <v>0</v>
      </c>
      <c r="K165" s="116">
        <v>0.28999999999999998</v>
      </c>
      <c r="L165" s="13">
        <f>_xll.dnetGBlackScholesNGreeks("price",$Q165,$P165,$G165,$I165,$C$3,$J165,$K165,$C$4)*R165</f>
        <v>-118.88210700059597</v>
      </c>
      <c r="M165" s="15">
        <v>0</v>
      </c>
      <c r="N165" s="13">
        <f t="shared" ref="N165:N166" si="319">M165/10000*I165*P165</f>
        <v>0</v>
      </c>
      <c r="O165" s="13">
        <f>IF(L165&lt;=0,ABS(L165)+N165,L165-N165)</f>
        <v>118.88210700059597</v>
      </c>
      <c r="P165" s="11">
        <f>RTD("wdf.rtq",,D165,"LastPrice")</f>
        <v>3866</v>
      </c>
      <c r="Q165" s="10" t="s">
        <v>85</v>
      </c>
      <c r="R165" s="10">
        <f t="shared" ref="R165:R166" si="320">IF(S165="中金买入",1,-1)</f>
        <v>-1</v>
      </c>
      <c r="S165" s="10" t="s">
        <v>20</v>
      </c>
      <c r="T165" s="14">
        <f t="shared" ref="T165:T166" si="321">O165/P165</f>
        <v>3.0750674340557674E-2</v>
      </c>
      <c r="U165" s="13">
        <f>_xll.dnetGBlackScholesNGreeks("delta",$Q165,$P165,$G165,$I165,$C$3,$J165,$K165,$C$4)*R165</f>
        <v>0.25794342828930894</v>
      </c>
      <c r="V165" s="13">
        <f>_xll.dnetGBlackScholesNGreeks("vega",$Q165,$P165,$G165,$I165,$C$3,$J165,$K165,$C$4)*R165</f>
        <v>-7.704587151751241</v>
      </c>
      <c r="W165" s="114"/>
      <c r="X165" s="115">
        <v>500</v>
      </c>
    </row>
    <row r="166" spans="1:24" x14ac:dyDescent="0.15">
      <c r="A166" s="131">
        <v>43294</v>
      </c>
      <c r="B166" s="13" t="s">
        <v>172</v>
      </c>
      <c r="C166" s="10" t="s">
        <v>160</v>
      </c>
      <c r="D166" s="10" t="s">
        <v>375</v>
      </c>
      <c r="E166" s="8">
        <f t="shared" ca="1" si="312"/>
        <v>43301</v>
      </c>
      <c r="F166" s="8">
        <f ca="1">E166+H166</f>
        <v>43441</v>
      </c>
      <c r="G166" s="120">
        <v>3300</v>
      </c>
      <c r="H166" s="10">
        <v>140</v>
      </c>
      <c r="I166" s="12">
        <f>(H166)/365</f>
        <v>0.38356164383561642</v>
      </c>
      <c r="J166" s="12">
        <v>0</v>
      </c>
      <c r="K166" s="116">
        <v>0.28999999999999998</v>
      </c>
      <c r="L166" s="13">
        <f>_xll.dnetGBlackScholesNGreeks("price",$Q166,$P166,$G166,$I166,$C$3,$J166,$K166,$C$4)*R166</f>
        <v>-65.985234527457123</v>
      </c>
      <c r="M166" s="15">
        <v>0</v>
      </c>
      <c r="N166" s="13">
        <f t="shared" si="319"/>
        <v>0</v>
      </c>
      <c r="O166" s="13">
        <f>IF(L166&lt;=0,ABS(L166)+N166,L166-N166)</f>
        <v>65.985234527457123</v>
      </c>
      <c r="P166" s="11">
        <f>RTD("wdf.rtq",,D166,"LastPrice")</f>
        <v>3866</v>
      </c>
      <c r="Q166" s="10" t="s">
        <v>85</v>
      </c>
      <c r="R166" s="10">
        <f t="shared" si="320"/>
        <v>-1</v>
      </c>
      <c r="S166" s="10" t="s">
        <v>20</v>
      </c>
      <c r="T166" s="14">
        <f t="shared" si="321"/>
        <v>1.7068089634624192E-2</v>
      </c>
      <c r="U166" s="13">
        <f>_xll.dnetGBlackScholesNGreeks("delta",$Q166,$P166,$G166,$I166,$C$3,$J166,$K166,$C$4)*R166</f>
        <v>0.16446416757958104</v>
      </c>
      <c r="V166" s="13">
        <f>_xll.dnetGBlackScholesNGreeks("vega",$Q166,$P166,$G166,$I166,$C$3,$J166,$K166,$C$4)*R166</f>
        <v>-5.9128719838911366</v>
      </c>
      <c r="W166" s="114"/>
      <c r="X166" s="115">
        <v>500</v>
      </c>
    </row>
    <row r="168" spans="1:24" x14ac:dyDescent="0.15">
      <c r="A168" s="131">
        <v>43294</v>
      </c>
      <c r="B168" s="13" t="s">
        <v>172</v>
      </c>
      <c r="C168" s="10" t="s">
        <v>160</v>
      </c>
      <c r="D168" s="10" t="s">
        <v>376</v>
      </c>
      <c r="E168" s="8">
        <f t="shared" ca="1" si="312"/>
        <v>43301</v>
      </c>
      <c r="F168" s="8">
        <f ca="1">E168+H168</f>
        <v>43332</v>
      </c>
      <c r="G168" s="120">
        <v>101</v>
      </c>
      <c r="H168" s="10">
        <v>31</v>
      </c>
      <c r="I168" s="12">
        <f>(H168)/365</f>
        <v>8.4931506849315067E-2</v>
      </c>
      <c r="J168" s="12">
        <v>0</v>
      </c>
      <c r="K168" s="116">
        <v>0.19</v>
      </c>
      <c r="L168" s="13">
        <f>_xll.dnetGBlackScholesNGreeks("price",$Q168,$P168,$G168,$I168,$C$3,$J168,$K168,$C$4)*R168</f>
        <v>-1.7525292421227263</v>
      </c>
      <c r="M168" s="15">
        <v>120</v>
      </c>
      <c r="N168" s="13">
        <f t="shared" ref="N168:N169" si="322">M168/10000*I168*P168</f>
        <v>0.10191780821917809</v>
      </c>
      <c r="O168" s="13">
        <f>IF(L168&lt;=0,ABS(L168)+N168,L168-N168)</f>
        <v>1.8544470503419044</v>
      </c>
      <c r="P168" s="11">
        <v>100</v>
      </c>
      <c r="Q168" s="10" t="s">
        <v>377</v>
      </c>
      <c r="R168" s="10">
        <f t="shared" ref="R168:R169" si="323">IF(S168="中金买入",1,-1)</f>
        <v>-1</v>
      </c>
      <c r="S168" s="10" t="s">
        <v>20</v>
      </c>
      <c r="T168" s="14">
        <f t="shared" ref="T168:T169" si="324">O168/P168</f>
        <v>1.8544470503419043E-2</v>
      </c>
      <c r="U168" s="13">
        <f>_xll.dnetGBlackScholesNGreeks("delta",$Q168,$P168,$G168,$I168,$C$3,$J168,$K168,$C$4)*R168</f>
        <v>-0.43884161614151651</v>
      </c>
      <c r="V168" s="13">
        <f>_xll.dnetGBlackScholesNGreeks("vega",$Q168,$P168,$G168,$I168,$C$3,$J168,$K168,$C$4)*R168</f>
        <v>-0.11472799436999637</v>
      </c>
      <c r="W168" s="114"/>
      <c r="X168" s="115">
        <v>500</v>
      </c>
    </row>
    <row r="169" spans="1:24" x14ac:dyDescent="0.15">
      <c r="A169" s="131">
        <v>43294</v>
      </c>
      <c r="B169" s="13" t="s">
        <v>172</v>
      </c>
      <c r="C169" s="10" t="s">
        <v>160</v>
      </c>
      <c r="D169" s="10" t="s">
        <v>376</v>
      </c>
      <c r="E169" s="8">
        <f t="shared" ca="1" si="312"/>
        <v>43301</v>
      </c>
      <c r="F169" s="8">
        <f ca="1">E169+H169</f>
        <v>43332</v>
      </c>
      <c r="G169" s="120">
        <v>99</v>
      </c>
      <c r="H169" s="10">
        <v>31</v>
      </c>
      <c r="I169" s="12">
        <f>(H169)/365</f>
        <v>8.4931506849315067E-2</v>
      </c>
      <c r="J169" s="12">
        <v>0</v>
      </c>
      <c r="K169" s="116">
        <v>0.19</v>
      </c>
      <c r="L169" s="13">
        <f>_xll.dnetGBlackScholesNGreeks("price",$Q169,$P169,$G169,$I169,$C$3,$J169,$K169,$C$4)*R169</f>
        <v>-1.7308360207268976</v>
      </c>
      <c r="M169" s="15">
        <v>240</v>
      </c>
      <c r="N169" s="13">
        <f t="shared" si="322"/>
        <v>0.20383561643835618</v>
      </c>
      <c r="O169" s="13">
        <f>IF(L169&lt;=0,ABS(L169)+N169,L169-N169)</f>
        <v>1.9346716371652537</v>
      </c>
      <c r="P169" s="11">
        <v>100</v>
      </c>
      <c r="Q169" s="10" t="s">
        <v>85</v>
      </c>
      <c r="R169" s="10">
        <f t="shared" si="323"/>
        <v>-1</v>
      </c>
      <c r="S169" s="10" t="s">
        <v>20</v>
      </c>
      <c r="T169" s="14">
        <f t="shared" si="324"/>
        <v>1.9346716371652539E-2</v>
      </c>
      <c r="U169" s="13">
        <f>_xll.dnetGBlackScholesNGreeks("delta",$Q169,$P169,$G169,$I169,$C$3,$J169,$K169,$C$4)*R169</f>
        <v>0.41644105232556683</v>
      </c>
      <c r="V169" s="13">
        <f>_xll.dnetGBlackScholesNGreeks("vega",$Q169,$P169,$G169,$I169,$C$3,$J169,$K169,$C$4)*R169</f>
        <v>-0.11354924939253763</v>
      </c>
      <c r="W169" s="114"/>
      <c r="X169" s="115">
        <v>500</v>
      </c>
    </row>
    <row r="170" spans="1:24" x14ac:dyDescent="0.15">
      <c r="A170" s="131">
        <v>43294</v>
      </c>
      <c r="B170" s="13" t="s">
        <v>172</v>
      </c>
      <c r="C170" s="10" t="s">
        <v>160</v>
      </c>
      <c r="D170" s="10" t="s">
        <v>376</v>
      </c>
      <c r="E170" s="8">
        <f t="shared" ca="1" si="312"/>
        <v>43301</v>
      </c>
      <c r="F170" s="8">
        <f ca="1">E170+H170</f>
        <v>43332</v>
      </c>
      <c r="G170" s="120">
        <v>104</v>
      </c>
      <c r="H170" s="10">
        <v>31</v>
      </c>
      <c r="I170" s="12">
        <f>(H170)/365</f>
        <v>8.4931506849315067E-2</v>
      </c>
      <c r="J170" s="12">
        <v>0</v>
      </c>
      <c r="K170" s="116">
        <v>0.19</v>
      </c>
      <c r="L170" s="13">
        <f>_xll.dnetGBlackScholesNGreeks("price",$Q170,$P170,$G170,$I170,$C$3,$J170,$K170,$C$4)*R170</f>
        <v>-0.79399027505212061</v>
      </c>
      <c r="M170" s="15">
        <v>240</v>
      </c>
      <c r="N170" s="13">
        <f t="shared" ref="N170:N171" si="325">M170/10000*I170*P170</f>
        <v>0.20383561643835618</v>
      </c>
      <c r="O170" s="13">
        <f>IF(L170&lt;=0,ABS(L170)+N170,L170-N170)</f>
        <v>0.99782589149047674</v>
      </c>
      <c r="P170" s="11">
        <v>100</v>
      </c>
      <c r="Q170" s="10" t="s">
        <v>377</v>
      </c>
      <c r="R170" s="10">
        <f t="shared" ref="R170:R171" si="326">IF(S170="中金买入",1,-1)</f>
        <v>-1</v>
      </c>
      <c r="S170" s="10" t="s">
        <v>20</v>
      </c>
      <c r="T170" s="14">
        <f t="shared" ref="T170:T171" si="327">O170/P170</f>
        <v>9.9782589149047668E-3</v>
      </c>
      <c r="U170" s="13">
        <f>_xll.dnetGBlackScholesNGreeks("delta",$Q170,$P170,$G170,$I170,$C$3,$J170,$K170,$C$4)*R170</f>
        <v>-0.24763167487051874</v>
      </c>
      <c r="V170" s="13">
        <f>_xll.dnetGBlackScholesNGreeks("vega",$Q170,$P170,$G170,$I170,$C$3,$J170,$K170,$C$4)*R170</f>
        <v>-9.2015170983996697E-2</v>
      </c>
      <c r="W170" s="114"/>
      <c r="X170" s="115">
        <v>500</v>
      </c>
    </row>
    <row r="171" spans="1:24" x14ac:dyDescent="0.15">
      <c r="A171" s="131">
        <v>43294</v>
      </c>
      <c r="B171" s="13" t="s">
        <v>172</v>
      </c>
      <c r="C171" s="10" t="s">
        <v>160</v>
      </c>
      <c r="D171" s="10" t="s">
        <v>376</v>
      </c>
      <c r="E171" s="8">
        <f t="shared" ca="1" si="312"/>
        <v>43301</v>
      </c>
      <c r="F171" s="8">
        <f ca="1">E171+H171</f>
        <v>43332</v>
      </c>
      <c r="G171" s="120">
        <v>96</v>
      </c>
      <c r="H171" s="10">
        <v>31</v>
      </c>
      <c r="I171" s="12">
        <f>(H171)/365</f>
        <v>8.4931506849315067E-2</v>
      </c>
      <c r="J171" s="12">
        <v>0</v>
      </c>
      <c r="K171" s="116">
        <v>0.19</v>
      </c>
      <c r="L171" s="13">
        <f>_xll.dnetGBlackScholesNGreeks("price",$Q171,$P171,$G171,$I171,$C$3,$J171,$K171,$C$4)*R171</f>
        <v>-0.72605297121326018</v>
      </c>
      <c r="M171" s="15">
        <v>240</v>
      </c>
      <c r="N171" s="13">
        <f t="shared" si="325"/>
        <v>0.20383561643835618</v>
      </c>
      <c r="O171" s="13">
        <f>IF(L171&lt;=0,ABS(L171)+N171,L171-N171)</f>
        <v>0.92988858765161631</v>
      </c>
      <c r="P171" s="11">
        <v>100</v>
      </c>
      <c r="Q171" s="10" t="s">
        <v>85</v>
      </c>
      <c r="R171" s="10">
        <f t="shared" si="326"/>
        <v>-1</v>
      </c>
      <c r="S171" s="10" t="s">
        <v>20</v>
      </c>
      <c r="T171" s="14">
        <f t="shared" si="327"/>
        <v>9.2988858765161633E-3</v>
      </c>
      <c r="U171" s="13">
        <f>_xll.dnetGBlackScholesNGreeks("delta",$Q171,$P171,$G171,$I171,$C$3,$J171,$K171,$C$4)*R171</f>
        <v>0.22178229118452464</v>
      </c>
      <c r="V171" s="13">
        <f>_xll.dnetGBlackScholesNGreeks("vega",$Q171,$P171,$G171,$I171,$C$3,$J171,$K171,$C$4)*R171</f>
        <v>-8.6573395595552327E-2</v>
      </c>
      <c r="W171" s="114"/>
      <c r="X171" s="115">
        <v>500</v>
      </c>
    </row>
    <row r="173" spans="1:24" x14ac:dyDescent="0.15">
      <c r="A173" s="131">
        <v>43294</v>
      </c>
      <c r="B173" s="13" t="s">
        <v>172</v>
      </c>
      <c r="C173" s="10" t="s">
        <v>160</v>
      </c>
      <c r="D173" s="10" t="s">
        <v>376</v>
      </c>
      <c r="E173" s="8">
        <f t="shared" ca="1" si="312"/>
        <v>43301</v>
      </c>
      <c r="F173" s="8">
        <f ca="1">E173+H173</f>
        <v>43332</v>
      </c>
      <c r="G173" s="120">
        <v>100</v>
      </c>
      <c r="H173" s="10">
        <v>31</v>
      </c>
      <c r="I173" s="12">
        <f>(H173)/365</f>
        <v>8.4931506849315067E-2</v>
      </c>
      <c r="J173" s="12">
        <v>0</v>
      </c>
      <c r="K173" s="116">
        <v>0.19500000000000001</v>
      </c>
      <c r="L173" s="13">
        <f>_xll.dnetGBlackScholesNGreeks("price",$Q173,$P173,$G173,$I173,$C$3,$J173,$K173,$C$4)*R173</f>
        <v>-2.2629916380370503</v>
      </c>
      <c r="M173" s="15"/>
      <c r="N173" s="13">
        <f t="shared" ref="N173:N176" si="328">M173/10000*I173*P173</f>
        <v>0</v>
      </c>
      <c r="O173" s="13">
        <f>IF(L173&lt;=0,ABS(L173)+N173,L173-N173)</f>
        <v>2.2629916380370503</v>
      </c>
      <c r="P173" s="11">
        <v>100</v>
      </c>
      <c r="Q173" s="10" t="s">
        <v>24</v>
      </c>
      <c r="R173" s="10">
        <f t="shared" ref="R173:R176" si="329">IF(S173="中金买入",1,-1)</f>
        <v>-1</v>
      </c>
      <c r="S173" s="10" t="s">
        <v>20</v>
      </c>
      <c r="T173" s="14">
        <f t="shared" ref="T173:T176" si="330">O173/P173</f>
        <v>2.2629916380370502E-2</v>
      </c>
      <c r="U173" s="13">
        <f>_xll.dnetGBlackScholesNGreeks("delta",$Q173,$P173,$G173,$I173,$C$3,$J173,$K173,$C$4)*R173</f>
        <v>-0.51046634653602041</v>
      </c>
      <c r="V173" s="13">
        <f>_xll.dnetGBlackScholesNGreeks("vega",$Q173,$P173,$G173,$I173,$C$3,$J173,$K173,$C$4)*R173</f>
        <v>-0.11601958318611949</v>
      </c>
      <c r="W173" s="114"/>
      <c r="X173" s="115">
        <v>500</v>
      </c>
    </row>
    <row r="174" spans="1:24" x14ac:dyDescent="0.15">
      <c r="A174" s="131">
        <v>43294</v>
      </c>
      <c r="B174" s="13" t="s">
        <v>172</v>
      </c>
      <c r="C174" s="10" t="s">
        <v>160</v>
      </c>
      <c r="D174" s="10" t="s">
        <v>376</v>
      </c>
      <c r="E174" s="8">
        <f t="shared" ca="1" si="312"/>
        <v>43301</v>
      </c>
      <c r="F174" s="8">
        <f ca="1">E174+H174</f>
        <v>43332</v>
      </c>
      <c r="G174" s="120">
        <v>100</v>
      </c>
      <c r="H174" s="10">
        <v>31</v>
      </c>
      <c r="I174" s="12">
        <f>(H174)/365</f>
        <v>8.4931506849315067E-2</v>
      </c>
      <c r="J174" s="12">
        <v>0</v>
      </c>
      <c r="K174" s="116">
        <v>0.19500000000000001</v>
      </c>
      <c r="L174" s="13">
        <f>_xll.dnetGBlackScholesNGreeks("price",$Q174,$P174,$G174,$I174,$C$3,$J174,$K174,$C$4)*R174</f>
        <v>-2.2629916380370503</v>
      </c>
      <c r="M174" s="15"/>
      <c r="N174" s="13">
        <f t="shared" si="328"/>
        <v>0</v>
      </c>
      <c r="O174" s="13">
        <f>IF(L174&lt;=0,ABS(L174)+N174,L174-N174)</f>
        <v>2.2629916380370503</v>
      </c>
      <c r="P174" s="11">
        <v>100</v>
      </c>
      <c r="Q174" s="10" t="s">
        <v>85</v>
      </c>
      <c r="R174" s="10">
        <f t="shared" si="329"/>
        <v>-1</v>
      </c>
      <c r="S174" s="10" t="s">
        <v>20</v>
      </c>
      <c r="T174" s="14">
        <f t="shared" si="330"/>
        <v>2.2629916380370502E-2</v>
      </c>
      <c r="U174" s="13">
        <f>_xll.dnetGBlackScholesNGreeks("delta",$Q174,$P174,$G174,$I174,$C$3,$J174,$K174,$C$4)*R174</f>
        <v>0.48783646518266721</v>
      </c>
      <c r="V174" s="13">
        <f>_xll.dnetGBlackScholesNGreeks("vega",$Q174,$P174,$G174,$I174,$C$3,$J174,$K174,$C$4)*R174</f>
        <v>-0.11601958318611949</v>
      </c>
      <c r="W174" s="114"/>
      <c r="X174" s="115">
        <v>500</v>
      </c>
    </row>
    <row r="175" spans="1:24" x14ac:dyDescent="0.15">
      <c r="A175" s="131">
        <v>43294</v>
      </c>
      <c r="B175" s="13" t="s">
        <v>172</v>
      </c>
      <c r="C175" s="10" t="s">
        <v>160</v>
      </c>
      <c r="D175" s="10" t="s">
        <v>376</v>
      </c>
      <c r="E175" s="8">
        <f t="shared" ca="1" si="312"/>
        <v>43301</v>
      </c>
      <c r="F175" s="8">
        <f ca="1">E175+H175</f>
        <v>43332</v>
      </c>
      <c r="G175" s="120">
        <v>104</v>
      </c>
      <c r="H175" s="10">
        <v>31</v>
      </c>
      <c r="I175" s="12">
        <f>(H175)/365</f>
        <v>8.4931506849315067E-2</v>
      </c>
      <c r="J175" s="12">
        <v>0</v>
      </c>
      <c r="K175" s="116">
        <v>0.19500000000000001</v>
      </c>
      <c r="L175" s="13">
        <f>_xll.dnetGBlackScholesNGreeks("price",$Q175,$P175,$G175,$I175,$C$3,$J175,$K175,$C$4)*R175</f>
        <v>-0.84032146748785763</v>
      </c>
      <c r="M175" s="15">
        <v>240</v>
      </c>
      <c r="N175" s="13">
        <f t="shared" si="328"/>
        <v>0.20383561643835618</v>
      </c>
      <c r="O175" s="13">
        <f>IF(L175&lt;=0,ABS(L175)+N175,L175-N175)</f>
        <v>1.0441570839262138</v>
      </c>
      <c r="P175" s="11">
        <v>100</v>
      </c>
      <c r="Q175" s="10" t="s">
        <v>24</v>
      </c>
      <c r="R175" s="10">
        <f t="shared" si="329"/>
        <v>-1</v>
      </c>
      <c r="S175" s="10" t="s">
        <v>20</v>
      </c>
      <c r="T175" s="14">
        <f t="shared" si="330"/>
        <v>1.0441570839262138E-2</v>
      </c>
      <c r="U175" s="13">
        <f>_xll.dnetGBlackScholesNGreeks("delta",$Q175,$P175,$G175,$I175,$C$3,$J175,$K175,$C$4)*R175</f>
        <v>-0.25363773956961211</v>
      </c>
      <c r="V175" s="13">
        <f>_xll.dnetGBlackScholesNGreeks("vega",$Q175,$P175,$G175,$I175,$C$3,$J175,$K175,$C$4)*R175</f>
        <v>-9.3194104139918466E-2</v>
      </c>
      <c r="W175" s="114"/>
      <c r="X175" s="115">
        <v>500</v>
      </c>
    </row>
    <row r="176" spans="1:24" x14ac:dyDescent="0.15">
      <c r="A176" s="131">
        <v>43294</v>
      </c>
      <c r="B176" s="13" t="s">
        <v>172</v>
      </c>
      <c r="C176" s="10" t="s">
        <v>160</v>
      </c>
      <c r="D176" s="10" t="s">
        <v>376</v>
      </c>
      <c r="E176" s="8">
        <f t="shared" ca="1" si="312"/>
        <v>43301</v>
      </c>
      <c r="F176" s="8">
        <f ca="1">E176+H176</f>
        <v>43332</v>
      </c>
      <c r="G176" s="120">
        <v>96</v>
      </c>
      <c r="H176" s="10">
        <v>31</v>
      </c>
      <c r="I176" s="12">
        <f>(H176)/365</f>
        <v>8.4931506849315067E-2</v>
      </c>
      <c r="J176" s="12">
        <v>0</v>
      </c>
      <c r="K176" s="116">
        <v>0.19500000000000001</v>
      </c>
      <c r="L176" s="13">
        <f>_xll.dnetGBlackScholesNGreeks("price",$Q176,$P176,$G176,$I176,$C$3,$J176,$K176,$C$4)*R176</f>
        <v>-0.76966920453236654</v>
      </c>
      <c r="M176" s="15">
        <v>240</v>
      </c>
      <c r="N176" s="13">
        <f t="shared" si="328"/>
        <v>0.20383561643835618</v>
      </c>
      <c r="O176" s="13">
        <f>IF(L176&lt;=0,ABS(L176)+N176,L176-N176)</f>
        <v>0.97350482097072266</v>
      </c>
      <c r="P176" s="11">
        <v>100</v>
      </c>
      <c r="Q176" s="10" t="s">
        <v>85</v>
      </c>
      <c r="R176" s="10">
        <f t="shared" si="329"/>
        <v>-1</v>
      </c>
      <c r="S176" s="10" t="s">
        <v>20</v>
      </c>
      <c r="T176" s="14">
        <f t="shared" si="330"/>
        <v>9.7350482097072269E-3</v>
      </c>
      <c r="U176" s="13">
        <f>_xll.dnetGBlackScholesNGreeks("delta",$Q176,$P176,$G176,$I176,$C$3,$J176,$K176,$C$4)*R176</f>
        <v>0.22722215771704413</v>
      </c>
      <c r="V176" s="13">
        <f>_xll.dnetGBlackScholesNGreeks("vega",$Q176,$P176,$G176,$I176,$C$3,$J176,$K176,$C$4)*R176</f>
        <v>-8.7775682404201305E-2</v>
      </c>
      <c r="W176" s="114"/>
      <c r="X176" s="115">
        <v>500</v>
      </c>
    </row>
    <row r="178" spans="1:24" x14ac:dyDescent="0.15">
      <c r="A178" s="131">
        <v>43294</v>
      </c>
      <c r="B178" s="13" t="s">
        <v>172</v>
      </c>
      <c r="C178" s="10" t="s">
        <v>160</v>
      </c>
      <c r="D178" s="10" t="s">
        <v>310</v>
      </c>
      <c r="E178" s="8">
        <f t="shared" ca="1" si="312"/>
        <v>43301</v>
      </c>
      <c r="F178" s="8">
        <f ca="1">E178+H178</f>
        <v>43312</v>
      </c>
      <c r="G178" s="120">
        <v>100</v>
      </c>
      <c r="H178" s="10">
        <v>11</v>
      </c>
      <c r="I178" s="12">
        <f>(H178-1)/365</f>
        <v>2.7397260273972601E-2</v>
      </c>
      <c r="J178" s="12">
        <v>0</v>
      </c>
      <c r="K178" s="116">
        <v>9.5000000000000001E-2</v>
      </c>
      <c r="L178" s="13">
        <f>_xll.dnetGBlackScholesNGreeks("price",$Q178,$P178,$G178,$I178,$C$3,$J178,$K178,$C$4)*R178</f>
        <v>0.62696716222549043</v>
      </c>
      <c r="M178" s="15">
        <v>0</v>
      </c>
      <c r="N178" s="13">
        <f t="shared" ref="N178" si="331">M178/10000*I178*P178</f>
        <v>0</v>
      </c>
      <c r="O178" s="13">
        <f>IF(L178&lt;=0,ABS(L178)+N178,L178-N178)</f>
        <v>0.62696716222549043</v>
      </c>
      <c r="P178" s="11">
        <v>100</v>
      </c>
      <c r="Q178" s="10" t="s">
        <v>384</v>
      </c>
      <c r="R178" s="10">
        <f t="shared" ref="R178" si="332">IF(S178="中金买入",1,-1)</f>
        <v>1</v>
      </c>
      <c r="S178" s="10" t="s">
        <v>151</v>
      </c>
      <c r="T178" s="14">
        <f t="shared" ref="T178" si="333">O178/P178</f>
        <v>6.269671622254904E-3</v>
      </c>
      <c r="U178" s="13">
        <f>_xll.dnetGBlackScholesNGreeks("delta",$Q178,$P178,$G178,$I178,$C$3,$J178,$K178,$C$4)*R178</f>
        <v>0.50286087486668407</v>
      </c>
      <c r="V178" s="13">
        <f>_xll.dnetGBlackScholesNGreeks("vega",$Q178,$P178,$G178,$I178,$C$3,$J178,$K178,$C$4)*R178</f>
        <v>6.5995176009856493E-2</v>
      </c>
      <c r="W178" s="114"/>
      <c r="X178" s="115">
        <v>500</v>
      </c>
    </row>
    <row r="180" spans="1:24" x14ac:dyDescent="0.15">
      <c r="A180" s="131">
        <v>43294</v>
      </c>
      <c r="B180" s="13" t="s">
        <v>172</v>
      </c>
      <c r="C180" s="10" t="s">
        <v>160</v>
      </c>
      <c r="D180" s="10" t="s">
        <v>385</v>
      </c>
      <c r="E180" s="8">
        <f t="shared" ca="1" si="312"/>
        <v>43301</v>
      </c>
      <c r="F180" s="8">
        <f ca="1">E180+H180</f>
        <v>43438</v>
      </c>
      <c r="G180" s="120">
        <v>3500</v>
      </c>
      <c r="H180" s="10">
        <v>137</v>
      </c>
      <c r="I180" s="12">
        <f>(H180)/365</f>
        <v>0.37534246575342467</v>
      </c>
      <c r="J180" s="12">
        <v>0</v>
      </c>
      <c r="K180" s="116">
        <v>0.25</v>
      </c>
      <c r="L180" s="13">
        <f>_xll.dnetGBlackScholesNGreeks("price",$Q180,$P180,$G180,$I180,$C$3,$J180,$K180,$C$4)*R180</f>
        <v>86.834709668057599</v>
      </c>
      <c r="M180" s="15">
        <v>0</v>
      </c>
      <c r="N180" s="13">
        <f t="shared" ref="N180" si="334">M180/10000*I180*P180</f>
        <v>0</v>
      </c>
      <c r="O180" s="13">
        <f>IF(L180&lt;=0,ABS(L180)+N180,L180-N180)</f>
        <v>86.834709668057599</v>
      </c>
      <c r="P180" s="11">
        <f>RTD("wdf.rtq",,D180,"LastPrice")</f>
        <v>3866</v>
      </c>
      <c r="Q180" s="10" t="s">
        <v>386</v>
      </c>
      <c r="R180" s="10">
        <f t="shared" ref="R180" si="335">IF(S180="中金买入",1,-1)</f>
        <v>1</v>
      </c>
      <c r="S180" s="10" t="s">
        <v>151</v>
      </c>
      <c r="T180" s="14">
        <f t="shared" ref="T180" si="336">O180/P180</f>
        <v>2.2461125108136987E-2</v>
      </c>
      <c r="U180" s="13">
        <f>_xll.dnetGBlackScholesNGreeks("delta",$Q180,$P180,$G180,$I180,$C$3,$J180,$K180,$C$4)*R180</f>
        <v>-0.23218877795443404</v>
      </c>
      <c r="V180" s="13">
        <f>_xll.dnetGBlackScholesNGreeks("vega",$Q180,$P180,$G180,$I180,$C$3,$J180,$K180,$C$4)*R180</f>
        <v>7.2038503725588043</v>
      </c>
      <c r="W180" s="114"/>
      <c r="X180" s="115">
        <v>500</v>
      </c>
    </row>
    <row r="181" spans="1:24" x14ac:dyDescent="0.15">
      <c r="A181" s="131">
        <v>43294</v>
      </c>
      <c r="B181" s="13" t="s">
        <v>172</v>
      </c>
      <c r="C181" s="10" t="s">
        <v>160</v>
      </c>
      <c r="D181" s="10" t="s">
        <v>385</v>
      </c>
      <c r="E181" s="8">
        <f t="shared" ca="1" si="312"/>
        <v>43301</v>
      </c>
      <c r="F181" s="8">
        <f ca="1">E181+H181</f>
        <v>43438</v>
      </c>
      <c r="G181" s="120">
        <v>3300</v>
      </c>
      <c r="H181" s="10">
        <v>137</v>
      </c>
      <c r="I181" s="12">
        <f>(H181)/365</f>
        <v>0.37534246575342467</v>
      </c>
      <c r="J181" s="12">
        <v>0</v>
      </c>
      <c r="K181" s="116">
        <v>0.25</v>
      </c>
      <c r="L181" s="13">
        <f>_xll.dnetGBlackScholesNGreeks("price",$Q181,$P181,$G181,$I181,$C$3,$J181,$K181,$C$4)*R181</f>
        <v>42.343549191884108</v>
      </c>
      <c r="M181" s="15">
        <v>0</v>
      </c>
      <c r="N181" s="13">
        <f t="shared" ref="N181" si="337">M181/10000*I181*P181</f>
        <v>0</v>
      </c>
      <c r="O181" s="13">
        <f>IF(L181&lt;=0,ABS(L181)+N181,L181-N181)</f>
        <v>42.343549191884108</v>
      </c>
      <c r="P181" s="11">
        <f>RTD("wdf.rtq",,D181,"LastPrice")</f>
        <v>3866</v>
      </c>
      <c r="Q181" s="10" t="s">
        <v>386</v>
      </c>
      <c r="R181" s="10">
        <f t="shared" ref="R181" si="338">IF(S181="中金买入",1,-1)</f>
        <v>1</v>
      </c>
      <c r="S181" s="10" t="s">
        <v>151</v>
      </c>
      <c r="T181" s="14">
        <f t="shared" ref="T181" si="339">O181/P181</f>
        <v>1.0952806309333707E-2</v>
      </c>
      <c r="U181" s="13">
        <f>_xll.dnetGBlackScholesNGreeks("delta",$Q181,$P181,$G181,$I181,$C$3,$J181,$K181,$C$4)*R181</f>
        <v>-0.13247815798536067</v>
      </c>
      <c r="V181" s="13">
        <f>_xll.dnetGBlackScholesNGreeks("vega",$Q181,$P181,$G181,$I181,$C$3,$J181,$K181,$C$4)*R181</f>
        <v>5.0615737426419685</v>
      </c>
      <c r="W181" s="114"/>
      <c r="X181" s="115">
        <v>500</v>
      </c>
    </row>
    <row r="183" spans="1:24" x14ac:dyDescent="0.15">
      <c r="A183" s="131">
        <v>43294</v>
      </c>
      <c r="B183" s="13" t="s">
        <v>172</v>
      </c>
      <c r="C183" s="10" t="s">
        <v>160</v>
      </c>
      <c r="D183" s="10" t="s">
        <v>387</v>
      </c>
      <c r="E183" s="8">
        <f t="shared" ca="1" si="312"/>
        <v>43301</v>
      </c>
      <c r="F183" s="8">
        <f ca="1">E183+H183</f>
        <v>43393</v>
      </c>
      <c r="G183" s="120">
        <v>92640</v>
      </c>
      <c r="H183" s="10">
        <v>92</v>
      </c>
      <c r="I183" s="12">
        <f>(H183)/365</f>
        <v>0.25205479452054796</v>
      </c>
      <c r="J183" s="12">
        <v>0</v>
      </c>
      <c r="K183" s="116">
        <v>0.27</v>
      </c>
      <c r="L183" s="13">
        <f>_xll.dnetGBlackScholesNGreeks("price",$Q183,$P183,$G183,$I183,$C$3,$J183,$K183,$C$4)*R183</f>
        <v>691.1123564513</v>
      </c>
      <c r="M183" s="15">
        <v>0</v>
      </c>
      <c r="N183" s="13">
        <f t="shared" ref="N183" si="340">M183/10000*I183*P183</f>
        <v>0</v>
      </c>
      <c r="O183" s="13">
        <f>IF(L183&lt;=0,ABS(L183)+N183,L183-N183)</f>
        <v>691.1123564513</v>
      </c>
      <c r="P183" s="11">
        <f>RTD("wdf.rtq",,D183,"LastPrice")</f>
        <v>109700</v>
      </c>
      <c r="Q183" s="10" t="s">
        <v>386</v>
      </c>
      <c r="R183" s="10">
        <f t="shared" ref="R183" si="341">IF(S183="中金买入",1,-1)</f>
        <v>1</v>
      </c>
      <c r="S183" s="10" t="s">
        <v>151</v>
      </c>
      <c r="T183" s="14">
        <f t="shared" ref="T183" si="342">O183/P183</f>
        <v>6.3000214808687331E-3</v>
      </c>
      <c r="U183" s="13">
        <f>_xll.dnetGBlackScholesNGreeks("delta",$Q183,$P183,$G183,$I183,$C$3,$J183,$K183,$C$4)*R183</f>
        <v>-9.3827027467341395E-2</v>
      </c>
      <c r="V183" s="13">
        <f>_xll.dnetGBlackScholesNGreeks("vega",$Q183,$P183,$G183,$I183,$C$3,$J183,$K183,$C$4)*R183</f>
        <v>92.068430569365773</v>
      </c>
      <c r="W183" s="114"/>
      <c r="X183" s="115">
        <v>500</v>
      </c>
    </row>
    <row r="184" spans="1:24" x14ac:dyDescent="0.15">
      <c r="A184" s="131">
        <v>43294</v>
      </c>
      <c r="B184" s="13" t="s">
        <v>172</v>
      </c>
      <c r="C184" s="10" t="s">
        <v>160</v>
      </c>
      <c r="D184" s="10" t="s">
        <v>387</v>
      </c>
      <c r="E184" s="8">
        <f t="shared" ca="1" si="312"/>
        <v>43301</v>
      </c>
      <c r="F184" s="8">
        <f ca="1">E184+H184</f>
        <v>43393</v>
      </c>
      <c r="G184" s="120">
        <f>P184+P183-G183</f>
        <v>126760</v>
      </c>
      <c r="H184" s="10">
        <v>92</v>
      </c>
      <c r="I184" s="12">
        <f>(H184)/365</f>
        <v>0.25205479452054796</v>
      </c>
      <c r="J184" s="12">
        <v>0</v>
      </c>
      <c r="K184" s="116">
        <v>0.27</v>
      </c>
      <c r="L184" s="13">
        <f>_xll.dnetGBlackScholesNGreeks("price",$Q184,$P184,$G184,$I184,$C$3,$J184,$K184,$C$4)*R184</f>
        <v>1164.2317651826943</v>
      </c>
      <c r="M184" s="15">
        <v>0</v>
      </c>
      <c r="N184" s="13">
        <f t="shared" ref="N184" si="343">M184/10000*I184*P184</f>
        <v>0</v>
      </c>
      <c r="O184" s="13">
        <f>IF(L184&lt;=0,ABS(L184)+N184,L184-N184)</f>
        <v>1164.2317651826943</v>
      </c>
      <c r="P184" s="11">
        <f>RTD("wdf.rtq",,D184,"LastPrice")</f>
        <v>109700</v>
      </c>
      <c r="Q184" s="10" t="s">
        <v>384</v>
      </c>
      <c r="R184" s="10">
        <f t="shared" ref="R184" si="344">IF(S184="中金买入",1,-1)</f>
        <v>1</v>
      </c>
      <c r="S184" s="10" t="s">
        <v>151</v>
      </c>
      <c r="T184" s="14">
        <f t="shared" ref="T184" si="345">O184/P184</f>
        <v>1.0612869327098397E-2</v>
      </c>
      <c r="U184" s="13">
        <f>_xll.dnetGBlackScholesNGreeks("delta",$Q184,$P184,$G184,$I184,$C$3,$J184,$K184,$C$4)*R184</f>
        <v>0.15820385688130045</v>
      </c>
      <c r="V184" s="13">
        <f>_xll.dnetGBlackScholesNGreeks("vega",$Q184,$P184,$G184,$I184,$C$3,$J184,$K184,$C$4)*R184</f>
        <v>132.72102295655986</v>
      </c>
      <c r="W184" s="114"/>
      <c r="X184" s="115">
        <v>500</v>
      </c>
    </row>
    <row r="186" spans="1:24" x14ac:dyDescent="0.15">
      <c r="A186" s="131">
        <v>43294</v>
      </c>
      <c r="B186" s="13" t="s">
        <v>172</v>
      </c>
      <c r="C186" s="10" t="s">
        <v>160</v>
      </c>
      <c r="D186" s="10" t="s">
        <v>387</v>
      </c>
      <c r="E186" s="8">
        <f t="shared" ca="1" si="312"/>
        <v>43301</v>
      </c>
      <c r="F186" s="8">
        <f ca="1">E186+H186</f>
        <v>43393</v>
      </c>
      <c r="G186" s="120">
        <v>111210</v>
      </c>
      <c r="H186" s="10">
        <v>92</v>
      </c>
      <c r="I186" s="12">
        <f>(H186)/365</f>
        <v>0.25205479452054796</v>
      </c>
      <c r="J186" s="12">
        <v>0</v>
      </c>
      <c r="K186" s="116">
        <v>0.27</v>
      </c>
      <c r="L186" s="13">
        <f>_xll.dnetGBlackScholesNGreeks("price",$Q186,$P186,$G186,$I186,$C$3,$J186,$K186,$C$4)*R186</f>
        <v>561.64148914168618</v>
      </c>
      <c r="M186" s="15">
        <v>0</v>
      </c>
      <c r="N186" s="13">
        <f t="shared" ref="N186" si="346">M186/10000*I186*P186</f>
        <v>0</v>
      </c>
      <c r="O186" s="13">
        <f>IF(L186&lt;=0,ABS(L186)+N186,L186-N186)</f>
        <v>561.64148914168618</v>
      </c>
      <c r="P186" s="11">
        <v>92640</v>
      </c>
      <c r="Q186" s="10" t="s">
        <v>384</v>
      </c>
      <c r="R186" s="10">
        <f t="shared" ref="R186" si="347">IF(S186="中金买入",1,-1)</f>
        <v>1</v>
      </c>
      <c r="S186" s="10" t="s">
        <v>151</v>
      </c>
      <c r="T186" s="14">
        <f t="shared" ref="T186" si="348">O186/P186</f>
        <v>6.0626240192323639E-3</v>
      </c>
      <c r="U186" s="13">
        <f>_xll.dnetGBlackScholesNGreeks("delta",$Q186,$P186,$G186,$I186,$C$3,$J186,$K186,$C$4)*R186</f>
        <v>9.9764211699948646E-2</v>
      </c>
      <c r="V186" s="13">
        <f>_xll.dnetGBlackScholesNGreeks("vega",$Q186,$P186,$G186,$I186,$C$3,$J186,$K186,$C$4)*R186</f>
        <v>81.332520739841129</v>
      </c>
      <c r="W186" s="114"/>
      <c r="X186" s="115">
        <v>500</v>
      </c>
    </row>
    <row r="188" spans="1:24" x14ac:dyDescent="0.15">
      <c r="A188" s="131">
        <v>43294</v>
      </c>
      <c r="B188" s="13" t="s">
        <v>172</v>
      </c>
      <c r="C188" s="10" t="s">
        <v>160</v>
      </c>
      <c r="D188" s="10" t="s">
        <v>389</v>
      </c>
      <c r="E188" s="8">
        <f t="shared" ca="1" si="312"/>
        <v>43301</v>
      </c>
      <c r="F188" s="8">
        <f ca="1">E188+H188</f>
        <v>43332</v>
      </c>
      <c r="G188" s="120">
        <v>100</v>
      </c>
      <c r="H188" s="10">
        <v>31</v>
      </c>
      <c r="I188" s="12">
        <f>(H188)/365</f>
        <v>8.4931506849315067E-2</v>
      </c>
      <c r="J188" s="12">
        <v>0</v>
      </c>
      <c r="K188" s="116">
        <v>6.25E-2</v>
      </c>
      <c r="L188" s="13">
        <f>_xll.dnetGBlackScholesNGreeks("price",$Q188,$P188,$G188,$I188,$C$3,$J188,$K188,$C$4)*R188</f>
        <v>0.72540540757271543</v>
      </c>
      <c r="M188" s="15">
        <v>0</v>
      </c>
      <c r="N188" s="13">
        <f t="shared" ref="N188" si="349">M188/10000*I188*P188</f>
        <v>0</v>
      </c>
      <c r="O188" s="13">
        <f>IF(L188&lt;=0,ABS(L188)+N188,L188-N188)</f>
        <v>0.72540540757271543</v>
      </c>
      <c r="P188" s="11">
        <v>100</v>
      </c>
      <c r="Q188" s="10" t="s">
        <v>384</v>
      </c>
      <c r="R188" s="10">
        <f t="shared" ref="R188" si="350">IF(S188="中金买入",1,-1)</f>
        <v>1</v>
      </c>
      <c r="S188" s="10" t="s">
        <v>151</v>
      </c>
      <c r="T188" s="14">
        <f t="shared" ref="T188" si="351">O188/P188</f>
        <v>7.2540540757271539E-3</v>
      </c>
      <c r="U188" s="13">
        <f>_xll.dnetGBlackScholesNGreeks("delta",$Q188,$P188,$G188,$I188,$C$3,$J188,$K188,$C$4)*R188</f>
        <v>0.50277837823635707</v>
      </c>
      <c r="V188" s="13">
        <f>_xll.dnetGBlackScholesNGreeks("vega",$Q188,$P188,$G188,$I188,$C$3,$J188,$K188,$C$4)*R188</f>
        <v>0.11606161533607917</v>
      </c>
      <c r="W188" s="114"/>
      <c r="X188" s="115">
        <v>500</v>
      </c>
    </row>
    <row r="189" spans="1:24" x14ac:dyDescent="0.15">
      <c r="A189" s="131">
        <v>43294</v>
      </c>
      <c r="B189" s="13" t="s">
        <v>172</v>
      </c>
      <c r="C189" s="10" t="s">
        <v>160</v>
      </c>
      <c r="D189" s="10" t="s">
        <v>192</v>
      </c>
      <c r="E189" s="8">
        <f t="shared" ca="1" si="312"/>
        <v>43301</v>
      </c>
      <c r="F189" s="8">
        <f ca="1">E189+H189</f>
        <v>43332</v>
      </c>
      <c r="G189" s="120">
        <v>3800</v>
      </c>
      <c r="H189" s="10">
        <v>31</v>
      </c>
      <c r="I189" s="12">
        <f>(H189)/365</f>
        <v>8.4931506849315067E-2</v>
      </c>
      <c r="J189" s="12">
        <v>0</v>
      </c>
      <c r="K189" s="116">
        <v>0.25</v>
      </c>
      <c r="L189" s="13">
        <f>_xll.dnetGBlackScholesNGreeks("price",$Q189,$P189,$G189,$I189,$C$3,$J189,$K189,$C$4)*R189</f>
        <v>-3793.5506845309692</v>
      </c>
      <c r="M189" s="15">
        <v>0</v>
      </c>
      <c r="N189" s="13">
        <f t="shared" ref="N189" si="352">M189/10000*I189*P189</f>
        <v>0</v>
      </c>
      <c r="O189" s="13">
        <f>IF(L189&lt;=0,ABS(L189)+N189,L189-N189)</f>
        <v>3793.5506845309692</v>
      </c>
      <c r="P189" s="11">
        <f>RTD("wdf.rtq",,D189,"LastPrice")</f>
        <v>0</v>
      </c>
      <c r="Q189" s="10" t="s">
        <v>25</v>
      </c>
      <c r="R189" s="10">
        <f t="shared" ref="R189" si="353">IF(S189="中金买入",1,-1)</f>
        <v>-1</v>
      </c>
      <c r="S189" s="10" t="s">
        <v>20</v>
      </c>
      <c r="T189" s="14" t="e">
        <f t="shared" ref="T189" si="354">O189/P189</f>
        <v>#DIV/0!</v>
      </c>
      <c r="U189" s="13" t="e">
        <f>_xll.dnetGBlackScholesNGreeks("delta",$Q189,$P189,$G189,$I189,$C$3,$J189,$K189,$C$4)*R189</f>
        <v>#VALUE!</v>
      </c>
      <c r="V189" s="13">
        <f>_xll.dnetGBlackScholesNGreeks("vega",$Q189,$P189,$G189,$I189,$C$3,$J189,$K189,$C$4)*R189</f>
        <v>0</v>
      </c>
      <c r="W189" s="114"/>
      <c r="X189" s="115">
        <v>500</v>
      </c>
    </row>
    <row r="191" spans="1:24" x14ac:dyDescent="0.15">
      <c r="A191" s="131">
        <v>43298</v>
      </c>
      <c r="B191" s="13" t="s">
        <v>172</v>
      </c>
      <c r="C191" s="10" t="s">
        <v>160</v>
      </c>
      <c r="D191" s="10" t="s">
        <v>310</v>
      </c>
      <c r="E191" s="8">
        <f t="shared" ca="1" si="312"/>
        <v>43301</v>
      </c>
      <c r="F191" s="8">
        <f ca="1">E191+H191</f>
        <v>43331</v>
      </c>
      <c r="G191" s="120">
        <v>100</v>
      </c>
      <c r="H191" s="10">
        <v>30</v>
      </c>
      <c r="I191" s="12">
        <f>(H191)/365</f>
        <v>8.2191780821917804E-2</v>
      </c>
      <c r="J191" s="12">
        <v>0</v>
      </c>
      <c r="K191" s="116">
        <v>0.13</v>
      </c>
      <c r="L191" s="13">
        <f>_xll.dnetGBlackScholesNGreeks("price",$Q191,$P191,$G191,$I191,$C$3,$J191,$K191,$C$4)*R191</f>
        <v>1.4843235213826489</v>
      </c>
      <c r="M191" s="15">
        <v>0</v>
      </c>
      <c r="N191" s="13">
        <f t="shared" ref="N191:N192" si="355">M191/10000*I191*P191</f>
        <v>0</v>
      </c>
      <c r="O191" s="13">
        <f>IF(L191&lt;=0,ABS(L191)+N191,L191-N191)</f>
        <v>1.4843235213826489</v>
      </c>
      <c r="P191" s="11">
        <v>100</v>
      </c>
      <c r="Q191" s="10" t="s">
        <v>24</v>
      </c>
      <c r="R191" s="10">
        <f t="shared" ref="R191:R192" si="356">IF(S191="中金买入",1,-1)</f>
        <v>1</v>
      </c>
      <c r="S191" s="10" t="s">
        <v>151</v>
      </c>
      <c r="T191" s="14">
        <f t="shared" ref="T191:T192" si="357">O191/P191</f>
        <v>1.4843235213826489E-2</v>
      </c>
      <c r="U191" s="13">
        <f>_xll.dnetGBlackScholesNGreeks("delta",$Q191,$P191,$G191,$I191,$C$3,$J191,$K191,$C$4)*R191</f>
        <v>0.50660034826606193</v>
      </c>
      <c r="V191" s="13">
        <f>_xll.dnetGBlackScholesNGreeks("vega",$Q191,$P191,$G191,$I191,$C$3,$J191,$K191,$C$4)*R191</f>
        <v>0.11416547736249072</v>
      </c>
      <c r="W191" s="114"/>
      <c r="X191" s="115">
        <v>500</v>
      </c>
    </row>
    <row r="192" spans="1:24" x14ac:dyDescent="0.15">
      <c r="A192" s="131">
        <v>43298</v>
      </c>
      <c r="B192" s="13" t="s">
        <v>172</v>
      </c>
      <c r="C192" s="10" t="s">
        <v>160</v>
      </c>
      <c r="D192" s="10" t="s">
        <v>215</v>
      </c>
      <c r="E192" s="8">
        <f t="shared" ca="1" si="312"/>
        <v>43301</v>
      </c>
      <c r="F192" s="8">
        <f ca="1">E192+H192</f>
        <v>43332</v>
      </c>
      <c r="G192" s="120">
        <v>100</v>
      </c>
      <c r="H192" s="10">
        <v>31</v>
      </c>
      <c r="I192" s="12">
        <f>(H192)/365</f>
        <v>8.4931506849315067E-2</v>
      </c>
      <c r="J192" s="12">
        <v>0</v>
      </c>
      <c r="K192" s="116">
        <v>0.21</v>
      </c>
      <c r="L192" s="13">
        <f>_xll.dnetGBlackScholesNGreeks("price",$Q192,$P192,$G192,$I192,$C$3,$J192,$K192,$C$4)*R192</f>
        <v>-2.437015531752337</v>
      </c>
      <c r="M192" s="15">
        <v>0</v>
      </c>
      <c r="N192" s="13">
        <f t="shared" si="355"/>
        <v>0</v>
      </c>
      <c r="O192" s="13">
        <f>IF(L192&lt;=0,ABS(L192)+N192,L192-N192)</f>
        <v>2.437015531752337</v>
      </c>
      <c r="P192" s="11">
        <v>100</v>
      </c>
      <c r="Q192" s="10" t="s">
        <v>24</v>
      </c>
      <c r="R192" s="10">
        <f t="shared" si="356"/>
        <v>-1</v>
      </c>
      <c r="S192" s="10" t="s">
        <v>20</v>
      </c>
      <c r="T192" s="14">
        <f t="shared" si="357"/>
        <v>2.437015531752337E-2</v>
      </c>
      <c r="U192" s="13">
        <f>_xll.dnetGBlackScholesNGreeks("delta",$Q192,$P192,$G192,$I192,$C$3,$J192,$K192,$C$4)*R192</f>
        <v>-0.51133646725673998</v>
      </c>
      <c r="V192" s="13">
        <f>_xll.dnetGBlackScholesNGreeks("vega",$Q192,$P192,$G192,$I192,$C$3,$J192,$K192,$C$4)*R192</f>
        <v>-0.11601210076558033</v>
      </c>
      <c r="W192" s="114"/>
      <c r="X192" s="115">
        <v>500</v>
      </c>
    </row>
    <row r="194" spans="1:24" x14ac:dyDescent="0.15">
      <c r="A194" s="131">
        <v>43298</v>
      </c>
      <c r="B194" s="13" t="s">
        <v>172</v>
      </c>
      <c r="C194" s="10" t="s">
        <v>160</v>
      </c>
      <c r="D194" s="10" t="s">
        <v>398</v>
      </c>
      <c r="E194" s="8">
        <f t="shared" ca="1" si="312"/>
        <v>43301</v>
      </c>
      <c r="F194" s="8">
        <f ca="1">E194+H194</f>
        <v>43363</v>
      </c>
      <c r="G194" s="120">
        <v>5000</v>
      </c>
      <c r="H194" s="10">
        <v>62</v>
      </c>
      <c r="I194" s="12">
        <f>(H194)/365</f>
        <v>0.16986301369863013</v>
      </c>
      <c r="J194" s="12">
        <v>0</v>
      </c>
      <c r="K194" s="116">
        <v>0.15</v>
      </c>
      <c r="L194" s="13">
        <f>_xll.dnetGBlackScholesNGreeks("price",$Q194,$P194,$G194,$I194,$C$3,$J194,$K194,$C$4)*R194</f>
        <v>-78.255446425911714</v>
      </c>
      <c r="M194" s="15">
        <v>0</v>
      </c>
      <c r="N194" s="13">
        <f t="shared" ref="N194" si="358">M194/10000*I194*P194</f>
        <v>0</v>
      </c>
      <c r="O194" s="13">
        <f>IF(L194&lt;=0,ABS(L194)+N194,L194-N194)</f>
        <v>78.255446425911714</v>
      </c>
      <c r="P194" s="11">
        <v>4900</v>
      </c>
      <c r="Q194" s="10" t="s">
        <v>24</v>
      </c>
      <c r="R194" s="10">
        <f t="shared" ref="R194" si="359">IF(S194="中金买入",1,-1)</f>
        <v>-1</v>
      </c>
      <c r="S194" s="10" t="s">
        <v>20</v>
      </c>
      <c r="T194" s="14">
        <f t="shared" ref="T194" si="360">O194/P194</f>
        <v>1.5970499270594227E-2</v>
      </c>
      <c r="U194" s="13">
        <f>_xll.dnetGBlackScholesNGreeks("delta",$Q194,$P194,$G194,$I194,$C$3,$J194,$K194,$C$4)*R194</f>
        <v>-0.38235995369859666</v>
      </c>
      <c r="V194" s="13">
        <f>_xll.dnetGBlackScholesNGreeks("vega",$Q194,$P194,$G194,$I194,$C$3,$J194,$K194,$C$4)*R194</f>
        <v>-7.6836913301618779</v>
      </c>
      <c r="W194" s="114"/>
      <c r="X194" s="115">
        <v>500</v>
      </c>
    </row>
    <row r="196" spans="1:24" x14ac:dyDescent="0.15">
      <c r="A196" s="131">
        <v>43298</v>
      </c>
      <c r="B196" s="13" t="s">
        <v>172</v>
      </c>
      <c r="C196" s="10" t="s">
        <v>160</v>
      </c>
      <c r="D196" s="10" t="s">
        <v>253</v>
      </c>
      <c r="E196" s="8">
        <v>43313</v>
      </c>
      <c r="F196" s="8">
        <f>E196+H196</f>
        <v>43388</v>
      </c>
      <c r="G196" s="120">
        <v>1700</v>
      </c>
      <c r="H196" s="10">
        <v>75</v>
      </c>
      <c r="I196" s="12">
        <f>(H196)/365</f>
        <v>0.20547945205479451</v>
      </c>
      <c r="J196" s="12">
        <v>0</v>
      </c>
      <c r="K196" s="116">
        <v>0.13800000000000001</v>
      </c>
      <c r="L196" s="13">
        <f>_xll.dnetGBlackScholesNGreeks("price",$Q196,$P196,$G196,$I196,$C$3,$J196,$K196,$C$4)*R196</f>
        <v>-1693.0280343991474</v>
      </c>
      <c r="M196" s="15">
        <v>97.33</v>
      </c>
      <c r="N196" s="13">
        <f t="shared" ref="N196:N198" si="361">M196/10000*I196*P196</f>
        <v>0</v>
      </c>
      <c r="O196" s="13">
        <f>IF(L196&lt;=0,ABS(L196)+N196,L196-N196)</f>
        <v>1693.0280343991474</v>
      </c>
      <c r="P196" s="11">
        <f>RTD("wdf.rtq",,D196,"LastPrice")</f>
        <v>0</v>
      </c>
      <c r="Q196" s="10" t="s">
        <v>263</v>
      </c>
      <c r="R196" s="10">
        <f t="shared" ref="R196:R198" si="362">IF(S196="中金买入",1,-1)</f>
        <v>-1</v>
      </c>
      <c r="S196" s="10" t="s">
        <v>20</v>
      </c>
      <c r="T196" s="14" t="e">
        <f t="shared" ref="T196:T198" si="363">O196/P196</f>
        <v>#DIV/0!</v>
      </c>
      <c r="U196" s="13" t="e">
        <f>_xll.dnetGBlackScholesNGreeks("delta",$Q196,$P196,$G196,$I196,$C$3,$J196,$K196,$C$4)*R196</f>
        <v>#VALUE!</v>
      </c>
      <c r="V196" s="13">
        <f>_xll.dnetGBlackScholesNGreeks("vega",$Q196,$P196,$G196,$I196,$C$3,$J196,$K196,$C$4)*R196</f>
        <v>0</v>
      </c>
      <c r="W196" s="114"/>
      <c r="X196" s="115">
        <v>500</v>
      </c>
    </row>
    <row r="197" spans="1:24" x14ac:dyDescent="0.15">
      <c r="A197" s="131">
        <v>43298</v>
      </c>
      <c r="B197" s="13" t="s">
        <v>172</v>
      </c>
      <c r="C197" s="10" t="s">
        <v>160</v>
      </c>
      <c r="D197" s="10" t="s">
        <v>253</v>
      </c>
      <c r="E197" s="8">
        <v>43313</v>
      </c>
      <c r="F197" s="8">
        <f>E197+H197</f>
        <v>43388</v>
      </c>
      <c r="G197" s="120">
        <v>1800</v>
      </c>
      <c r="H197" s="10">
        <v>75</v>
      </c>
      <c r="I197" s="12">
        <f>(H197)/365</f>
        <v>0.20547945205479451</v>
      </c>
      <c r="J197" s="12">
        <v>0</v>
      </c>
      <c r="K197" s="116">
        <v>0.13800000000000001</v>
      </c>
      <c r="L197" s="13">
        <f>_xll.dnetGBlackScholesNGreeks("price",$Q197,$P197,$G197,$I197,$C$3,$J197,$K197,$C$4)*R197</f>
        <v>-1792.6179187755679</v>
      </c>
      <c r="M197" s="15">
        <v>97.33</v>
      </c>
      <c r="N197" s="13">
        <f t="shared" si="361"/>
        <v>0</v>
      </c>
      <c r="O197" s="13">
        <f>IF(L197&lt;=0,ABS(L197)+N197,L197-N197)</f>
        <v>1792.6179187755679</v>
      </c>
      <c r="P197" s="11">
        <f>RTD("wdf.rtq",,D197,"LastPrice")</f>
        <v>0</v>
      </c>
      <c r="Q197" s="10" t="s">
        <v>263</v>
      </c>
      <c r="R197" s="10">
        <f t="shared" si="362"/>
        <v>-1</v>
      </c>
      <c r="S197" s="10" t="s">
        <v>20</v>
      </c>
      <c r="T197" s="14" t="e">
        <f t="shared" si="363"/>
        <v>#DIV/0!</v>
      </c>
      <c r="U197" s="13" t="e">
        <f>_xll.dnetGBlackScholesNGreeks("delta",$Q197,$P197,$G197,$I197,$C$3,$J197,$K197,$C$4)*R197</f>
        <v>#VALUE!</v>
      </c>
      <c r="V197" s="13">
        <f>_xll.dnetGBlackScholesNGreeks("vega",$Q197,$P197,$G197,$I197,$C$3,$J197,$K197,$C$4)*R197</f>
        <v>0</v>
      </c>
      <c r="W197" s="114"/>
      <c r="X197" s="115">
        <v>500</v>
      </c>
    </row>
    <row r="198" spans="1:24" x14ac:dyDescent="0.15">
      <c r="A198" s="131">
        <v>43298</v>
      </c>
      <c r="B198" s="13" t="s">
        <v>172</v>
      </c>
      <c r="C198" s="10" t="s">
        <v>160</v>
      </c>
      <c r="D198" s="10" t="s">
        <v>253</v>
      </c>
      <c r="E198" s="8">
        <v>43313</v>
      </c>
      <c r="F198" s="8">
        <f>E198+H198</f>
        <v>43388</v>
      </c>
      <c r="G198" s="120">
        <v>1900</v>
      </c>
      <c r="H198" s="10">
        <v>75</v>
      </c>
      <c r="I198" s="12">
        <f>(H198)/365</f>
        <v>0.20547945205479451</v>
      </c>
      <c r="J198" s="12">
        <v>0</v>
      </c>
      <c r="K198" s="116">
        <v>0.13800000000000001</v>
      </c>
      <c r="L198" s="13">
        <f>_xll.dnetGBlackScholesNGreeks("price",$Q198,$P198,$G198,$I198,$C$3,$J198,$K198,$C$4)*R198</f>
        <v>-1892.2078031519882</v>
      </c>
      <c r="M198" s="15">
        <v>97.33</v>
      </c>
      <c r="N198" s="13">
        <f t="shared" si="361"/>
        <v>0</v>
      </c>
      <c r="O198" s="13">
        <f>IF(L198&lt;=0,ABS(L198)+N198,L198-N198)</f>
        <v>1892.2078031519882</v>
      </c>
      <c r="P198" s="11">
        <f>RTD("wdf.rtq",,D198,"LastPrice")</f>
        <v>0</v>
      </c>
      <c r="Q198" s="10" t="s">
        <v>263</v>
      </c>
      <c r="R198" s="10">
        <f t="shared" si="362"/>
        <v>-1</v>
      </c>
      <c r="S198" s="10" t="s">
        <v>20</v>
      </c>
      <c r="T198" s="14" t="e">
        <f t="shared" si="363"/>
        <v>#DIV/0!</v>
      </c>
      <c r="U198" s="13" t="e">
        <f>_xll.dnetGBlackScholesNGreeks("delta",$Q198,$P198,$G198,$I198,$C$3,$J198,$K198,$C$4)*R198</f>
        <v>#VALUE!</v>
      </c>
      <c r="V198" s="13">
        <f>_xll.dnetGBlackScholesNGreeks("vega",$Q198,$P198,$G198,$I198,$C$3,$J198,$K198,$C$4)*R198</f>
        <v>0</v>
      </c>
      <c r="W198" s="114"/>
      <c r="X198" s="115">
        <v>500</v>
      </c>
    </row>
    <row r="199" spans="1:24" x14ac:dyDescent="0.15">
      <c r="A199" s="131">
        <v>43298</v>
      </c>
      <c r="B199" s="13" t="s">
        <v>172</v>
      </c>
      <c r="C199" s="10" t="s">
        <v>160</v>
      </c>
      <c r="D199" s="10" t="s">
        <v>253</v>
      </c>
      <c r="E199" s="8">
        <v>43313</v>
      </c>
      <c r="F199" s="8">
        <f>E199+H199</f>
        <v>43388</v>
      </c>
      <c r="G199" s="120">
        <f>P196-G196+P196</f>
        <v>-1700</v>
      </c>
      <c r="H199" s="10">
        <v>75</v>
      </c>
      <c r="I199" s="12">
        <f>(H199)/365</f>
        <v>0.20547945205479451</v>
      </c>
      <c r="J199" s="12">
        <v>0</v>
      </c>
      <c r="K199" s="116">
        <v>0.13800000000000001</v>
      </c>
      <c r="L199" s="13">
        <f>_xll.dnetGBlackScholesNGreeks("price",$Q199,$P199,$G199,$I199,$C$3,$J199,$K199,$C$4)*R199</f>
        <v>0</v>
      </c>
      <c r="M199" s="15">
        <v>97.33</v>
      </c>
      <c r="N199" s="13">
        <f t="shared" ref="N199" si="364">M199/10000*I199*P199</f>
        <v>0</v>
      </c>
      <c r="O199" s="13">
        <f>IF(L199&lt;=0,ABS(L199)+N199,L199-N199)</f>
        <v>0</v>
      </c>
      <c r="P199" s="11">
        <f>RTD("wdf.rtq",,D199,"LastPrice")</f>
        <v>0</v>
      </c>
      <c r="Q199" s="10" t="s">
        <v>39</v>
      </c>
      <c r="R199" s="10">
        <f t="shared" ref="R199" si="365">IF(S199="中金买入",1,-1)</f>
        <v>-1</v>
      </c>
      <c r="S199" s="10" t="s">
        <v>20</v>
      </c>
      <c r="T199" s="14" t="e">
        <f t="shared" ref="T199" si="366">O199/P199</f>
        <v>#DIV/0!</v>
      </c>
      <c r="U199" s="13" t="e">
        <f>_xll.dnetGBlackScholesNGreeks("delta",$Q199,$P199,$G199,$I199,$C$3,$J199,$K199,$C$4)*R199</f>
        <v>#VALUE!</v>
      </c>
      <c r="V199" s="13">
        <f>_xll.dnetGBlackScholesNGreeks("vega",$Q199,$P199,$G199,$I199,$C$3,$J199,$K199,$C$4)*R199</f>
        <v>0</v>
      </c>
      <c r="W199" s="114"/>
      <c r="X199" s="115">
        <v>500</v>
      </c>
    </row>
    <row r="201" spans="1:24" x14ac:dyDescent="0.15">
      <c r="A201" s="131">
        <v>43298</v>
      </c>
      <c r="B201" s="13" t="s">
        <v>172</v>
      </c>
      <c r="C201" s="10" t="s">
        <v>160</v>
      </c>
      <c r="D201" s="10" t="s">
        <v>400</v>
      </c>
      <c r="E201" s="8">
        <f t="shared" ref="E201:E214" ca="1" si="367">TODAY()</f>
        <v>43301</v>
      </c>
      <c r="F201" s="8">
        <f ca="1">E201+H201</f>
        <v>43363</v>
      </c>
      <c r="G201" s="120">
        <v>3100</v>
      </c>
      <c r="H201" s="10">
        <v>62</v>
      </c>
      <c r="I201" s="12">
        <f>(H201)/365</f>
        <v>0.16986301369863013</v>
      </c>
      <c r="J201" s="12">
        <v>0</v>
      </c>
      <c r="K201" s="116">
        <v>0.24</v>
      </c>
      <c r="L201" s="13">
        <f>_xll.dnetGBlackScholesNGreeks("price",$Q201,$P201,$G201,$I201,$C$3,$J201,$K201,$C$4)*R201</f>
        <v>-76.591430136917097</v>
      </c>
      <c r="M201" s="15">
        <v>0</v>
      </c>
      <c r="N201" s="13">
        <f t="shared" ref="N201" si="368">M201/10000*I201*P201</f>
        <v>0</v>
      </c>
      <c r="O201" s="13">
        <f>IF(L201&lt;=0,ABS(L201)+N201,L201-N201)</f>
        <v>76.591430136917097</v>
      </c>
      <c r="P201" s="11">
        <v>3000</v>
      </c>
      <c r="Q201" s="10" t="s">
        <v>39</v>
      </c>
      <c r="R201" s="10">
        <f t="shared" ref="R201" si="369">IF(S201="中金买入",1,-1)</f>
        <v>-1</v>
      </c>
      <c r="S201" s="10" t="s">
        <v>20</v>
      </c>
      <c r="T201" s="14">
        <f t="shared" ref="T201" si="370">O201/P201</f>
        <v>2.55304767123057E-2</v>
      </c>
      <c r="U201" s="13">
        <f>_xll.dnetGBlackScholesNGreeks("delta",$Q201,$P201,$G201,$I201,$C$3,$J201,$K201,$C$4)*R201</f>
        <v>-0.38763774728067801</v>
      </c>
      <c r="V201" s="13">
        <f>_xll.dnetGBlackScholesNGreeks("vega",$Q201,$P201,$G201,$I201,$C$3,$J201,$K201,$C$4)*R201</f>
        <v>-4.7238033303424345</v>
      </c>
      <c r="W201" s="114"/>
      <c r="X201" s="115">
        <v>500</v>
      </c>
    </row>
    <row r="203" spans="1:24" x14ac:dyDescent="0.15">
      <c r="A203" s="131">
        <v>43298</v>
      </c>
      <c r="B203" s="13" t="s">
        <v>172</v>
      </c>
      <c r="C203" s="10" t="s">
        <v>160</v>
      </c>
      <c r="D203" s="10" t="s">
        <v>410</v>
      </c>
      <c r="E203" s="8">
        <f t="shared" ca="1" si="367"/>
        <v>43301</v>
      </c>
      <c r="F203" s="8">
        <f ca="1">E203+H203</f>
        <v>43365</v>
      </c>
      <c r="G203" s="120">
        <v>100</v>
      </c>
      <c r="H203" s="10">
        <v>64</v>
      </c>
      <c r="I203" s="12">
        <f>(H203)/365</f>
        <v>0.17534246575342466</v>
      </c>
      <c r="J203" s="12">
        <v>0</v>
      </c>
      <c r="K203" s="116">
        <v>0.26250000000000001</v>
      </c>
      <c r="L203" s="13">
        <f>_xll.dnetGBlackScholesNGreeks("price",$Q203,$P203,$G203,$I203,$C$3,$J203,$K203,$C$4)*R203</f>
        <v>-4.3675846651911741</v>
      </c>
      <c r="M203" s="15">
        <v>0</v>
      </c>
      <c r="N203" s="13">
        <f t="shared" ref="N203" si="371">M203/10000*I203*P203</f>
        <v>0</v>
      </c>
      <c r="O203" s="13">
        <f>IF(L203&lt;=0,ABS(L203)+N203,L203-N203)</f>
        <v>4.3675846651911741</v>
      </c>
      <c r="P203" s="11">
        <v>100</v>
      </c>
      <c r="Q203" s="10" t="s">
        <v>85</v>
      </c>
      <c r="R203" s="10">
        <f t="shared" ref="R203" si="372">IF(S203="中金买入",1,-1)</f>
        <v>-1</v>
      </c>
      <c r="S203" s="10" t="s">
        <v>20</v>
      </c>
      <c r="T203" s="14">
        <f t="shared" ref="T203" si="373">O203/P203</f>
        <v>4.3675846651911737E-2</v>
      </c>
      <c r="U203" s="13">
        <f>_xll.dnetGBlackScholesNGreeks("delta",$Q203,$P203,$G203,$I203,$C$3,$J203,$K203,$C$4)*R203</f>
        <v>0.47641173195245301</v>
      </c>
      <c r="V203" s="13">
        <f>_xll.dnetGBlackScholesNGreeks("vega",$Q203,$P203,$G203,$I203,$C$3,$J203,$K203,$C$4)*R203</f>
        <v>-0.16621660031498209</v>
      </c>
      <c r="W203" s="114"/>
      <c r="X203" s="115">
        <v>500</v>
      </c>
    </row>
    <row r="205" spans="1:24" x14ac:dyDescent="0.15">
      <c r="A205" s="131">
        <v>43298</v>
      </c>
      <c r="B205" s="13" t="s">
        <v>172</v>
      </c>
      <c r="C205" s="10" t="s">
        <v>160</v>
      </c>
      <c r="D205" s="10" t="s">
        <v>200</v>
      </c>
      <c r="E205" s="8">
        <f t="shared" ca="1" si="367"/>
        <v>43301</v>
      </c>
      <c r="F205" s="8">
        <f ca="1">E205+H205</f>
        <v>43332</v>
      </c>
      <c r="G205" s="120">
        <v>430</v>
      </c>
      <c r="H205" s="10">
        <v>31</v>
      </c>
      <c r="I205" s="12">
        <f>(H205)/365</f>
        <v>8.4931506849315067E-2</v>
      </c>
      <c r="J205" s="12">
        <v>0</v>
      </c>
      <c r="K205" s="116">
        <v>0.21</v>
      </c>
      <c r="L205" s="13">
        <f>_xll.dnetGBlackScholesNGreeks("price",$Q205,$P205,$G205,$I205,$C$3,$J205,$K205,$C$4)*R205</f>
        <v>1.2542062415416595</v>
      </c>
      <c r="M205" s="15">
        <v>0</v>
      </c>
      <c r="N205" s="13">
        <f t="shared" ref="N205:N206" si="374">M205/10000*I205*P205</f>
        <v>0</v>
      </c>
      <c r="O205" s="13">
        <f>IF(L205&lt;=0,ABS(L205)+N205,L205-N205)</f>
        <v>1.2542062415416595</v>
      </c>
      <c r="P205" s="120">
        <v>465.5</v>
      </c>
      <c r="Q205" s="10" t="s">
        <v>85</v>
      </c>
      <c r="R205" s="10">
        <f t="shared" ref="R205:R206" si="375">IF(S205="中金买入",1,-1)</f>
        <v>1</v>
      </c>
      <c r="S205" s="10" t="s">
        <v>151</v>
      </c>
      <c r="T205" s="14">
        <f t="shared" ref="T205:T206" si="376">O205/P205</f>
        <v>2.6943206048155952E-3</v>
      </c>
      <c r="U205" s="13">
        <f>_xll.dnetGBlackScholesNGreeks("delta",$Q205,$P205,$G205,$I205,$C$3,$J205,$K205,$C$4)*R205</f>
        <v>-9.213339130802467E-2</v>
      </c>
      <c r="V205" s="13">
        <f>_xll.dnetGBlackScholesNGreeks("vega",$Q205,$P205,$G205,$I205,$C$3,$J205,$K205,$C$4)*R205</f>
        <v>0.22387505483051129</v>
      </c>
      <c r="W205" s="114"/>
      <c r="X205" s="115">
        <v>500</v>
      </c>
    </row>
    <row r="206" spans="1:24" x14ac:dyDescent="0.15">
      <c r="A206" s="131">
        <v>43298</v>
      </c>
      <c r="B206" s="13" t="s">
        <v>172</v>
      </c>
      <c r="C206" s="10" t="s">
        <v>160</v>
      </c>
      <c r="D206" s="10" t="s">
        <v>200</v>
      </c>
      <c r="E206" s="8">
        <f t="shared" ca="1" si="367"/>
        <v>43301</v>
      </c>
      <c r="F206" s="8">
        <f ca="1">E206+H206</f>
        <v>43332</v>
      </c>
      <c r="G206" s="120">
        <v>425</v>
      </c>
      <c r="H206" s="10">
        <v>31</v>
      </c>
      <c r="I206" s="12">
        <f>(H206)/365</f>
        <v>8.4931506849315067E-2</v>
      </c>
      <c r="J206" s="12">
        <v>0</v>
      </c>
      <c r="K206" s="116">
        <v>0.21</v>
      </c>
      <c r="L206" s="13">
        <f>_xll.dnetGBlackScholesNGreeks("price",$Q206,$P206,$G206,$I206,$C$3,$J206,$K206,$C$4)*R206</f>
        <v>0.81948858314533979</v>
      </c>
      <c r="M206" s="15">
        <v>0</v>
      </c>
      <c r="N206" s="13">
        <f t="shared" si="374"/>
        <v>0</v>
      </c>
      <c r="O206" s="13">
        <f>IF(L206&lt;=0,ABS(L206)+N206,L206-N206)</f>
        <v>0.81948858314533979</v>
      </c>
      <c r="P206" s="120">
        <v>465.5</v>
      </c>
      <c r="Q206" s="10" t="s">
        <v>85</v>
      </c>
      <c r="R206" s="10">
        <f t="shared" si="375"/>
        <v>1</v>
      </c>
      <c r="S206" s="10" t="s">
        <v>151</v>
      </c>
      <c r="T206" s="14">
        <f t="shared" si="376"/>
        <v>1.7604480840931038E-3</v>
      </c>
      <c r="U206" s="13">
        <f>_xll.dnetGBlackScholesNGreeks("delta",$Q206,$P206,$G206,$I206,$C$3,$J206,$K206,$C$4)*R206</f>
        <v>-6.4410927291369546E-2</v>
      </c>
      <c r="V206" s="13">
        <f>_xll.dnetGBlackScholesNGreeks("vega",$Q206,$P206,$G206,$I206,$C$3,$J206,$K206,$C$4)*R206</f>
        <v>0.17062089165809979</v>
      </c>
      <c r="W206" s="114"/>
      <c r="X206" s="115">
        <v>500</v>
      </c>
    </row>
    <row r="207" spans="1:24" x14ac:dyDescent="0.15">
      <c r="A207" s="131">
        <v>43298</v>
      </c>
      <c r="B207" s="13" t="s">
        <v>172</v>
      </c>
      <c r="C207" s="10" t="s">
        <v>160</v>
      </c>
      <c r="D207" s="10" t="s">
        <v>200</v>
      </c>
      <c r="E207" s="8">
        <f t="shared" ca="1" si="367"/>
        <v>43301</v>
      </c>
      <c r="F207" s="8">
        <f ca="1">E207+H207</f>
        <v>43332</v>
      </c>
      <c r="G207" s="120">
        <v>420</v>
      </c>
      <c r="H207" s="10">
        <v>31</v>
      </c>
      <c r="I207" s="12">
        <f>(H207)/365</f>
        <v>8.4931506849315067E-2</v>
      </c>
      <c r="J207" s="12">
        <v>0</v>
      </c>
      <c r="K207" s="116">
        <v>0.21</v>
      </c>
      <c r="L207" s="13">
        <f>_xll.dnetGBlackScholesNGreeks("price",$Q207,$P207,$G207,$I207,$C$3,$J207,$K207,$C$4)*R207</f>
        <v>0.51761319695118146</v>
      </c>
      <c r="M207" s="15">
        <v>0</v>
      </c>
      <c r="N207" s="13">
        <f t="shared" ref="N207" si="377">M207/10000*I207*P207</f>
        <v>0</v>
      </c>
      <c r="O207" s="13">
        <f>IF(L207&lt;=0,ABS(L207)+N207,L207-N207)</f>
        <v>0.51761319695118146</v>
      </c>
      <c r="P207" s="120">
        <v>465.5</v>
      </c>
      <c r="Q207" s="10" t="s">
        <v>85</v>
      </c>
      <c r="R207" s="10">
        <f t="shared" ref="R207" si="378">IF(S207="中金买入",1,-1)</f>
        <v>1</v>
      </c>
      <c r="S207" s="10" t="s">
        <v>151</v>
      </c>
      <c r="T207" s="14">
        <f t="shared" ref="T207" si="379">O207/P207</f>
        <v>1.1119510138586069E-3</v>
      </c>
      <c r="U207" s="13">
        <f>_xll.dnetGBlackScholesNGreeks("delta",$Q207,$P207,$G207,$I207,$C$3,$J207,$K207,$C$4)*R207</f>
        <v>-4.3442016341010969E-2</v>
      </c>
      <c r="V207" s="13">
        <f>_xll.dnetGBlackScholesNGreeks("vega",$Q207,$P207,$G207,$I207,$C$3,$J207,$K207,$C$4)*R207</f>
        <v>0.12492340733963658</v>
      </c>
      <c r="W207" s="114"/>
      <c r="X207" s="115">
        <v>500</v>
      </c>
    </row>
    <row r="209" spans="1:24" x14ac:dyDescent="0.15">
      <c r="A209" s="131">
        <v>43298</v>
      </c>
      <c r="B209" s="13" t="s">
        <v>172</v>
      </c>
      <c r="C209" s="10" t="s">
        <v>160</v>
      </c>
      <c r="D209" s="10" t="s">
        <v>413</v>
      </c>
      <c r="E209" s="8">
        <f t="shared" ca="1" si="367"/>
        <v>43301</v>
      </c>
      <c r="F209" s="8">
        <f ca="1">E209+H209</f>
        <v>43332</v>
      </c>
      <c r="G209" s="120">
        <f>P209</f>
        <v>48670</v>
      </c>
      <c r="H209" s="10">
        <v>31</v>
      </c>
      <c r="I209" s="12">
        <f>(H209)/365</f>
        <v>8.4931506849315067E-2</v>
      </c>
      <c r="J209" s="12">
        <v>0</v>
      </c>
      <c r="K209" s="116">
        <v>0.2</v>
      </c>
      <c r="L209" s="13">
        <f>_xll.dnetGBlackScholesNGreeks("price",$Q209,$P209,$G209,$I209,$C$3,$J209,$K209,$C$4)*R209</f>
        <v>-1129.6311110439638</v>
      </c>
      <c r="M209" s="15">
        <v>0</v>
      </c>
      <c r="N209" s="13">
        <f t="shared" ref="N209:N210" si="380">M209/10000*I209*P209</f>
        <v>0</v>
      </c>
      <c r="O209" s="13">
        <f>IF(L209&lt;=0,ABS(L209)+N209,L209-N209)</f>
        <v>1129.6311110439638</v>
      </c>
      <c r="P209" s="120">
        <f>RTD("wdf.rtq",,D209,"LastPrice")</f>
        <v>48670</v>
      </c>
      <c r="Q209" s="10" t="s">
        <v>85</v>
      </c>
      <c r="R209" s="10">
        <f t="shared" ref="R209:R210" si="381">IF(S209="中金买入",1,-1)</f>
        <v>-1</v>
      </c>
      <c r="S209" s="10" t="s">
        <v>20</v>
      </c>
      <c r="T209" s="14">
        <f t="shared" ref="T209:T210" si="382">O209/P209</f>
        <v>2.3210008445530384E-2</v>
      </c>
      <c r="U209" s="13">
        <f>_xll.dnetGBlackScholesNGreeks("delta",$Q209,$P209,$G209,$I209,$C$3,$J209,$K209,$C$4)*R209</f>
        <v>0.48754640174593078</v>
      </c>
      <c r="V209" s="13">
        <f>_xll.dnetGBlackScholesNGreeks("vega",$Q209,$P209,$G209,$I209,$C$3,$J209,$K209,$C$4)*R209</f>
        <v>-56.465547185689502</v>
      </c>
      <c r="W209" s="114"/>
      <c r="X209" s="115">
        <v>500</v>
      </c>
    </row>
    <row r="210" spans="1:24" x14ac:dyDescent="0.15">
      <c r="A210" s="131">
        <v>43298</v>
      </c>
      <c r="B210" s="13" t="s">
        <v>172</v>
      </c>
      <c r="C210" s="10" t="s">
        <v>160</v>
      </c>
      <c r="D210" s="10" t="s">
        <v>415</v>
      </c>
      <c r="E210" s="8">
        <f t="shared" ca="1" si="367"/>
        <v>43301</v>
      </c>
      <c r="F210" s="8">
        <f ca="1">E210+H210</f>
        <v>43392</v>
      </c>
      <c r="G210" s="120">
        <f>P210</f>
        <v>48800</v>
      </c>
      <c r="H210" s="10">
        <v>91</v>
      </c>
      <c r="I210" s="12">
        <f>(H210)/365</f>
        <v>0.24931506849315069</v>
      </c>
      <c r="J210" s="12">
        <v>0</v>
      </c>
      <c r="K210" s="116">
        <v>0.2</v>
      </c>
      <c r="L210" s="13">
        <f>_xll.dnetGBlackScholesNGreeks("price",$Q210,$P210,$G210,$I210,$C$3,$J210,$K210,$C$4)*R210</f>
        <v>-1933.6959782718368</v>
      </c>
      <c r="M210" s="15">
        <v>0</v>
      </c>
      <c r="N210" s="13">
        <f t="shared" si="380"/>
        <v>0</v>
      </c>
      <c r="O210" s="13">
        <f>IF(L210&lt;=0,ABS(L210)+N210,L210-N210)</f>
        <v>1933.6959782718368</v>
      </c>
      <c r="P210" s="120">
        <f>RTD("wdf.rtq",,D210,"LastPrice")</f>
        <v>48800</v>
      </c>
      <c r="Q210" s="10" t="s">
        <v>85</v>
      </c>
      <c r="R210" s="10">
        <f t="shared" si="381"/>
        <v>-1</v>
      </c>
      <c r="S210" s="10" t="s">
        <v>20</v>
      </c>
      <c r="T210" s="14">
        <f t="shared" si="382"/>
        <v>3.9624917587537639E-2</v>
      </c>
      <c r="U210" s="13">
        <f>_xll.dnetGBlackScholesNGreeks("delta",$Q210,$P210,$G210,$I210,$C$3,$J210,$K210,$C$4)*R210</f>
        <v>0.47770059609320015</v>
      </c>
      <c r="V210" s="13">
        <f>_xll.dnetGBlackScholesNGreeks("vega",$Q210,$P210,$G210,$I210,$C$3,$J210,$K210,$C$4)*R210</f>
        <v>-96.604375592463839</v>
      </c>
      <c r="W210" s="114"/>
      <c r="X210" s="115">
        <v>500</v>
      </c>
    </row>
    <row r="212" spans="1:24" x14ac:dyDescent="0.15">
      <c r="A212" s="131">
        <v>43298</v>
      </c>
      <c r="B212" s="13" t="s">
        <v>172</v>
      </c>
      <c r="C212" s="10" t="s">
        <v>160</v>
      </c>
      <c r="D212" s="10" t="s">
        <v>254</v>
      </c>
      <c r="E212" s="8">
        <f t="shared" ca="1" si="367"/>
        <v>43301</v>
      </c>
      <c r="F212" s="8">
        <f ca="1">E212+H212</f>
        <v>43332</v>
      </c>
      <c r="G212" s="120">
        <f>P212</f>
        <v>0</v>
      </c>
      <c r="H212" s="10">
        <v>31</v>
      </c>
      <c r="I212" s="12">
        <f>(H212)/365</f>
        <v>8.4931506849315067E-2</v>
      </c>
      <c r="J212" s="12">
        <v>0</v>
      </c>
      <c r="K212" s="116">
        <v>0.39</v>
      </c>
      <c r="L212" s="13" t="e">
        <f>_xll.dnetGBlackScholesNGreeks("price",$Q212,$P212,$G212,$I212,$C$3,$J212,$K212,$C$4)*R212</f>
        <v>#VALUE!</v>
      </c>
      <c r="M212" s="15">
        <v>0</v>
      </c>
      <c r="N212" s="13">
        <f t="shared" ref="N212:N213" si="383">M212/10000*I212*P212</f>
        <v>0</v>
      </c>
      <c r="O212" s="13" t="e">
        <f>IF(L212&lt;=0,ABS(L212)+N212,L212-N212)</f>
        <v>#VALUE!</v>
      </c>
      <c r="P212" s="120">
        <f>RTD("wdf.rtq",,D212,"LastPrice")</f>
        <v>0</v>
      </c>
      <c r="Q212" s="10" t="s">
        <v>85</v>
      </c>
      <c r="R212" s="10">
        <f t="shared" ref="R212:R213" si="384">IF(S212="中金买入",1,-1)</f>
        <v>-1</v>
      </c>
      <c r="S212" s="10" t="s">
        <v>20</v>
      </c>
      <c r="T212" s="14" t="e">
        <f t="shared" ref="T212:T213" si="385">O212/P212</f>
        <v>#VALUE!</v>
      </c>
      <c r="U212" s="13" t="e">
        <f>_xll.dnetGBlackScholesNGreeks("delta",$Q212,$P212,$G212,$I212,$C$3,$J212,$K212,$C$4)*R212</f>
        <v>#VALUE!</v>
      </c>
      <c r="V212" s="13" t="e">
        <f>_xll.dnetGBlackScholesNGreeks("vega",$Q212,$P212,$G212,$I212,$C$3,$J212,$K212,$C$4)*R212</f>
        <v>#VALUE!</v>
      </c>
      <c r="W212" s="114"/>
      <c r="X212" s="115">
        <v>500</v>
      </c>
    </row>
    <row r="213" spans="1:24" x14ac:dyDescent="0.15">
      <c r="A213" s="131">
        <v>43298</v>
      </c>
      <c r="B213" s="13" t="s">
        <v>172</v>
      </c>
      <c r="C213" s="10" t="s">
        <v>160</v>
      </c>
      <c r="D213" s="10" t="s">
        <v>254</v>
      </c>
      <c r="E213" s="8">
        <f t="shared" ca="1" si="367"/>
        <v>43301</v>
      </c>
      <c r="F213" s="8">
        <f ca="1">E213+H213</f>
        <v>43315</v>
      </c>
      <c r="G213" s="120">
        <f>P213</f>
        <v>0</v>
      </c>
      <c r="H213" s="10">
        <v>14</v>
      </c>
      <c r="I213" s="12">
        <f>(H213)/365</f>
        <v>3.8356164383561646E-2</v>
      </c>
      <c r="J213" s="12">
        <v>0</v>
      </c>
      <c r="K213" s="116">
        <v>0.4</v>
      </c>
      <c r="L213" s="13" t="e">
        <f>_xll.dnetGBlackScholesNGreeks("price",$Q213,$P213,$G213,$I213,$C$3,$J213,$K213,$C$4)*R213</f>
        <v>#VALUE!</v>
      </c>
      <c r="M213" s="15">
        <v>0</v>
      </c>
      <c r="N213" s="13">
        <f t="shared" si="383"/>
        <v>0</v>
      </c>
      <c r="O213" s="13" t="e">
        <f>IF(L213&lt;=0,ABS(L213)+N213,L213-N213)</f>
        <v>#VALUE!</v>
      </c>
      <c r="P213" s="120">
        <f>RTD("wdf.rtq",,D213,"LastPrice")</f>
        <v>0</v>
      </c>
      <c r="Q213" s="10" t="s">
        <v>85</v>
      </c>
      <c r="R213" s="10">
        <f t="shared" si="384"/>
        <v>-1</v>
      </c>
      <c r="S213" s="10" t="s">
        <v>20</v>
      </c>
      <c r="T213" s="14" t="e">
        <f t="shared" si="385"/>
        <v>#VALUE!</v>
      </c>
      <c r="U213" s="13" t="e">
        <f>_xll.dnetGBlackScholesNGreeks("delta",$Q213,$P213,$G213,$I213,$C$3,$J213,$K213,$C$4)*R213</f>
        <v>#VALUE!</v>
      </c>
      <c r="V213" s="13" t="e">
        <f>_xll.dnetGBlackScholesNGreeks("vega",$Q213,$P213,$G213,$I213,$C$3,$J213,$K213,$C$4)*R213</f>
        <v>#VALUE!</v>
      </c>
      <c r="W213" s="114"/>
      <c r="X213" s="115">
        <v>500</v>
      </c>
    </row>
    <row r="214" spans="1:24" x14ac:dyDescent="0.15">
      <c r="A214" s="131">
        <v>43298</v>
      </c>
      <c r="B214" s="13" t="s">
        <v>172</v>
      </c>
      <c r="C214" s="10" t="s">
        <v>160</v>
      </c>
      <c r="D214" s="10" t="s">
        <v>254</v>
      </c>
      <c r="E214" s="8">
        <f t="shared" ca="1" si="367"/>
        <v>43301</v>
      </c>
      <c r="F214" s="8">
        <f ca="1">E214+H214</f>
        <v>43308</v>
      </c>
      <c r="G214" s="120">
        <f>P214</f>
        <v>0</v>
      </c>
      <c r="H214" s="10">
        <v>7</v>
      </c>
      <c r="I214" s="12">
        <f>(H214)/365</f>
        <v>1.9178082191780823E-2</v>
      </c>
      <c r="J214" s="12">
        <v>0</v>
      </c>
      <c r="K214" s="116">
        <v>0.41</v>
      </c>
      <c r="L214" s="13" t="e">
        <f>_xll.dnetGBlackScholesNGreeks("price",$Q214,$P214,$G214,$I214,$C$3,$J214,$K214,$C$4)*R214</f>
        <v>#VALUE!</v>
      </c>
      <c r="M214" s="15">
        <v>0</v>
      </c>
      <c r="N214" s="13">
        <f t="shared" ref="N214" si="386">M214/10000*I214*P214</f>
        <v>0</v>
      </c>
      <c r="O214" s="13" t="e">
        <f>IF(L214&lt;=0,ABS(L214)+N214,L214-N214)</f>
        <v>#VALUE!</v>
      </c>
      <c r="P214" s="120">
        <f>RTD("wdf.rtq",,D214,"LastPrice")</f>
        <v>0</v>
      </c>
      <c r="Q214" s="10" t="s">
        <v>85</v>
      </c>
      <c r="R214" s="10">
        <f t="shared" ref="R214" si="387">IF(S214="中金买入",1,-1)</f>
        <v>-1</v>
      </c>
      <c r="S214" s="10" t="s">
        <v>20</v>
      </c>
      <c r="T214" s="14" t="e">
        <f t="shared" ref="T214" si="388">O214/P214</f>
        <v>#VALUE!</v>
      </c>
      <c r="U214" s="13" t="e">
        <f>_xll.dnetGBlackScholesNGreeks("delta",$Q214,$P214,$G214,$I214,$C$3,$J214,$K214,$C$4)*R214</f>
        <v>#VALUE!</v>
      </c>
      <c r="V214" s="13" t="e">
        <f>_xll.dnetGBlackScholesNGreeks("vega",$Q214,$P214,$G214,$I214,$C$3,$J214,$K214,$C$4)*R214</f>
        <v>#VALUE!</v>
      </c>
      <c r="W214" s="114"/>
      <c r="X214" s="115">
        <v>500</v>
      </c>
    </row>
    <row r="218" spans="1:24" ht="10.5" customHeight="1" x14ac:dyDescent="0.15">
      <c r="A218" s="34"/>
      <c r="B218" s="13" t="s">
        <v>172</v>
      </c>
      <c r="C218" s="10" t="s">
        <v>161</v>
      </c>
      <c r="D218" s="10" t="s">
        <v>417</v>
      </c>
      <c r="E218" s="8">
        <f t="shared" ref="E218" ca="1" si="389">TODAY()</f>
        <v>43301</v>
      </c>
      <c r="F218" s="8">
        <f t="shared" ref="F218" ca="1" si="390">E218+H218</f>
        <v>43322</v>
      </c>
      <c r="G218" s="10">
        <v>430</v>
      </c>
      <c r="H218" s="10">
        <v>21</v>
      </c>
      <c r="I218" s="12">
        <f>(H218-1)/365</f>
        <v>5.4794520547945202E-2</v>
      </c>
      <c r="J218" s="12">
        <v>-0.02</v>
      </c>
      <c r="K218" s="9">
        <v>0.22500000000000001</v>
      </c>
      <c r="L218" s="13">
        <f>_xll.dnetGBlackScholesNGreeks("price",$Q218,$P218,$G218,$I218,$C$3,$J218,$K218,$C$4)*R218</f>
        <v>0.36581066220147562</v>
      </c>
      <c r="M218" s="15"/>
      <c r="N218" s="13">
        <f t="shared" ref="N218" si="391">M218/10000*I218*P218</f>
        <v>0</v>
      </c>
      <c r="O218" s="13">
        <f>IF(L218&lt;=0,ABS(L218)+N218,L218-N218)</f>
        <v>0.36581066220147562</v>
      </c>
      <c r="P218" s="120">
        <v>472.5</v>
      </c>
      <c r="Q218" s="10" t="s">
        <v>85</v>
      </c>
      <c r="R218" s="10">
        <f t="shared" ref="R218" si="392">IF(S218="中金买入",1,-1)</f>
        <v>1</v>
      </c>
      <c r="S218" s="10" t="s">
        <v>151</v>
      </c>
      <c r="T218" s="14">
        <f t="shared" ref="T218" si="393">O218/P218</f>
        <v>7.7420245968566268E-4</v>
      </c>
      <c r="U218" s="13">
        <f>_xll.dnetGBlackScholesNGreeks("delta",$Q218,$P218,$G218,$I218,$C$3,$J218,$K218,$C$4)*R218</f>
        <v>-3.6241816088988799E-2</v>
      </c>
      <c r="V218" s="13">
        <f>_xll.dnetGBlackScholesNGreeks("vega",$Q218,$P218,$G218,$I218,$C$3,$J218,$K218,$C$4)*R218</f>
        <v>8.7918190671151031E-2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S15:S16 S18:S23 S25 S27 S29 S31:S32 S34:S36 S38:S39 S41 S43 S45 S47:S48 S50:S55 S57:S59 S61 S63 S65:S66 S68:S69 S71:S72 S74:S75 S77 S79:S84 S86 S88:S89 S91:S92 S94:S95 S97:S99 S101:S102 S104:S105 S107:S112 S114:S116 S118:S121 S123 S125 S127 S129 S131 S133 S135 S137:S139 S141:S143 S145:S155 S157 S159:S160 S162:S163 S165:S166 S168:S171 S173:S176 S178 S180:S181 S183:S184 S186 S188:S189 S191:S192 S194 S196:S199 S201 S203 S205:S207 S209:S210 S212:S214 S218</xm:sqref>
        </x14:dataValidation>
        <x14:dataValidation type="list" allowBlank="1" showInputMessage="1" showErrorMessage="1">
          <x14:formula1>
            <xm:f>configs!$C$1:$C$2</xm:f>
          </x14:formula1>
          <xm:sqref>Q8:Q9 Q15:Q16 Q18:Q23 Q25 Q27 Q29 Q31:Q32 Q34:Q36 Q38:Q39 Q41 Q43 Q45 Q47:Q48 Q50:Q55 Q57:Q59 Q61 Q63 Q65:Q66 Q68:Q69 Q71:Q72 Q74:Q75 Q77 Q86 Q79:Q84 Q88:Q89 Q91:Q92 Q94:Q95 Q97:Q99 Q101:Q102 Q104:Q105 Q107:Q112 Q114:Q116 Q118:Q121 Q123 Q125 Q127 Q129 Q131 Q133 Q135 Q137:Q139 Q141:Q143 Q145:Q155 Q157 Q159:Q160 Q162:Q163 Q165:Q166 Q168:Q171 Q173:Q176 Q178 Q180:Q181 Q183:Q184 Q186 Q188:Q189 Q191:Q192 Q194 Q196:Q199 Q201 Q203 Q205:Q207 Q209:Q210 Q212:Q214 Q218</xm:sqref>
        </x14:dataValidation>
        <x14:dataValidation type="list" allowBlank="1" showInputMessage="1">
          <x14:formula1>
            <xm:f>configs!$A$1:$A$36</xm:f>
          </x14:formula1>
          <xm:sqref>C8:C9 C15:C16 C18:C23 C25 C27 C29 C31:C32 C34:C36 C38:C39 C41 C43 C45 C47:C48 C50:C55 C57:C59 C61 C63 C65:C66 C68:C69 C71:C72 C74:C75 C77 C79:C84 C86 C88:C89 C91:C92 C94:C95 C97:C99 C101:C102 C104:C105 C107:C112 C114:C116 C118:C121 C123 C125 C127 C129 C131 C133 C135 C137:C139 C141:C143 C145:C155 C157 C159:C160 C162:C163 C165:C166 C168:C171 C173:C176 C178 C180:C181 C183:C184 C186 C188:C189 C191:C192 C194 C196:C199 C201 C203 C205:C207 C209:C210 C212:C214 C218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114"/>
  <sheetViews>
    <sheetView topLeftCell="A91" zoomScale="85" zoomScaleNormal="85" workbookViewId="0">
      <selection activeCell="C114" sqref="C114:S114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15.87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64" t="s">
        <v>37</v>
      </c>
      <c r="C1" s="163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43301</v>
      </c>
      <c r="F8" s="46">
        <f ca="1">E8+H8</f>
        <v>43331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43301</v>
      </c>
      <c r="F9" s="54">
        <f ca="1">F8</f>
        <v>43331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43301</v>
      </c>
      <c r="F10" s="62">
        <f ca="1">F9</f>
        <v>43331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200</v>
      </c>
      <c r="E11" s="46">
        <f ca="1">TODAY()</f>
        <v>43301</v>
      </c>
      <c r="F11" s="46">
        <f ca="1">E11+H11</f>
        <v>43316</v>
      </c>
      <c r="G11" s="113">
        <f>P11-20</f>
        <v>-20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19.983568397474013</v>
      </c>
      <c r="M11" s="49"/>
      <c r="N11" s="43"/>
      <c r="O11" s="43">
        <f t="shared" ref="O11:O13" si="1">IF(L11&lt;=0,ABS(L11)+N11,L11-N11)</f>
        <v>19.983568397474013</v>
      </c>
      <c r="P11" s="110">
        <f>RTD("wdf.rtq",,D11,"LastPrice")</f>
        <v>0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 t="e">
        <f>_xll.dnetGBlackScholesNGreeks("delta",$Q11,$P11,$G11,$I11,$C$3,$J11,$K11,$C$4)*R11</f>
        <v>#VALUE!</v>
      </c>
      <c r="V11" s="43">
        <f>_xll.dnetGBlackScholesNGreeks("vega",$Q11,$P11,$G11,$I11,$C$3,$J11,$K11,$C$4)*R11</f>
        <v>0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200</v>
      </c>
      <c r="E12" s="54">
        <f t="shared" ref="E12:F12" ca="1" si="2">E11</f>
        <v>43301</v>
      </c>
      <c r="F12" s="54">
        <f t="shared" ca="1" si="2"/>
        <v>43316</v>
      </c>
      <c r="G12" s="52">
        <f>G11+50</f>
        <v>30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0</v>
      </c>
      <c r="M12" s="57"/>
      <c r="N12" s="51"/>
      <c r="O12" s="51">
        <f t="shared" si="1"/>
        <v>0</v>
      </c>
      <c r="P12" s="94">
        <f>P11</f>
        <v>0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 t="e">
        <f>_xll.dnetGBlackScholesNGreeks("delta",$Q12,$P12,$G12,$I12,$C$3,$J12,$K12,$C$4)*R12</f>
        <v>#VALUE!</v>
      </c>
      <c r="V12" s="51">
        <f>_xll.dnetGBlackScholesNGreeks("vega",$Q12,$P12,$G12,$I12,$C$3,$J12,$K12,$C$4)*R12</f>
        <v>0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43301</v>
      </c>
      <c r="F13" s="62">
        <f t="shared" ca="1" si="3"/>
        <v>43316</v>
      </c>
      <c r="G13" s="60" t="str">
        <f>G11 &amp; "|" &amp; G12</f>
        <v>-20|30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19.983568397474013</v>
      </c>
      <c r="M13" s="60">
        <v>0</v>
      </c>
      <c r="N13" s="59">
        <f>M13/10000*I13*P13</f>
        <v>0</v>
      </c>
      <c r="O13" s="59">
        <f t="shared" si="1"/>
        <v>19.983568397474013</v>
      </c>
      <c r="P13" s="111">
        <f>P12</f>
        <v>0</v>
      </c>
      <c r="Q13" s="60"/>
      <c r="R13" s="60"/>
      <c r="S13" s="56" t="s">
        <v>151</v>
      </c>
      <c r="T13" s="64" t="e">
        <f>O13/P13</f>
        <v>#DIV/0!</v>
      </c>
      <c r="U13" s="64" t="e">
        <f>U12+U11</f>
        <v>#VALUE!</v>
      </c>
      <c r="V13" s="64">
        <f>V12+V11</f>
        <v>0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209</v>
      </c>
      <c r="E14" s="46">
        <f ca="1">TODAY()</f>
        <v>43301</v>
      </c>
      <c r="F14" s="46">
        <f ca="1">E14+H14</f>
        <v>43392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0</v>
      </c>
      <c r="M14" s="49"/>
      <c r="N14" s="43"/>
      <c r="O14" s="43">
        <f t="shared" ref="O14:O16" si="4">IF(L14&lt;=0,ABS(L14)+N14,L14-N14)</f>
        <v>0</v>
      </c>
      <c r="P14" s="110">
        <f>RTD("wdf.rtq",,D14,"LastPrice")</f>
        <v>0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 t="e">
        <f>_xll.dnetGBlackScholesNGreeks("delta",$Q14,$P14,$G14,$I14,$C$3,$J14,$K14,$C$4)*R14</f>
        <v>#VALUE!</v>
      </c>
      <c r="V14" s="43">
        <f>_xll.dnetGBlackScholesNGreeks("vega",$Q14,$P14,$G14,$I14,$C$3,$J14,$K14,$C$4)*R14</f>
        <v>0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43301</v>
      </c>
      <c r="F15" s="54">
        <f t="shared" ca="1" si="5"/>
        <v>43392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3263.6856394682386</v>
      </c>
      <c r="M15" s="57"/>
      <c r="N15" s="51"/>
      <c r="O15" s="51">
        <f t="shared" si="4"/>
        <v>3263.6856394682386</v>
      </c>
      <c r="P15" s="94">
        <f>P14</f>
        <v>0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 t="e">
        <f>_xll.dnetGBlackScholesNGreeks("delta",$Q15,$P15,$G15,$I15,$C$3,$J15,$K15,$C$4)*R15</f>
        <v>#VALUE!</v>
      </c>
      <c r="V15" s="51">
        <f>_xll.dnetGBlackScholesNGreeks("vega",$Q15,$P15,$G15,$I15,$C$3,$J15,$K15,$C$4)*R15</f>
        <v>0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43301</v>
      </c>
      <c r="F16" s="62">
        <f t="shared" ca="1" si="6"/>
        <v>43392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3263.6856394682386</v>
      </c>
      <c r="M16" s="60">
        <v>0</v>
      </c>
      <c r="N16" s="59">
        <f>M16/10000*I16*P16</f>
        <v>0</v>
      </c>
      <c r="O16" s="59">
        <f t="shared" si="4"/>
        <v>3263.6856394682386</v>
      </c>
      <c r="P16" s="111">
        <f>P15</f>
        <v>0</v>
      </c>
      <c r="Q16" s="60"/>
      <c r="R16" s="60"/>
      <c r="S16" s="56" t="s">
        <v>151</v>
      </c>
      <c r="T16" s="64" t="e">
        <f>O16/P16</f>
        <v>#DIV/0!</v>
      </c>
      <c r="U16" s="64" t="e">
        <f>U15+U14</f>
        <v>#VALUE!</v>
      </c>
      <c r="V16" s="64">
        <f>V15+V14</f>
        <v>0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226</v>
      </c>
      <c r="E18" s="46">
        <f ca="1">TODAY()</f>
        <v>43301</v>
      </c>
      <c r="F18" s="46">
        <f ca="1">E18+H18</f>
        <v>43332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14.422881589653343</v>
      </c>
      <c r="M18" s="49"/>
      <c r="N18" s="43"/>
      <c r="O18" s="43">
        <f t="shared" ref="O18:O20" si="7">IF(L18&lt;=0,ABS(L18)+N18,L18-N18)</f>
        <v>14.422881589653343</v>
      </c>
      <c r="P18" s="110">
        <f>RTD("wdf.rtq",,D18,"LastPrice")</f>
        <v>3128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-0.1786500008506664</v>
      </c>
      <c r="V18" s="43">
        <f>_xll.dnetGBlackScholesNGreeks("vega",$Q18,$P18,$G18,$I18,$C$3,$J18,$K18,$C$4)*R18</f>
        <v>2.3764893853936542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43301</v>
      </c>
      <c r="F19" s="54">
        <f t="shared" ca="1" si="8"/>
        <v>43332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-16.703327584096883</v>
      </c>
      <c r="M19" s="57"/>
      <c r="N19" s="51"/>
      <c r="O19" s="51">
        <f t="shared" si="7"/>
        <v>16.703327584096883</v>
      </c>
      <c r="P19" s="94">
        <f>P18</f>
        <v>3128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-0.1895663396112468</v>
      </c>
      <c r="V19" s="51">
        <f>_xll.dnetGBlackScholesNGreeks("vega",$Q19,$P19,$G19,$I19,$C$3,$J19,$K19,$C$4)*R19</f>
        <v>-2.4663885374151846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43301</v>
      </c>
      <c r="F20" s="62">
        <f t="shared" ca="1" si="9"/>
        <v>43332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-2.2804459944435393</v>
      </c>
      <c r="M20" s="60">
        <v>0</v>
      </c>
      <c r="N20" s="59">
        <f>M20/10000*I20*P20</f>
        <v>0</v>
      </c>
      <c r="O20" s="59">
        <f t="shared" si="7"/>
        <v>2.2804459944435393</v>
      </c>
      <c r="P20" s="111">
        <f>P19</f>
        <v>3128</v>
      </c>
      <c r="Q20" s="60"/>
      <c r="R20" s="60"/>
      <c r="S20" s="56"/>
      <c r="T20" s="64">
        <f>O20/P20</f>
        <v>7.2904283709831824E-4</v>
      </c>
      <c r="U20" s="64">
        <f>U19+U18</f>
        <v>-0.36821634046191321</v>
      </c>
      <c r="V20" s="64">
        <f>V19+V18</f>
        <v>-8.9899152021530426E-2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226</v>
      </c>
      <c r="E21" s="46">
        <f ca="1">TODAY()</f>
        <v>43301</v>
      </c>
      <c r="F21" s="46">
        <f ca="1">E21+H21</f>
        <v>43393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46.904179574676732</v>
      </c>
      <c r="M21" s="49"/>
      <c r="N21" s="43"/>
      <c r="O21" s="43">
        <f t="shared" ref="O21:O23" si="10">IF(L21&lt;=0,ABS(L21)+N21,L21-N21)</f>
        <v>46.904179574676732</v>
      </c>
      <c r="P21" s="110">
        <f>RTD("wdf.rtq",,D21,"LastPrice")</f>
        <v>3128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-0.28619103723599437</v>
      </c>
      <c r="V21" s="43">
        <f>_xll.dnetGBlackScholesNGreeks("vega",$Q21,$P21,$G21,$I21,$C$3,$J21,$K21,$C$4)*R21</f>
        <v>5.3254271564417763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43301</v>
      </c>
      <c r="F22" s="54">
        <f t="shared" ca="1" si="11"/>
        <v>43393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-54.742085505586829</v>
      </c>
      <c r="M22" s="57"/>
      <c r="N22" s="51"/>
      <c r="O22" s="51">
        <f t="shared" si="10"/>
        <v>54.742085505586829</v>
      </c>
      <c r="P22" s="94">
        <f>P21</f>
        <v>3128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-0.31406916898504278</v>
      </c>
      <c r="V22" s="51">
        <f>_xll.dnetGBlackScholesNGreeks("vega",$Q22,$P22,$G22,$I22,$C$3,$J22,$K22,$C$4)*R22</f>
        <v>-5.5534181415440571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43301</v>
      </c>
      <c r="F23" s="62">
        <f t="shared" ca="1" si="12"/>
        <v>43393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-7.8379059309100967</v>
      </c>
      <c r="M23" s="60">
        <v>0</v>
      </c>
      <c r="N23" s="59">
        <f>M23/10000*I23*P23</f>
        <v>0</v>
      </c>
      <c r="O23" s="59">
        <f t="shared" si="10"/>
        <v>7.8379059309100967</v>
      </c>
      <c r="P23" s="111">
        <f>P22</f>
        <v>3128</v>
      </c>
      <c r="Q23" s="60"/>
      <c r="R23" s="60"/>
      <c r="S23" s="56"/>
      <c r="T23" s="64">
        <f>O23/P23</f>
        <v>2.5057244024648648E-3</v>
      </c>
      <c r="U23" s="64">
        <f>U22+U21</f>
        <v>-0.60026020622103715</v>
      </c>
      <c r="V23" s="64">
        <f>V22+V21</f>
        <v>-0.22799098510228077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192</v>
      </c>
      <c r="E26" s="46">
        <f ca="1">TODAY()</f>
        <v>43301</v>
      </c>
      <c r="F26" s="46">
        <f ca="1">E26+H26</f>
        <v>43331</v>
      </c>
      <c r="G26" s="118">
        <v>3500</v>
      </c>
      <c r="H26" s="44">
        <v>30</v>
      </c>
      <c r="I26" s="47">
        <f>H26/365</f>
        <v>8.2191780821917804E-2</v>
      </c>
      <c r="J26" s="47">
        <v>0</v>
      </c>
      <c r="K26" s="48">
        <f>K27-0.03</f>
        <v>0.255</v>
      </c>
      <c r="L26" s="43">
        <f>_xll.dnetGBlackScholesNGreeks("price",$Q26,$P26,$G26,$I26,$C$3,$J26,$K26,$C$4)*R26</f>
        <v>3494.2513015945683</v>
      </c>
      <c r="M26" s="49"/>
      <c r="N26" s="43"/>
      <c r="O26" s="43">
        <f t="shared" ref="O26:O31" si="13">IF(L26&lt;=0,ABS(L26)+N26,L26-N26)</f>
        <v>3494.2513015945683</v>
      </c>
      <c r="P26" s="110">
        <f>RTD("wdf.rtq",,D26,"LastPrice")</f>
        <v>0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 t="e">
        <f>_xll.dnetGBlackScholesNGreeks("delta",$Q26,$P26,$G26,$I26,$C$3,$J26,$K26,$C$4)*R26</f>
        <v>#VALUE!</v>
      </c>
      <c r="V26" s="43">
        <f>_xll.dnetGBlackScholesNGreeks("vega",$Q26,$P26,$G26,$I26,$C$3,$J26,$K26,$C$4)*R26</f>
        <v>0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rb1810</v>
      </c>
      <c r="E27" s="54">
        <f t="shared" ref="E27:F27" ca="1" si="14">E26</f>
        <v>43301</v>
      </c>
      <c r="F27" s="54">
        <f t="shared" ca="1" si="14"/>
        <v>43331</v>
      </c>
      <c r="G27" s="119">
        <v>3900</v>
      </c>
      <c r="H27" s="52">
        <f>H26</f>
        <v>30</v>
      </c>
      <c r="I27" s="55">
        <f>H27/365</f>
        <v>8.2191780821917804E-2</v>
      </c>
      <c r="J27" s="55">
        <f>J26</f>
        <v>0</v>
      </c>
      <c r="K27" s="56">
        <v>0.28499999999999998</v>
      </c>
      <c r="L27" s="51">
        <f>_xll.dnetGBlackScholesNGreeks("price",$Q27,$P27,$G27,$I27,$C$3,$J27,$K27,$C$4)*R27</f>
        <v>0</v>
      </c>
      <c r="M27" s="57"/>
      <c r="N27" s="51"/>
      <c r="O27" s="51">
        <f t="shared" si="13"/>
        <v>0</v>
      </c>
      <c r="P27" s="94">
        <f>RTD("wdf.rtq",,D27,"LastPrice")</f>
        <v>0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 t="e">
        <f>_xll.dnetGBlackScholesNGreeks("delta",$Q27,$P27,$G27,$I27,$C$3,$J27,$K27,$C$4)*R27</f>
        <v>#VALUE!</v>
      </c>
      <c r="V27" s="51">
        <f>_xll.dnetGBlackScholesNGreeks("vega",$Q27,$P27,$G27,$I27,$C$3,$J27,$K27,$C$4)*R27</f>
        <v>0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rb1810</v>
      </c>
      <c r="E28" s="62">
        <f t="shared" ref="E28:F28" ca="1" si="15">E27</f>
        <v>43301</v>
      </c>
      <c r="F28" s="62">
        <f t="shared" ca="1" si="15"/>
        <v>43331</v>
      </c>
      <c r="G28" s="60" t="str">
        <f>G26 &amp; "|" &amp; G27</f>
        <v>3500|3900</v>
      </c>
      <c r="H28" s="60">
        <f>H27</f>
        <v>30</v>
      </c>
      <c r="I28" s="63">
        <f>I27</f>
        <v>8.2191780821917804E-2</v>
      </c>
      <c r="J28" s="63"/>
      <c r="K28" s="60"/>
      <c r="L28" s="59">
        <f>L27+L26</f>
        <v>3494.2513015945683</v>
      </c>
      <c r="M28" s="60">
        <v>0</v>
      </c>
      <c r="N28" s="59">
        <f>M28/10000*I28*P28</f>
        <v>0</v>
      </c>
      <c r="O28" s="59">
        <f t="shared" si="13"/>
        <v>3494.2513015945683</v>
      </c>
      <c r="P28" s="111">
        <f>RTD("wdf.rtq",,D28,"LastPrice")</f>
        <v>0</v>
      </c>
      <c r="Q28" s="60"/>
      <c r="R28" s="60"/>
      <c r="S28" s="56"/>
      <c r="T28" s="64" t="e">
        <f>O28/P28</f>
        <v>#DIV/0!</v>
      </c>
      <c r="U28" s="64" t="e">
        <f>U27+U26</f>
        <v>#VALUE!</v>
      </c>
      <c r="V28" s="64">
        <f>V27+V26</f>
        <v>0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192</v>
      </c>
      <c r="E29" s="46">
        <f ca="1">TODAY()</f>
        <v>43301</v>
      </c>
      <c r="F29" s="46">
        <f ca="1">E29+H29</f>
        <v>43331</v>
      </c>
      <c r="G29" s="118">
        <v>3400</v>
      </c>
      <c r="H29" s="44">
        <v>30</v>
      </c>
      <c r="I29" s="47">
        <f>H29/365</f>
        <v>8.2191780821917804E-2</v>
      </c>
      <c r="J29" s="47">
        <v>0</v>
      </c>
      <c r="K29" s="48">
        <f>K30-0.03</f>
        <v>0.255</v>
      </c>
      <c r="L29" s="43">
        <f>_xll.dnetGBlackScholesNGreeks("price",$Q29,$P29,$G29,$I29,$C$3,$J29,$K29,$C$4)*R29</f>
        <v>3394.4155501204377</v>
      </c>
      <c r="M29" s="49"/>
      <c r="N29" s="43"/>
      <c r="O29" s="43">
        <f t="shared" si="13"/>
        <v>3394.4155501204377</v>
      </c>
      <c r="P29" s="110">
        <f>RTD("wdf.rtq",,D29,"LastPrice")</f>
        <v>0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 t="e">
        <f>_xll.dnetGBlackScholesNGreeks("delta",$Q29,$P29,$G29,$I29,$C$3,$J29,$K29,$C$4)*R29</f>
        <v>#VALUE!</v>
      </c>
      <c r="V29" s="43">
        <f>_xll.dnetGBlackScholesNGreeks("vega",$Q29,$P29,$G29,$I29,$C$3,$J29,$K29,$C$4)*R29</f>
        <v>0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rb1810</v>
      </c>
      <c r="E30" s="54">
        <f t="shared" ref="E30:F30" ca="1" si="16">E29</f>
        <v>43301</v>
      </c>
      <c r="F30" s="54">
        <f t="shared" ca="1" si="16"/>
        <v>43331</v>
      </c>
      <c r="G30" s="119">
        <v>3800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0.28499999999999998</v>
      </c>
      <c r="L30" s="51">
        <f>_xll.dnetGBlackScholesNGreeks("price",$Q30,$P30,$G30,$I30,$C$3,$J30,$K30,$C$4)*R30</f>
        <v>0</v>
      </c>
      <c r="M30" s="57"/>
      <c r="N30" s="51"/>
      <c r="O30" s="51">
        <f t="shared" si="13"/>
        <v>0</v>
      </c>
      <c r="P30" s="94">
        <f>RTD("wdf.rtq",,D30,"LastPrice")</f>
        <v>0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 t="e">
        <f>_xll.dnetGBlackScholesNGreeks("delta",$Q30,$P30,$G30,$I30,$C$3,$J30,$K30,$C$4)*R30</f>
        <v>#VALUE!</v>
      </c>
      <c r="V30" s="51">
        <f>_xll.dnetGBlackScholesNGreeks("vega",$Q30,$P30,$G30,$I30,$C$3,$J30,$K30,$C$4)*R30</f>
        <v>0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rb1810</v>
      </c>
      <c r="E31" s="62">
        <f t="shared" ref="E31:F31" ca="1" si="17">E30</f>
        <v>43301</v>
      </c>
      <c r="F31" s="62">
        <f t="shared" ca="1" si="17"/>
        <v>43331</v>
      </c>
      <c r="G31" s="60" t="str">
        <f>G29 &amp; "|" &amp; G30</f>
        <v>3400|3800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3394.4155501204377</v>
      </c>
      <c r="M31" s="60">
        <v>0</v>
      </c>
      <c r="N31" s="59">
        <f>M31/10000*I31*P31</f>
        <v>0</v>
      </c>
      <c r="O31" s="59">
        <f t="shared" si="13"/>
        <v>3394.4155501204377</v>
      </c>
      <c r="P31" s="111">
        <f>RTD("wdf.rtq",,D31,"LastPrice")</f>
        <v>0</v>
      </c>
      <c r="Q31" s="60"/>
      <c r="R31" s="60"/>
      <c r="S31" s="56"/>
      <c r="T31" s="64" t="e">
        <f>O31/P31</f>
        <v>#DIV/0!</v>
      </c>
      <c r="U31" s="64" t="e">
        <f>U30+U29</f>
        <v>#VALUE!</v>
      </c>
      <c r="V31" s="64">
        <f>V30+V29</f>
        <v>0</v>
      </c>
    </row>
    <row r="32" spans="1:22" s="95" customFormat="1" ht="14.25" thickTop="1" x14ac:dyDescent="0.15">
      <c r="A32" s="96"/>
      <c r="B32" s="43" t="s">
        <v>173</v>
      </c>
      <c r="C32" s="44" t="s">
        <v>160</v>
      </c>
      <c r="D32" s="44" t="s">
        <v>192</v>
      </c>
      <c r="E32" s="46">
        <f ca="1">TODAY()</f>
        <v>43301</v>
      </c>
      <c r="F32" s="46">
        <f ca="1">E32+H32</f>
        <v>43331</v>
      </c>
      <c r="G32" s="118">
        <v>3300</v>
      </c>
      <c r="H32" s="44">
        <v>30</v>
      </c>
      <c r="I32" s="47">
        <f>H32/365</f>
        <v>8.2191780821917804E-2</v>
      </c>
      <c r="J32" s="47">
        <v>0</v>
      </c>
      <c r="K32" s="48">
        <f>K33-0.03</f>
        <v>0.255</v>
      </c>
      <c r="L32" s="43">
        <f>_xll.dnetGBlackScholesNGreeks("price",$Q32,$P32,$G32,$I32,$C$3,$J32,$K32,$C$4)*R32</f>
        <v>3294.5797986463072</v>
      </c>
      <c r="M32" s="49"/>
      <c r="N32" s="43"/>
      <c r="O32" s="43">
        <f t="shared" ref="O32:O34" si="18">IF(L32&lt;=0,ABS(L32)+N32,L32-N32)</f>
        <v>3294.5797986463072</v>
      </c>
      <c r="P32" s="110">
        <f>RTD("wdf.rtq",,D32,"LastPrice")</f>
        <v>0</v>
      </c>
      <c r="Q32" s="44" t="s">
        <v>85</v>
      </c>
      <c r="R32" s="44">
        <f>IF(S32="中金买入",1,-1)</f>
        <v>1</v>
      </c>
      <c r="S32" s="48" t="s">
        <v>151</v>
      </c>
      <c r="T32" s="50"/>
      <c r="U32" s="43" t="e">
        <f>_xll.dnetGBlackScholesNGreeks("delta",$Q32,$P32,$G32,$I32,$C$3,$J32,$K32,$C$4)*R32</f>
        <v>#VALUE!</v>
      </c>
      <c r="V32" s="43">
        <f>_xll.dnetGBlackScholesNGreeks("vega",$Q32,$P32,$G32,$I32,$C$3,$J32,$K32,$C$4)*R32</f>
        <v>0</v>
      </c>
    </row>
    <row r="33" spans="1:22" s="95" customFormat="1" ht="13.5" x14ac:dyDescent="0.15">
      <c r="A33" s="96"/>
      <c r="B33" s="51" t="s">
        <v>174</v>
      </c>
      <c r="C33" s="52" t="s">
        <v>160</v>
      </c>
      <c r="D33" s="52" t="str">
        <f>D32</f>
        <v>rb1810</v>
      </c>
      <c r="E33" s="54">
        <f t="shared" ref="E33:F33" ca="1" si="19">E32</f>
        <v>43301</v>
      </c>
      <c r="F33" s="54">
        <f t="shared" ca="1" si="19"/>
        <v>43331</v>
      </c>
      <c r="G33" s="119">
        <v>4000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0.28499999999999998</v>
      </c>
      <c r="L33" s="51">
        <f>_xll.dnetGBlackScholesNGreeks("price",$Q33,$P33,$G33,$I33,$C$3,$J33,$K33,$C$4)*R33</f>
        <v>0</v>
      </c>
      <c r="M33" s="57"/>
      <c r="N33" s="51"/>
      <c r="O33" s="51">
        <f t="shared" si="18"/>
        <v>0</v>
      </c>
      <c r="P33" s="94">
        <f>RTD("wdf.rtq",,D33,"LastPrice")</f>
        <v>0</v>
      </c>
      <c r="Q33" s="52" t="s">
        <v>39</v>
      </c>
      <c r="R33" s="52">
        <f>IF(S33="中金买入",1,-1)</f>
        <v>-1</v>
      </c>
      <c r="S33" s="56" t="s">
        <v>20</v>
      </c>
      <c r="T33" s="58"/>
      <c r="U33" s="51" t="e">
        <f>_xll.dnetGBlackScholesNGreeks("delta",$Q33,$P33,$G33,$I33,$C$3,$J33,$K33,$C$4)*R33</f>
        <v>#VALUE!</v>
      </c>
      <c r="V33" s="51">
        <f>_xll.dnetGBlackScholesNGreeks("vega",$Q33,$P33,$G33,$I33,$C$3,$J33,$K33,$C$4)*R33</f>
        <v>0</v>
      </c>
    </row>
    <row r="34" spans="1:22" s="98" customFormat="1" ht="14.25" thickBot="1" x14ac:dyDescent="0.2">
      <c r="A34" s="97"/>
      <c r="B34" s="59" t="s">
        <v>175</v>
      </c>
      <c r="C34" s="60" t="s">
        <v>160</v>
      </c>
      <c r="D34" s="60" t="str">
        <f>D33</f>
        <v>rb1810</v>
      </c>
      <c r="E34" s="62">
        <f t="shared" ref="E34:F34" ca="1" si="20">E33</f>
        <v>43301</v>
      </c>
      <c r="F34" s="62">
        <f t="shared" ca="1" si="20"/>
        <v>43331</v>
      </c>
      <c r="G34" s="60" t="str">
        <f>G32 &amp; "|" &amp; G33</f>
        <v>3300|4000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3294.5797986463072</v>
      </c>
      <c r="M34" s="60">
        <v>0</v>
      </c>
      <c r="N34" s="59">
        <f>M34/10000*I34*P34</f>
        <v>0</v>
      </c>
      <c r="O34" s="59">
        <f t="shared" si="18"/>
        <v>3294.5797986463072</v>
      </c>
      <c r="P34" s="111">
        <f>RTD("wdf.rtq",,D34,"LastPrice")</f>
        <v>0</v>
      </c>
      <c r="Q34" s="60"/>
      <c r="R34" s="60"/>
      <c r="S34" s="56"/>
      <c r="T34" s="64" t="e">
        <f>O34/P34</f>
        <v>#DIV/0!</v>
      </c>
      <c r="U34" s="64" t="e">
        <f>U33+U32</f>
        <v>#VALUE!</v>
      </c>
      <c r="V34" s="64">
        <f>V33+V32</f>
        <v>0</v>
      </c>
    </row>
    <row r="35" spans="1:22" ht="12" thickBot="1" x14ac:dyDescent="0.2"/>
    <row r="36" spans="1:22" s="95" customFormat="1" ht="14.25" thickTop="1" x14ac:dyDescent="0.15">
      <c r="A36" s="96"/>
      <c r="B36" s="43" t="s">
        <v>173</v>
      </c>
      <c r="C36" s="44" t="s">
        <v>160</v>
      </c>
      <c r="D36" s="44" t="s">
        <v>300</v>
      </c>
      <c r="E36" s="46">
        <f ca="1">TODAY()</f>
        <v>43301</v>
      </c>
      <c r="F36" s="46">
        <f ca="1">E36+H36</f>
        <v>43332</v>
      </c>
      <c r="G36" s="118">
        <v>430</v>
      </c>
      <c r="H36" s="44">
        <v>31</v>
      </c>
      <c r="I36" s="47">
        <f>H36/365</f>
        <v>8.4931506849315067E-2</v>
      </c>
      <c r="J36" s="47">
        <v>0</v>
      </c>
      <c r="K36" s="48">
        <f>K37-0.0325</f>
        <v>0.29000000000000004</v>
      </c>
      <c r="L36" s="43">
        <f>_xll.dnetGBlackScholesNGreeks("price",$Q36,$P36,$G36,$I36,$C$3,$J36,$K36,$C$4)*R36</f>
        <v>2.9242371163718985</v>
      </c>
      <c r="M36" s="49"/>
      <c r="N36" s="43"/>
      <c r="O36" s="43">
        <f t="shared" ref="O36:O44" si="21">IF(L36&lt;=0,ABS(L36)+N36,L36-N36)</f>
        <v>2.9242371163718985</v>
      </c>
      <c r="P36" s="110">
        <v>469.5</v>
      </c>
      <c r="Q36" s="44" t="s">
        <v>85</v>
      </c>
      <c r="R36" s="44">
        <f>IF(S36="中金买入",1,-1)</f>
        <v>1</v>
      </c>
      <c r="S36" s="48" t="s">
        <v>151</v>
      </c>
      <c r="T36" s="50"/>
      <c r="U36" s="43">
        <f>_xll.dnetGBlackScholesNGreeks("delta",$Q36,$P36,$G36,$I36,$C$3,$J36,$K36,$C$4)*R36</f>
        <v>-0.13936430962075974</v>
      </c>
      <c r="V36" s="43">
        <f>_xll.dnetGBlackScholesNGreeks("vega",$Q36,$P36,$G36,$I36,$C$3,$J36,$K36,$C$4)*R36</f>
        <v>0.30331288973533788</v>
      </c>
    </row>
    <row r="37" spans="1:22" s="95" customFormat="1" ht="13.5" x14ac:dyDescent="0.15">
      <c r="A37" s="96"/>
      <c r="B37" s="51" t="s">
        <v>174</v>
      </c>
      <c r="C37" s="52" t="s">
        <v>160</v>
      </c>
      <c r="D37" s="52" t="s">
        <v>298</v>
      </c>
      <c r="E37" s="54">
        <f t="shared" ref="E37:F37" ca="1" si="22">E36</f>
        <v>43301</v>
      </c>
      <c r="F37" s="54">
        <f t="shared" ca="1" si="22"/>
        <v>43332</v>
      </c>
      <c r="G37" s="119">
        <v>500</v>
      </c>
      <c r="H37" s="52">
        <f>H36</f>
        <v>31</v>
      </c>
      <c r="I37" s="55">
        <f>H37/365</f>
        <v>8.4931506849315067E-2</v>
      </c>
      <c r="J37" s="55">
        <f>J36</f>
        <v>0</v>
      </c>
      <c r="K37" s="56">
        <v>0.32250000000000001</v>
      </c>
      <c r="L37" s="51">
        <f>_xll.dnetGBlackScholesNGreeks("price",$Q37,$P37,$G37,$I37,$C$3,$J37,$K37,$C$4)*R37</f>
        <v>-6.8312770804356688</v>
      </c>
      <c r="M37" s="57"/>
      <c r="N37" s="51"/>
      <c r="O37" s="51">
        <f t="shared" si="21"/>
        <v>6.8312770804356688</v>
      </c>
      <c r="P37" s="94">
        <v>469.5</v>
      </c>
      <c r="Q37" s="52" t="s">
        <v>39</v>
      </c>
      <c r="R37" s="52">
        <f>IF(S37="中金买入",1,-1)</f>
        <v>-1</v>
      </c>
      <c r="S37" s="56" t="s">
        <v>20</v>
      </c>
      <c r="T37" s="58"/>
      <c r="U37" s="51">
        <f>_xll.dnetGBlackScholesNGreeks("delta",$Q37,$P37,$G37,$I37,$C$3,$J37,$K37,$C$4)*R37</f>
        <v>-0.26629552149728397</v>
      </c>
      <c r="V37" s="51">
        <f>_xll.dnetGBlackScholesNGreeks("vega",$Q37,$P37,$G37,$I37,$C$3,$J37,$K37,$C$4)*R37</f>
        <v>-0.44881616700052263</v>
      </c>
    </row>
    <row r="38" spans="1:22" s="98" customFormat="1" ht="14.25" thickBot="1" x14ac:dyDescent="0.2">
      <c r="A38" s="97"/>
      <c r="B38" s="59" t="s">
        <v>175</v>
      </c>
      <c r="C38" s="60" t="s">
        <v>160</v>
      </c>
      <c r="D38" s="60" t="s">
        <v>298</v>
      </c>
      <c r="E38" s="62">
        <f t="shared" ref="E38:F38" ca="1" si="23">E37</f>
        <v>43301</v>
      </c>
      <c r="F38" s="62">
        <f t="shared" ca="1" si="23"/>
        <v>43332</v>
      </c>
      <c r="G38" s="60" t="str">
        <f>G36 &amp; "|" &amp; G37</f>
        <v>430|500</v>
      </c>
      <c r="H38" s="60">
        <f>H37</f>
        <v>31</v>
      </c>
      <c r="I38" s="63">
        <f>I37</f>
        <v>8.4931506849315067E-2</v>
      </c>
      <c r="J38" s="63"/>
      <c r="K38" s="60"/>
      <c r="L38" s="59">
        <f>L37+L36</f>
        <v>-3.9070399640637703</v>
      </c>
      <c r="M38" s="60">
        <v>0</v>
      </c>
      <c r="N38" s="59">
        <f>M38/10000*I38*P38</f>
        <v>0</v>
      </c>
      <c r="O38" s="59">
        <f t="shared" si="21"/>
        <v>3.9070399640637703</v>
      </c>
      <c r="P38" s="111">
        <v>469.5</v>
      </c>
      <c r="Q38" s="60"/>
      <c r="R38" s="60"/>
      <c r="S38" s="56"/>
      <c r="T38" s="64">
        <f>O38/P38</f>
        <v>8.3217038638205964E-3</v>
      </c>
      <c r="U38" s="64">
        <f>U37+U36</f>
        <v>-0.40565983111804371</v>
      </c>
      <c r="V38" s="64">
        <f>V37+V36</f>
        <v>-0.14550327726518475</v>
      </c>
    </row>
    <row r="39" spans="1:22" s="95" customFormat="1" ht="14.25" thickTop="1" x14ac:dyDescent="0.15">
      <c r="A39" s="96"/>
      <c r="B39" s="43" t="s">
        <v>173</v>
      </c>
      <c r="C39" s="44" t="s">
        <v>160</v>
      </c>
      <c r="D39" s="44" t="s">
        <v>298</v>
      </c>
      <c r="E39" s="46">
        <f ca="1">TODAY()</f>
        <v>43301</v>
      </c>
      <c r="F39" s="46">
        <f ca="1">E39+H39</f>
        <v>43332</v>
      </c>
      <c r="G39" s="118">
        <v>440</v>
      </c>
      <c r="H39" s="44">
        <v>31</v>
      </c>
      <c r="I39" s="47">
        <f>H39/365</f>
        <v>8.4931506849315067E-2</v>
      </c>
      <c r="J39" s="47">
        <v>0</v>
      </c>
      <c r="K39" s="48">
        <f>K40-0.0325</f>
        <v>0.29000000000000004</v>
      </c>
      <c r="L39" s="43">
        <f>_xll.dnetGBlackScholesNGreeks("price",$Q39,$P39,$G39,$I39,$C$3,$J39,$K39,$C$4)*R39</f>
        <v>4.8742205855309351</v>
      </c>
      <c r="M39" s="49"/>
      <c r="N39" s="43"/>
      <c r="O39" s="43">
        <f t="shared" si="21"/>
        <v>4.8742205855309351</v>
      </c>
      <c r="P39" s="110">
        <v>469.5</v>
      </c>
      <c r="Q39" s="44" t="s">
        <v>85</v>
      </c>
      <c r="R39" s="44">
        <f>IF(S39="中金买入",1,-1)</f>
        <v>1</v>
      </c>
      <c r="S39" s="48" t="s">
        <v>151</v>
      </c>
      <c r="T39" s="50"/>
      <c r="U39" s="43">
        <f>_xll.dnetGBlackScholesNGreeks("delta",$Q39,$P39,$G39,$I39,$C$3,$J39,$K39,$C$4)*R39</f>
        <v>-0.20858824173473067</v>
      </c>
      <c r="V39" s="43">
        <f>_xll.dnetGBlackScholesNGreeks("vega",$Q39,$P39,$G39,$I39,$C$3,$J39,$K39,$C$4)*R39</f>
        <v>0.39238825171423031</v>
      </c>
    </row>
    <row r="40" spans="1:22" s="95" customFormat="1" ht="13.5" x14ac:dyDescent="0.15">
      <c r="A40" s="96"/>
      <c r="B40" s="51" t="s">
        <v>174</v>
      </c>
      <c r="C40" s="52" t="s">
        <v>160</v>
      </c>
      <c r="D40" s="52" t="s">
        <v>298</v>
      </c>
      <c r="E40" s="54">
        <f t="shared" ref="E40:F40" ca="1" si="24">E39</f>
        <v>43301</v>
      </c>
      <c r="F40" s="54">
        <f t="shared" ca="1" si="24"/>
        <v>43332</v>
      </c>
      <c r="G40" s="119">
        <v>470</v>
      </c>
      <c r="H40" s="52">
        <f>H39</f>
        <v>31</v>
      </c>
      <c r="I40" s="55">
        <f>H40/365</f>
        <v>8.4931506849315067E-2</v>
      </c>
      <c r="J40" s="55">
        <f>J39</f>
        <v>0</v>
      </c>
      <c r="K40" s="56">
        <v>0.32250000000000001</v>
      </c>
      <c r="L40" s="51">
        <f>_xll.dnetGBlackScholesNGreeks("price",$Q40,$P40,$G40,$I40,$C$3,$J40,$K40,$C$4)*R40</f>
        <v>-17.328498321608265</v>
      </c>
      <c r="M40" s="57"/>
      <c r="N40" s="51"/>
      <c r="O40" s="51">
        <f t="shared" si="21"/>
        <v>17.328498321608265</v>
      </c>
      <c r="P40" s="94">
        <v>469.5</v>
      </c>
      <c r="Q40" s="52" t="s">
        <v>39</v>
      </c>
      <c r="R40" s="52">
        <f>IF(S40="中金买入",1,-1)</f>
        <v>-1</v>
      </c>
      <c r="S40" s="56" t="s">
        <v>20</v>
      </c>
      <c r="T40" s="58"/>
      <c r="U40" s="51">
        <f>_xll.dnetGBlackScholesNGreeks("delta",$Q40,$P40,$G40,$I40,$C$3,$J40,$K40,$C$4)*R40</f>
        <v>-0.51335374931653632</v>
      </c>
      <c r="V40" s="51">
        <f>_xll.dnetGBlackScholesNGreeks("vega",$Q40,$P40,$G40,$I40,$C$3,$J40,$K40,$C$4)*R40</f>
        <v>-0.54458532464990128</v>
      </c>
    </row>
    <row r="41" spans="1:22" s="98" customFormat="1" ht="14.25" thickBot="1" x14ac:dyDescent="0.2">
      <c r="A41" s="97"/>
      <c r="B41" s="59" t="s">
        <v>175</v>
      </c>
      <c r="C41" s="60" t="s">
        <v>160</v>
      </c>
      <c r="D41" s="60" t="s">
        <v>298</v>
      </c>
      <c r="E41" s="62">
        <f t="shared" ref="E41:F41" ca="1" si="25">E40</f>
        <v>43301</v>
      </c>
      <c r="F41" s="62">
        <f t="shared" ca="1" si="25"/>
        <v>43332</v>
      </c>
      <c r="G41" s="60" t="str">
        <f>G39 &amp; "|" &amp; G40</f>
        <v>440|470</v>
      </c>
      <c r="H41" s="60">
        <v>31</v>
      </c>
      <c r="I41" s="63">
        <f>I40</f>
        <v>8.4931506849315067E-2</v>
      </c>
      <c r="J41" s="63"/>
      <c r="K41" s="60"/>
      <c r="L41" s="59">
        <f>L40+L39</f>
        <v>-12.45427773607733</v>
      </c>
      <c r="M41" s="60">
        <v>0</v>
      </c>
      <c r="N41" s="59">
        <f>M41/10000*I41*P41</f>
        <v>0</v>
      </c>
      <c r="O41" s="59">
        <f t="shared" si="21"/>
        <v>12.45427773607733</v>
      </c>
      <c r="P41" s="111">
        <v>469.5</v>
      </c>
      <c r="Q41" s="60"/>
      <c r="R41" s="60"/>
      <c r="S41" s="56"/>
      <c r="T41" s="64">
        <f>O41/P41</f>
        <v>2.6526683143934675E-2</v>
      </c>
      <c r="U41" s="64">
        <f>U40+U39</f>
        <v>-0.721941991051267</v>
      </c>
      <c r="V41" s="64">
        <f>V40+V39</f>
        <v>-0.15219707293567097</v>
      </c>
    </row>
    <row r="42" spans="1:22" s="95" customFormat="1" ht="14.25" thickTop="1" x14ac:dyDescent="0.15">
      <c r="A42" s="96"/>
      <c r="B42" s="43" t="s">
        <v>173</v>
      </c>
      <c r="C42" s="44" t="s">
        <v>160</v>
      </c>
      <c r="D42" s="44" t="s">
        <v>298</v>
      </c>
      <c r="E42" s="46">
        <f ca="1">TODAY()</f>
        <v>43301</v>
      </c>
      <c r="F42" s="46">
        <f ca="1">E42+H42</f>
        <v>43332</v>
      </c>
      <c r="G42" s="118">
        <v>420</v>
      </c>
      <c r="H42" s="44">
        <v>31</v>
      </c>
      <c r="I42" s="47">
        <f>H42/365</f>
        <v>8.4931506849315067E-2</v>
      </c>
      <c r="J42" s="47">
        <v>0</v>
      </c>
      <c r="K42" s="48">
        <f>K43-0.0325</f>
        <v>0.29000000000000004</v>
      </c>
      <c r="L42" s="43">
        <f>_xll.dnetGBlackScholesNGreeks("price",$Q42,$P42,$G42,$I42,$C$3,$J42,$K42,$C$4)*R42</f>
        <v>1.6395212588353729</v>
      </c>
      <c r="M42" s="49"/>
      <c r="N42" s="43"/>
      <c r="O42" s="43">
        <f t="shared" si="21"/>
        <v>1.6395212588353729</v>
      </c>
      <c r="P42" s="110">
        <v>469.5</v>
      </c>
      <c r="Q42" s="44" t="s">
        <v>85</v>
      </c>
      <c r="R42" s="44">
        <f>IF(S42="中金买入",1,-1)</f>
        <v>1</v>
      </c>
      <c r="S42" s="48" t="s">
        <v>151</v>
      </c>
      <c r="T42" s="50"/>
      <c r="U42" s="43">
        <f>_xll.dnetGBlackScholesNGreeks("delta",$Q42,$P42,$G42,$I42,$C$3,$J42,$K42,$C$4)*R42</f>
        <v>-8.6683522920694145E-2</v>
      </c>
      <c r="V42" s="43">
        <f>_xll.dnetGBlackScholesNGreeks("vega",$Q42,$P42,$G42,$I42,$C$3,$J42,$K42,$C$4)*R42</f>
        <v>0.21587557131876878</v>
      </c>
    </row>
    <row r="43" spans="1:22" s="95" customFormat="1" ht="13.5" x14ac:dyDescent="0.15">
      <c r="A43" s="96"/>
      <c r="B43" s="51" t="s">
        <v>174</v>
      </c>
      <c r="C43" s="52" t="s">
        <v>160</v>
      </c>
      <c r="D43" s="52" t="s">
        <v>298</v>
      </c>
      <c r="E43" s="54">
        <f t="shared" ref="E43:F43" ca="1" si="26">E42</f>
        <v>43301</v>
      </c>
      <c r="F43" s="54">
        <f t="shared" ca="1" si="26"/>
        <v>43332</v>
      </c>
      <c r="G43" s="119">
        <v>490</v>
      </c>
      <c r="H43" s="52">
        <f>H42</f>
        <v>31</v>
      </c>
      <c r="I43" s="55">
        <f>H43/365</f>
        <v>8.4931506849315067E-2</v>
      </c>
      <c r="J43" s="55">
        <f>J42</f>
        <v>0</v>
      </c>
      <c r="K43" s="56">
        <v>0.32250000000000001</v>
      </c>
      <c r="L43" s="51">
        <f>_xll.dnetGBlackScholesNGreeks("price",$Q43,$P43,$G43,$I43,$C$3,$J43,$K43,$C$4)*R43</f>
        <v>-9.5413554647431624</v>
      </c>
      <c r="M43" s="57"/>
      <c r="N43" s="51"/>
      <c r="O43" s="51">
        <f t="shared" si="21"/>
        <v>9.5413554647431624</v>
      </c>
      <c r="P43" s="94">
        <v>469.5</v>
      </c>
      <c r="Q43" s="52" t="s">
        <v>39</v>
      </c>
      <c r="R43" s="52">
        <f>IF(S43="中金买入",1,-1)</f>
        <v>-1</v>
      </c>
      <c r="S43" s="56" t="s">
        <v>20</v>
      </c>
      <c r="T43" s="58"/>
      <c r="U43" s="51">
        <f>_xll.dnetGBlackScholesNGreeks("delta",$Q43,$P43,$G43,$I43,$C$3,$J43,$K43,$C$4)*R43</f>
        <v>-0.34115833825580921</v>
      </c>
      <c r="V43" s="51">
        <f>_xll.dnetGBlackScholesNGreeks("vega",$Q43,$P43,$G43,$I43,$C$3,$J43,$K43,$C$4)*R43</f>
        <v>-0.50142236526468764</v>
      </c>
    </row>
    <row r="44" spans="1:22" s="98" customFormat="1" ht="14.25" thickBot="1" x14ac:dyDescent="0.2">
      <c r="A44" s="97"/>
      <c r="B44" s="59" t="s">
        <v>175</v>
      </c>
      <c r="C44" s="60" t="s">
        <v>160</v>
      </c>
      <c r="D44" s="60" t="s">
        <v>298</v>
      </c>
      <c r="E44" s="62">
        <f t="shared" ref="E44:F44" ca="1" si="27">E43</f>
        <v>43301</v>
      </c>
      <c r="F44" s="62">
        <f t="shared" ca="1" si="27"/>
        <v>43332</v>
      </c>
      <c r="G44" s="60" t="str">
        <f>G42 &amp; "|" &amp; G43</f>
        <v>420|490</v>
      </c>
      <c r="H44" s="60">
        <f>H43</f>
        <v>31</v>
      </c>
      <c r="I44" s="63">
        <f>I43</f>
        <v>8.4931506849315067E-2</v>
      </c>
      <c r="J44" s="63"/>
      <c r="K44" s="60"/>
      <c r="L44" s="59">
        <f>L43+L42</f>
        <v>-7.9018342059077895</v>
      </c>
      <c r="M44" s="60">
        <v>0</v>
      </c>
      <c r="N44" s="59">
        <f>M44/10000*I44*P44</f>
        <v>0</v>
      </c>
      <c r="O44" s="59">
        <f t="shared" si="21"/>
        <v>7.9018342059077895</v>
      </c>
      <c r="P44" s="111">
        <v>469.5</v>
      </c>
      <c r="Q44" s="60"/>
      <c r="R44" s="60"/>
      <c r="S44" s="56"/>
      <c r="T44" s="64">
        <f>O44/P44</f>
        <v>1.6830317797460682E-2</v>
      </c>
      <c r="U44" s="64">
        <f>U43+U42</f>
        <v>-0.42784186117650336</v>
      </c>
      <c r="V44" s="64">
        <f>V43+V42</f>
        <v>-0.28554679394591886</v>
      </c>
    </row>
    <row r="45" spans="1:22" ht="12" thickBot="1" x14ac:dyDescent="0.2"/>
    <row r="46" spans="1:22" s="95" customFormat="1" ht="14.25" thickTop="1" x14ac:dyDescent="0.15">
      <c r="A46" s="96"/>
      <c r="B46" s="43" t="s">
        <v>173</v>
      </c>
      <c r="C46" s="44" t="s">
        <v>160</v>
      </c>
      <c r="D46" s="44" t="s">
        <v>298</v>
      </c>
      <c r="E46" s="46">
        <f ca="1">TODAY()</f>
        <v>43301</v>
      </c>
      <c r="F46" s="46">
        <f ca="1">E46+H46</f>
        <v>43393</v>
      </c>
      <c r="G46" s="118">
        <v>430</v>
      </c>
      <c r="H46" s="44">
        <v>92</v>
      </c>
      <c r="I46" s="47">
        <f>H46/365</f>
        <v>0.25205479452054796</v>
      </c>
      <c r="J46" s="47">
        <v>0</v>
      </c>
      <c r="K46" s="48">
        <f>K47-0.0325</f>
        <v>0.29000000000000004</v>
      </c>
      <c r="L46" s="43">
        <f>_xll.dnetGBlackScholesNGreeks("price",$Q46,$P46,$G46,$I46,$C$3,$J46,$K46,$C$4)*R46</f>
        <v>10.898780284091046</v>
      </c>
      <c r="M46" s="49"/>
      <c r="N46" s="43"/>
      <c r="O46" s="43">
        <f t="shared" ref="O46:O54" si="28">IF(L46&lt;=0,ABS(L46)+N46,L46-N46)</f>
        <v>10.898780284091046</v>
      </c>
      <c r="P46" s="110">
        <v>469.5</v>
      </c>
      <c r="Q46" s="44" t="s">
        <v>85</v>
      </c>
      <c r="R46" s="44">
        <f>IF(S46="中金买入",1,-1)</f>
        <v>1</v>
      </c>
      <c r="S46" s="48" t="s">
        <v>151</v>
      </c>
      <c r="T46" s="50"/>
      <c r="U46" s="43">
        <f>_xll.dnetGBlackScholesNGreeks("delta",$Q46,$P46,$G46,$I46,$C$3,$J46,$K46,$C$4)*R46</f>
        <v>-0.24813549313904559</v>
      </c>
      <c r="V46" s="43">
        <f>_xll.dnetGBlackScholesNGreeks("vega",$Q46,$P46,$G46,$I46,$C$3,$J46,$K46,$C$4)*R46</f>
        <v>0.74416325198087208</v>
      </c>
    </row>
    <row r="47" spans="1:22" s="95" customFormat="1" ht="13.5" x14ac:dyDescent="0.15">
      <c r="A47" s="96"/>
      <c r="B47" s="51" t="s">
        <v>174</v>
      </c>
      <c r="C47" s="52" t="s">
        <v>160</v>
      </c>
      <c r="D47" s="52" t="s">
        <v>298</v>
      </c>
      <c r="E47" s="54">
        <f t="shared" ref="E47:F47" ca="1" si="29">E46</f>
        <v>43301</v>
      </c>
      <c r="F47" s="54">
        <f t="shared" ca="1" si="29"/>
        <v>43393</v>
      </c>
      <c r="G47" s="119">
        <v>500</v>
      </c>
      <c r="H47" s="52">
        <f>H46</f>
        <v>92</v>
      </c>
      <c r="I47" s="55">
        <f>H47/365</f>
        <v>0.25205479452054796</v>
      </c>
      <c r="J47" s="55">
        <f>J46</f>
        <v>0</v>
      </c>
      <c r="K47" s="56">
        <v>0.32250000000000001</v>
      </c>
      <c r="L47" s="51">
        <f>_xll.dnetGBlackScholesNGreeks("price",$Q47,$P47,$G47,$I47,$C$3,$J47,$K47,$C$4)*R47</f>
        <v>-18.262935638180551</v>
      </c>
      <c r="M47" s="57"/>
      <c r="N47" s="51"/>
      <c r="O47" s="51">
        <f t="shared" si="28"/>
        <v>18.262935638180551</v>
      </c>
      <c r="P47" s="94">
        <v>469.5</v>
      </c>
      <c r="Q47" s="52" t="s">
        <v>39</v>
      </c>
      <c r="R47" s="52">
        <f>IF(S47="中金买入",1,-1)</f>
        <v>-1</v>
      </c>
      <c r="S47" s="56" t="s">
        <v>20</v>
      </c>
      <c r="T47" s="58"/>
      <c r="U47" s="51">
        <f>_xll.dnetGBlackScholesNGreeks("delta",$Q47,$P47,$G47,$I47,$C$3,$J47,$K47,$C$4)*R47</f>
        <v>-0.37722058356735033</v>
      </c>
      <c r="V47" s="51">
        <f>_xll.dnetGBlackScholesNGreeks("vega",$Q47,$P47,$G47,$I47,$C$3,$J47,$K47,$C$4)*R47</f>
        <v>-0.89228574005647943</v>
      </c>
    </row>
    <row r="48" spans="1:22" s="98" customFormat="1" ht="14.25" thickBot="1" x14ac:dyDescent="0.2">
      <c r="A48" s="97"/>
      <c r="B48" s="59" t="s">
        <v>175</v>
      </c>
      <c r="C48" s="60" t="s">
        <v>160</v>
      </c>
      <c r="D48" s="60" t="s">
        <v>298</v>
      </c>
      <c r="E48" s="62">
        <f t="shared" ref="E48:F48" ca="1" si="30">E47</f>
        <v>43301</v>
      </c>
      <c r="F48" s="62">
        <f t="shared" ca="1" si="30"/>
        <v>43393</v>
      </c>
      <c r="G48" s="60" t="str">
        <f>G46 &amp; "|" &amp; G47</f>
        <v>430|500</v>
      </c>
      <c r="H48" s="60">
        <f>H47</f>
        <v>92</v>
      </c>
      <c r="I48" s="63">
        <f>I47</f>
        <v>0.25205479452054796</v>
      </c>
      <c r="J48" s="63"/>
      <c r="K48" s="60"/>
      <c r="L48" s="59">
        <f>L47+L46</f>
        <v>-7.3641553540895046</v>
      </c>
      <c r="M48" s="60">
        <v>0</v>
      </c>
      <c r="N48" s="59">
        <f>M48/10000*I48*P48</f>
        <v>0</v>
      </c>
      <c r="O48" s="59">
        <f t="shared" si="28"/>
        <v>7.3641553540895046</v>
      </c>
      <c r="P48" s="111">
        <v>469.5</v>
      </c>
      <c r="Q48" s="60"/>
      <c r="R48" s="60"/>
      <c r="S48" s="56"/>
      <c r="T48" s="64">
        <f>O48/P48</f>
        <v>1.5685101925643246E-2</v>
      </c>
      <c r="U48" s="64">
        <f>U47+U46</f>
        <v>-0.62535607670639592</v>
      </c>
      <c r="V48" s="64">
        <f>V47+V46</f>
        <v>-0.14812248807560735</v>
      </c>
    </row>
    <row r="49" spans="1:22" s="95" customFormat="1" ht="14.25" thickTop="1" x14ac:dyDescent="0.15">
      <c r="A49" s="96"/>
      <c r="B49" s="43" t="s">
        <v>173</v>
      </c>
      <c r="C49" s="44" t="s">
        <v>160</v>
      </c>
      <c r="D49" s="44" t="s">
        <v>298</v>
      </c>
      <c r="E49" s="46">
        <f ca="1">TODAY()</f>
        <v>43301</v>
      </c>
      <c r="F49" s="46">
        <f ca="1">E49+H49</f>
        <v>43393</v>
      </c>
      <c r="G49" s="118">
        <v>440</v>
      </c>
      <c r="H49" s="44">
        <v>92</v>
      </c>
      <c r="I49" s="47">
        <f>H49/365</f>
        <v>0.25205479452054796</v>
      </c>
      <c r="J49" s="47">
        <v>0</v>
      </c>
      <c r="K49" s="48">
        <f>K50-0.0325</f>
        <v>0.29000000000000004</v>
      </c>
      <c r="L49" s="43">
        <f>_xll.dnetGBlackScholesNGreeks("price",$Q49,$P49,$G49,$I49,$C$3,$J49,$K49,$C$4)*R49</f>
        <v>14.141992358788684</v>
      </c>
      <c r="M49" s="49"/>
      <c r="N49" s="43"/>
      <c r="O49" s="43">
        <f t="shared" si="28"/>
        <v>14.141992358788684</v>
      </c>
      <c r="P49" s="110">
        <v>469.5</v>
      </c>
      <c r="Q49" s="44" t="s">
        <v>85</v>
      </c>
      <c r="R49" s="44">
        <f>IF(S49="中金买入",1,-1)</f>
        <v>1</v>
      </c>
      <c r="S49" s="48" t="s">
        <v>151</v>
      </c>
      <c r="T49" s="50"/>
      <c r="U49" s="43">
        <f>_xll.dnetGBlackScholesNGreeks("delta",$Q49,$P49,$G49,$I49,$C$3,$J49,$K49,$C$4)*R49</f>
        <v>-0.30053196933010895</v>
      </c>
      <c r="V49" s="43">
        <f>_xll.dnetGBlackScholesNGreeks("vega",$Q49,$P49,$G49,$I49,$C$3,$J49,$K49,$C$4)*R49</f>
        <v>0.81785131050196469</v>
      </c>
    </row>
    <row r="50" spans="1:22" s="95" customFormat="1" ht="13.5" x14ac:dyDescent="0.15">
      <c r="A50" s="96"/>
      <c r="B50" s="51" t="s">
        <v>174</v>
      </c>
      <c r="C50" s="52" t="s">
        <v>160</v>
      </c>
      <c r="D50" s="52" t="s">
        <v>298</v>
      </c>
      <c r="E50" s="54">
        <f t="shared" ref="E50:F50" ca="1" si="31">E49</f>
        <v>43301</v>
      </c>
      <c r="F50" s="54">
        <f t="shared" ca="1" si="31"/>
        <v>43393</v>
      </c>
      <c r="G50" s="119">
        <v>470</v>
      </c>
      <c r="H50" s="52">
        <f>H49</f>
        <v>92</v>
      </c>
      <c r="I50" s="55">
        <f>H50/365</f>
        <v>0.25205479452054796</v>
      </c>
      <c r="J50" s="55">
        <f>J49</f>
        <v>0</v>
      </c>
      <c r="K50" s="56">
        <v>0.32250000000000001</v>
      </c>
      <c r="L50" s="51">
        <f>_xll.dnetGBlackScholesNGreeks("price",$Q50,$P50,$G50,$I50,$C$3,$J50,$K50,$C$4)*R50</f>
        <v>-29.909075709200607</v>
      </c>
      <c r="M50" s="57"/>
      <c r="N50" s="51"/>
      <c r="O50" s="51">
        <f t="shared" si="28"/>
        <v>29.909075709200607</v>
      </c>
      <c r="P50" s="94">
        <v>469.5</v>
      </c>
      <c r="Q50" s="52" t="s">
        <v>39</v>
      </c>
      <c r="R50" s="52">
        <f>IF(S50="中金买入",1,-1)</f>
        <v>-1</v>
      </c>
      <c r="S50" s="56" t="s">
        <v>20</v>
      </c>
      <c r="T50" s="58"/>
      <c r="U50" s="51">
        <f>_xll.dnetGBlackScholesNGreeks("delta",$Q50,$P50,$G50,$I50,$C$3,$J50,$K50,$C$4)*R50</f>
        <v>-0.5269833888348785</v>
      </c>
      <c r="V50" s="51">
        <f>_xll.dnetGBlackScholesNGreeks("vega",$Q50,$P50,$G50,$I50,$C$3,$J50,$K50,$C$4)*R50</f>
        <v>-0.93304365572524262</v>
      </c>
    </row>
    <row r="51" spans="1:22" s="98" customFormat="1" ht="14.25" thickBot="1" x14ac:dyDescent="0.2">
      <c r="A51" s="97"/>
      <c r="B51" s="59" t="s">
        <v>175</v>
      </c>
      <c r="C51" s="60" t="s">
        <v>160</v>
      </c>
      <c r="D51" s="60" t="s">
        <v>298</v>
      </c>
      <c r="E51" s="62">
        <f t="shared" ref="E51:F51" ca="1" si="32">E50</f>
        <v>43301</v>
      </c>
      <c r="F51" s="62">
        <f t="shared" ca="1" si="32"/>
        <v>43393</v>
      </c>
      <c r="G51" s="60" t="str">
        <f>G49 &amp; "|" &amp; G50</f>
        <v>440|470</v>
      </c>
      <c r="H51" s="60">
        <f>H50</f>
        <v>92</v>
      </c>
      <c r="I51" s="63">
        <f>I50</f>
        <v>0.25205479452054796</v>
      </c>
      <c r="J51" s="63"/>
      <c r="K51" s="60"/>
      <c r="L51" s="59">
        <f>L50+L49</f>
        <v>-15.767083350411923</v>
      </c>
      <c r="M51" s="60">
        <v>0</v>
      </c>
      <c r="N51" s="59">
        <f>M51/10000*I51*P51</f>
        <v>0</v>
      </c>
      <c r="O51" s="59">
        <f t="shared" si="28"/>
        <v>15.767083350411923</v>
      </c>
      <c r="P51" s="111">
        <v>469.5</v>
      </c>
      <c r="Q51" s="60"/>
      <c r="R51" s="60"/>
      <c r="S51" s="56"/>
      <c r="T51" s="64">
        <f>O51/P51</f>
        <v>3.3582712141452448E-2</v>
      </c>
      <c r="U51" s="64">
        <f>U50+U49</f>
        <v>-0.82751535816498745</v>
      </c>
      <c r="V51" s="64">
        <f>V50+V49</f>
        <v>-0.11519234522327793</v>
      </c>
    </row>
    <row r="52" spans="1:22" s="95" customFormat="1" ht="14.25" thickTop="1" x14ac:dyDescent="0.15">
      <c r="A52" s="96"/>
      <c r="B52" s="43" t="s">
        <v>173</v>
      </c>
      <c r="C52" s="44" t="s">
        <v>160</v>
      </c>
      <c r="D52" s="44" t="s">
        <v>331</v>
      </c>
      <c r="E52" s="46">
        <f ca="1">TODAY()</f>
        <v>43301</v>
      </c>
      <c r="F52" s="46">
        <f ca="1">E52+H52</f>
        <v>43333</v>
      </c>
      <c r="G52" s="118">
        <v>450</v>
      </c>
      <c r="H52" s="44">
        <v>32</v>
      </c>
      <c r="I52" s="47">
        <f>H52/365</f>
        <v>8.7671232876712329E-2</v>
      </c>
      <c r="J52" s="47">
        <v>0</v>
      </c>
      <c r="K52" s="48">
        <v>0.30249999999999999</v>
      </c>
      <c r="L52" s="43">
        <f>_xll.dnetGBlackScholesNGreeks("price",$Q52,$P52,$G52,$I52,$C$3,$J52,$K52,$C$4)*R52</f>
        <v>-449.2116502620259</v>
      </c>
      <c r="M52" s="49"/>
      <c r="N52" s="43"/>
      <c r="O52" s="43">
        <f t="shared" si="28"/>
        <v>449.2116502620259</v>
      </c>
      <c r="P52" s="110">
        <f>RTD("wdf.rtq",,D52,"LastPrice")</f>
        <v>0</v>
      </c>
      <c r="Q52" s="44" t="s">
        <v>85</v>
      </c>
      <c r="R52" s="44">
        <f>IF(S52="中金买入",1,-1)</f>
        <v>-1</v>
      </c>
      <c r="S52" s="48" t="s">
        <v>20</v>
      </c>
      <c r="T52" s="50"/>
      <c r="U52" s="43" t="e">
        <f>_xll.dnetGBlackScholesNGreeks("delta",$Q52,$P52,$G52,$I52,$C$3,$J52,$K52,$C$4)*R52</f>
        <v>#VALUE!</v>
      </c>
      <c r="V52" s="43">
        <f>_xll.dnetGBlackScholesNGreeks("vega",$Q52,$P52,$G52,$I52,$C$3,$J52,$K52,$C$4)*R52</f>
        <v>0</v>
      </c>
    </row>
    <row r="53" spans="1:22" s="95" customFormat="1" ht="13.5" x14ac:dyDescent="0.15">
      <c r="A53" s="96"/>
      <c r="B53" s="51" t="s">
        <v>174</v>
      </c>
      <c r="C53" s="52" t="s">
        <v>160</v>
      </c>
      <c r="D53" s="52" t="str">
        <f>D52</f>
        <v>i1809</v>
      </c>
      <c r="E53" s="54">
        <f t="shared" ref="E53:F53" ca="1" si="33">E52</f>
        <v>43301</v>
      </c>
      <c r="F53" s="54">
        <f t="shared" ca="1" si="33"/>
        <v>43333</v>
      </c>
      <c r="G53" s="119">
        <v>410</v>
      </c>
      <c r="H53" s="52">
        <f>H52</f>
        <v>32</v>
      </c>
      <c r="I53" s="55">
        <f>H53/365</f>
        <v>8.7671232876712329E-2</v>
      </c>
      <c r="J53" s="55">
        <f>J52</f>
        <v>0</v>
      </c>
      <c r="K53" s="56">
        <v>0.27</v>
      </c>
      <c r="L53" s="51">
        <f>_xll.dnetGBlackScholesNGreeks("price",$Q53,$P53,$G53,$I53,$C$3,$J53,$K53,$C$4)*R53</f>
        <v>409.28172579429025</v>
      </c>
      <c r="M53" s="57"/>
      <c r="N53" s="51"/>
      <c r="O53" s="51">
        <f t="shared" si="28"/>
        <v>409.28172579429025</v>
      </c>
      <c r="P53" s="94">
        <f>P52</f>
        <v>0</v>
      </c>
      <c r="Q53" s="52" t="s">
        <v>329</v>
      </c>
      <c r="R53" s="52">
        <f>IF(S53="中金买入",1,-1)</f>
        <v>1</v>
      </c>
      <c r="S53" s="56" t="s">
        <v>151</v>
      </c>
      <c r="T53" s="58"/>
      <c r="U53" s="51" t="e">
        <f>_xll.dnetGBlackScholesNGreeks("delta",$Q53,$P53,$G53,$I53,$C$3,$J53,$K53,$C$4)*R53</f>
        <v>#VALUE!</v>
      </c>
      <c r="V53" s="51">
        <f>_xll.dnetGBlackScholesNGreeks("vega",$Q53,$P53,$G53,$I53,$C$3,$J53,$K53,$C$4)*R53</f>
        <v>0</v>
      </c>
    </row>
    <row r="54" spans="1:22" s="98" customFormat="1" ht="14.25" thickBot="1" x14ac:dyDescent="0.2">
      <c r="A54" s="97"/>
      <c r="B54" s="59" t="s">
        <v>175</v>
      </c>
      <c r="C54" s="60" t="s">
        <v>160</v>
      </c>
      <c r="D54" s="60" t="str">
        <f>D52</f>
        <v>i1809</v>
      </c>
      <c r="E54" s="62">
        <f t="shared" ref="E54:F54" ca="1" si="34">E53</f>
        <v>43301</v>
      </c>
      <c r="F54" s="62">
        <f t="shared" ca="1" si="34"/>
        <v>43333</v>
      </c>
      <c r="G54" s="60" t="str">
        <f>G52 &amp; "|" &amp; G53</f>
        <v>450|410</v>
      </c>
      <c r="H54" s="60">
        <f>H53</f>
        <v>32</v>
      </c>
      <c r="I54" s="63">
        <f>I53</f>
        <v>8.7671232876712329E-2</v>
      </c>
      <c r="J54" s="63"/>
      <c r="K54" s="60"/>
      <c r="L54" s="59">
        <f>L53+L52</f>
        <v>-39.929924467735646</v>
      </c>
      <c r="M54" s="60">
        <v>0</v>
      </c>
      <c r="N54" s="59">
        <f>M54/10000*I54*P54</f>
        <v>0</v>
      </c>
      <c r="O54" s="59">
        <f t="shared" si="28"/>
        <v>39.929924467735646</v>
      </c>
      <c r="P54" s="111">
        <f>P53</f>
        <v>0</v>
      </c>
      <c r="Q54" s="60"/>
      <c r="R54" s="60"/>
      <c r="S54" s="56"/>
      <c r="T54" s="64" t="e">
        <f>O54/P54</f>
        <v>#DIV/0!</v>
      </c>
      <c r="U54" s="64" t="e">
        <f>U53+U52</f>
        <v>#VALUE!</v>
      </c>
      <c r="V54" s="64">
        <f>V53+V52</f>
        <v>0</v>
      </c>
    </row>
    <row r="55" spans="1:22" ht="12" thickBot="1" x14ac:dyDescent="0.2"/>
    <row r="56" spans="1:22" s="95" customFormat="1" ht="14.25" thickTop="1" x14ac:dyDescent="0.15">
      <c r="A56" s="96"/>
      <c r="B56" s="43" t="s">
        <v>173</v>
      </c>
      <c r="C56" s="44" t="s">
        <v>160</v>
      </c>
      <c r="D56" s="44" t="s">
        <v>305</v>
      </c>
      <c r="E56" s="46">
        <f ca="1">TODAY()</f>
        <v>43301</v>
      </c>
      <c r="F56" s="46">
        <f ca="1">E56+H56</f>
        <v>43340</v>
      </c>
      <c r="G56" s="118">
        <v>3800</v>
      </c>
      <c r="H56" s="44">
        <v>39</v>
      </c>
      <c r="I56" s="47">
        <f>H56/365</f>
        <v>0.10684931506849316</v>
      </c>
      <c r="J56" s="47">
        <v>0</v>
      </c>
      <c r="K56" s="48">
        <v>0.28000000000000003</v>
      </c>
      <c r="L56" s="43">
        <f>_xll.dnetGBlackScholesNGreeks("price",$Q56,$P56,$G56,$I56,$C$3,$J56,$K56,$C$4)*R56</f>
        <v>-138.40695631358699</v>
      </c>
      <c r="M56" s="49"/>
      <c r="N56" s="43"/>
      <c r="O56" s="43">
        <f t="shared" ref="O56:O58" si="35">IF(L56&lt;=0,ABS(L56)+N56,L56-N56)</f>
        <v>138.40695631358699</v>
      </c>
      <c r="P56" s="110">
        <v>3800</v>
      </c>
      <c r="Q56" s="44" t="s">
        <v>85</v>
      </c>
      <c r="R56" s="44">
        <f>IF(S56="中金买入",1,-1)</f>
        <v>-1</v>
      </c>
      <c r="S56" s="48" t="s">
        <v>20</v>
      </c>
      <c r="T56" s="50"/>
      <c r="U56" s="43">
        <f>_xll.dnetGBlackScholesNGreeks("delta",$Q56,$P56,$G56,$I56,$C$3,$J56,$K56,$C$4)*R56</f>
        <v>0.48072120612232538</v>
      </c>
      <c r="V56" s="43">
        <f>_xll.dnetGBlackScholesNGreeks("vega",$Q56,$P56,$G56,$I56,$C$3,$J56,$K56,$C$4)*R56</f>
        <v>-4.9396536575446817</v>
      </c>
    </row>
    <row r="57" spans="1:22" s="95" customFormat="1" ht="13.5" x14ac:dyDescent="0.15">
      <c r="A57" s="96"/>
      <c r="B57" s="51" t="s">
        <v>174</v>
      </c>
      <c r="C57" s="52" t="s">
        <v>160</v>
      </c>
      <c r="D57" s="52" t="s">
        <v>305</v>
      </c>
      <c r="E57" s="54">
        <f t="shared" ref="E57:F57" ca="1" si="36">E56</f>
        <v>43301</v>
      </c>
      <c r="F57" s="54">
        <f t="shared" ca="1" si="36"/>
        <v>43340</v>
      </c>
      <c r="G57" s="119">
        <v>3500</v>
      </c>
      <c r="H57" s="52">
        <f>H56</f>
        <v>39</v>
      </c>
      <c r="I57" s="55">
        <f>H57/365</f>
        <v>0.10684931506849316</v>
      </c>
      <c r="J57" s="55">
        <f>J56</f>
        <v>0</v>
      </c>
      <c r="K57" s="56">
        <v>0.26500000000000001</v>
      </c>
      <c r="L57" s="51">
        <f>_xll.dnetGBlackScholesNGreeks("price",$Q57,$P57,$G57,$I57,$C$3,$J57,$K57,$C$4)*R57</f>
        <v>28.877639717004399</v>
      </c>
      <c r="M57" s="57"/>
      <c r="N57" s="51"/>
      <c r="O57" s="51">
        <f t="shared" si="35"/>
        <v>28.877639717004399</v>
      </c>
      <c r="P57" s="94">
        <v>3800</v>
      </c>
      <c r="Q57" s="52" t="s">
        <v>85</v>
      </c>
      <c r="R57" s="52">
        <f>IF(S57="中金买入",1,-1)</f>
        <v>1</v>
      </c>
      <c r="S57" s="56" t="s">
        <v>151</v>
      </c>
      <c r="T57" s="58"/>
      <c r="U57" s="51">
        <f>_xll.dnetGBlackScholesNGreeks("delta",$Q57,$P57,$G57,$I57,$C$3,$J57,$K57,$C$4)*R57</f>
        <v>-0.16008706746220014</v>
      </c>
      <c r="V57" s="51">
        <f>_xll.dnetGBlackScholesNGreeks("vega",$Q57,$P57,$G57,$I57,$C$3,$J57,$K57,$C$4)*R57</f>
        <v>3.0197428105723247</v>
      </c>
    </row>
    <row r="58" spans="1:22" s="98" customFormat="1" ht="14.25" thickBot="1" x14ac:dyDescent="0.2">
      <c r="A58" s="97"/>
      <c r="B58" s="59" t="s">
        <v>175</v>
      </c>
      <c r="C58" s="60" t="s">
        <v>160</v>
      </c>
      <c r="D58" s="60" t="s">
        <v>305</v>
      </c>
      <c r="E58" s="62">
        <f t="shared" ref="E58:F58" ca="1" si="37">E57</f>
        <v>43301</v>
      </c>
      <c r="F58" s="62">
        <f t="shared" ca="1" si="37"/>
        <v>43340</v>
      </c>
      <c r="G58" s="60" t="str">
        <f>G56 &amp; "|" &amp; G57</f>
        <v>3800|3500</v>
      </c>
      <c r="H58" s="60">
        <f>H57</f>
        <v>39</v>
      </c>
      <c r="I58" s="63">
        <f>I57</f>
        <v>0.10684931506849316</v>
      </c>
      <c r="J58" s="63"/>
      <c r="K58" s="60"/>
      <c r="L58" s="59">
        <f>L57+L56</f>
        <v>-109.52931659658259</v>
      </c>
      <c r="M58" s="60">
        <v>1</v>
      </c>
      <c r="N58" s="59">
        <f>M58/10000*I58*P58</f>
        <v>4.0602739726027404E-2</v>
      </c>
      <c r="O58" s="59">
        <f t="shared" si="35"/>
        <v>109.56991933630862</v>
      </c>
      <c r="P58" s="111">
        <v>3800</v>
      </c>
      <c r="Q58" s="60"/>
      <c r="R58" s="60"/>
      <c r="S58" s="56"/>
      <c r="T58" s="64">
        <f>O58/P58</f>
        <v>2.8834189299028583E-2</v>
      </c>
      <c r="U58" s="64">
        <f>U57+U56</f>
        <v>0.32063413866012525</v>
      </c>
      <c r="V58" s="64">
        <f>V57+V56</f>
        <v>-1.9199108469723569</v>
      </c>
    </row>
    <row r="59" spans="1:22" ht="12" thickBot="1" x14ac:dyDescent="0.2"/>
    <row r="60" spans="1:22" s="95" customFormat="1" ht="14.25" thickTop="1" x14ac:dyDescent="0.15">
      <c r="A60" s="96"/>
      <c r="B60" s="43" t="s">
        <v>173</v>
      </c>
      <c r="C60" s="44" t="s">
        <v>160</v>
      </c>
      <c r="D60" s="44" t="s">
        <v>315</v>
      </c>
      <c r="E60" s="46">
        <f ca="1">TODAY()</f>
        <v>43301</v>
      </c>
      <c r="F60" s="46">
        <f ca="1">E60+H60</f>
        <v>43333</v>
      </c>
      <c r="G60" s="134">
        <f>P60*0.99</f>
        <v>5433.12</v>
      </c>
      <c r="H60" s="44">
        <v>32</v>
      </c>
      <c r="I60" s="47">
        <f>H60/365</f>
        <v>8.7671232876712329E-2</v>
      </c>
      <c r="J60" s="47">
        <v>0</v>
      </c>
      <c r="K60" s="48">
        <v>0.17</v>
      </c>
      <c r="L60" s="43">
        <f>_xll.dnetGBlackScholesNGreeks("price",$Q60,$P60,$G60,$I60,$C$3,$J60,$K60,$C$4)*R60</f>
        <v>-84.232469630308515</v>
      </c>
      <c r="M60" s="49"/>
      <c r="N60" s="43"/>
      <c r="O60" s="43">
        <f t="shared" ref="O60:O62" si="38">IF(L60&lt;=0,ABS(L60)+N60,L60-N60)</f>
        <v>84.232469630308515</v>
      </c>
      <c r="P60" s="110">
        <f>RTD("wdf.rtq",,D60,"LastPrice")</f>
        <v>5488</v>
      </c>
      <c r="Q60" s="44" t="s">
        <v>85</v>
      </c>
      <c r="R60" s="44">
        <f>IF(S60="中金买入",1,-1)</f>
        <v>-1</v>
      </c>
      <c r="S60" s="48" t="s">
        <v>20</v>
      </c>
      <c r="T60" s="50"/>
      <c r="U60" s="43">
        <f>_xll.dnetGBlackScholesNGreeks("delta",$Q60,$P60,$G60,$I60,$C$3,$J60,$K60,$C$4)*R60</f>
        <v>0.41033429622530093</v>
      </c>
      <c r="V60" s="43">
        <f>_xll.dnetGBlackScholesNGreeks("vega",$Q60,$P60,$G60,$I60,$C$3,$J60,$K60,$C$4)*R60</f>
        <v>-6.3093494771956102</v>
      </c>
    </row>
    <row r="61" spans="1:22" s="95" customFormat="1" ht="13.5" x14ac:dyDescent="0.15">
      <c r="A61" s="96"/>
      <c r="B61" s="51" t="s">
        <v>174</v>
      </c>
      <c r="C61" s="52" t="s">
        <v>160</v>
      </c>
      <c r="D61" s="52" t="str">
        <f>D60</f>
        <v>y1809</v>
      </c>
      <c r="E61" s="54">
        <f t="shared" ref="E61:F61" ca="1" si="39">E60</f>
        <v>43301</v>
      </c>
      <c r="F61" s="54">
        <f t="shared" ca="1" si="39"/>
        <v>43333</v>
      </c>
      <c r="G61" s="135">
        <f>P61*0.95</f>
        <v>5213.5999999999995</v>
      </c>
      <c r="H61" s="52">
        <f>H60</f>
        <v>32</v>
      </c>
      <c r="I61" s="55">
        <f>H61/365</f>
        <v>8.7671232876712329E-2</v>
      </c>
      <c r="J61" s="55">
        <f>J60</f>
        <v>0</v>
      </c>
      <c r="K61" s="56">
        <v>0.16</v>
      </c>
      <c r="L61" s="51">
        <f>_xll.dnetGBlackScholesNGreeks("price",$Q61,$P61,$G61,$I61,$C$3,$J61,$K61,$C$4)*R61</f>
        <v>17.956824668170611</v>
      </c>
      <c r="M61" s="57"/>
      <c r="N61" s="51"/>
      <c r="O61" s="51">
        <f t="shared" si="38"/>
        <v>17.956824668170611</v>
      </c>
      <c r="P61" s="94">
        <f>P60</f>
        <v>5488</v>
      </c>
      <c r="Q61" s="52" t="s">
        <v>85</v>
      </c>
      <c r="R61" s="52">
        <f>IF(S61="中金买入",1,-1)</f>
        <v>1</v>
      </c>
      <c r="S61" s="56" t="s">
        <v>151</v>
      </c>
      <c r="T61" s="58"/>
      <c r="U61" s="51">
        <f>_xll.dnetGBlackScholesNGreeks("delta",$Q61,$P61,$G61,$I61,$C$3,$J61,$K61,$C$4)*R61</f>
        <v>-0.13404207373923782</v>
      </c>
      <c r="V61" s="51">
        <f>_xll.dnetGBlackScholesNGreeks("vega",$Q61,$P61,$G61,$I61,$C$3,$J61,$K61,$C$4)*R61</f>
        <v>3.5040607419174421</v>
      </c>
    </row>
    <row r="62" spans="1:22" s="98" customFormat="1" ht="14.25" thickBot="1" x14ac:dyDescent="0.2">
      <c r="A62" s="97"/>
      <c r="B62" s="59" t="s">
        <v>175</v>
      </c>
      <c r="C62" s="60" t="s">
        <v>160</v>
      </c>
      <c r="D62" s="60" t="str">
        <f>D61</f>
        <v>y1809</v>
      </c>
      <c r="E62" s="62">
        <f t="shared" ref="E62:F62" ca="1" si="40">E61</f>
        <v>43301</v>
      </c>
      <c r="F62" s="62">
        <f t="shared" ca="1" si="40"/>
        <v>43333</v>
      </c>
      <c r="G62" s="60" t="str">
        <f>G60 &amp; "|" &amp; G61</f>
        <v>5433.12|5213.6</v>
      </c>
      <c r="H62" s="60">
        <f>H61</f>
        <v>32</v>
      </c>
      <c r="I62" s="63">
        <f>I61</f>
        <v>8.7671232876712329E-2</v>
      </c>
      <c r="J62" s="63"/>
      <c r="K62" s="60"/>
      <c r="L62" s="59">
        <f>L61+L60</f>
        <v>-66.275644962137903</v>
      </c>
      <c r="M62" s="60"/>
      <c r="N62" s="59">
        <f>M62/10000*I62*P62</f>
        <v>0</v>
      </c>
      <c r="O62" s="59">
        <f t="shared" si="38"/>
        <v>66.275644962137903</v>
      </c>
      <c r="P62" s="111">
        <f>P61</f>
        <v>5488</v>
      </c>
      <c r="Q62" s="60"/>
      <c r="R62" s="60"/>
      <c r="S62" s="56"/>
      <c r="T62" s="64">
        <f>O62/P62</f>
        <v>1.2076465918756907E-2</v>
      </c>
      <c r="U62" s="64">
        <f>U61+U60</f>
        <v>0.27629222248606311</v>
      </c>
      <c r="V62" s="64">
        <f>V61+V60</f>
        <v>-2.8052887352781681</v>
      </c>
    </row>
    <row r="63" spans="1:22" ht="12" thickBot="1" x14ac:dyDescent="0.2"/>
    <row r="64" spans="1:22" s="95" customFormat="1" ht="14.25" thickTop="1" x14ac:dyDescent="0.15">
      <c r="A64" s="96"/>
      <c r="B64" s="43" t="s">
        <v>173</v>
      </c>
      <c r="C64" s="44" t="s">
        <v>160</v>
      </c>
      <c r="D64" s="44" t="s">
        <v>332</v>
      </c>
      <c r="E64" s="46">
        <f ca="1">TODAY()</f>
        <v>43301</v>
      </c>
      <c r="F64" s="46">
        <f ca="1">E64+H64</f>
        <v>43333</v>
      </c>
      <c r="G64" s="134">
        <f>P64</f>
        <v>48590</v>
      </c>
      <c r="H64" s="44">
        <v>32</v>
      </c>
      <c r="I64" s="47">
        <f>H64/365</f>
        <v>8.7671232876712329E-2</v>
      </c>
      <c r="J64" s="47">
        <v>0</v>
      </c>
      <c r="K64" s="48">
        <v>0.17499999999999999</v>
      </c>
      <c r="L64" s="43">
        <f>_xll.dnetGBlackScholesNGreeks("price",$Q64,$P64,$G64,$I64,$C$3,$J64,$K64,$C$4)*R64</f>
        <v>-1002.5671825498721</v>
      </c>
      <c r="M64" s="49"/>
      <c r="N64" s="43"/>
      <c r="O64" s="43">
        <f t="shared" ref="O64:O66" si="41">IF(L64&lt;=0,ABS(L64)+N64,L64-N64)</f>
        <v>1002.5671825498721</v>
      </c>
      <c r="P64" s="110">
        <f>RTD("wdf.rtq",,D64,"LastPrice")</f>
        <v>48590</v>
      </c>
      <c r="Q64" s="44" t="s">
        <v>334</v>
      </c>
      <c r="R64" s="44">
        <f>IF(S64="中金买入",1,-1)</f>
        <v>-1</v>
      </c>
      <c r="S64" s="48" t="s">
        <v>20</v>
      </c>
      <c r="T64" s="50"/>
      <c r="U64" s="43">
        <f>_xll.dnetGBlackScholesNGreeks("delta",$Q64,$P64,$G64,$I64,$C$3,$J64,$K64,$C$4)*R64</f>
        <v>-0.5094406560601783</v>
      </c>
      <c r="V64" s="43">
        <f>_xll.dnetGBlackScholesNGreeks("vega",$Q64,$P64,$G64,$I64,$C$3,$J64,$K64,$C$4)*R64</f>
        <v>-57.276715316214904</v>
      </c>
    </row>
    <row r="65" spans="1:22" s="95" customFormat="1" ht="13.5" x14ac:dyDescent="0.15">
      <c r="A65" s="96"/>
      <c r="B65" s="51" t="s">
        <v>174</v>
      </c>
      <c r="C65" s="52" t="s">
        <v>160</v>
      </c>
      <c r="D65" s="52" t="s">
        <v>333</v>
      </c>
      <c r="E65" s="54">
        <f t="shared" ref="E65:F65" ca="1" si="42">E64</f>
        <v>43301</v>
      </c>
      <c r="F65" s="54">
        <f t="shared" ca="1" si="42"/>
        <v>43333</v>
      </c>
      <c r="G65" s="135">
        <f>G64+2000</f>
        <v>50590</v>
      </c>
      <c r="H65" s="52">
        <f>H64</f>
        <v>32</v>
      </c>
      <c r="I65" s="55">
        <f>H65/365</f>
        <v>8.7671232876712329E-2</v>
      </c>
      <c r="J65" s="55">
        <f>J64</f>
        <v>0</v>
      </c>
      <c r="K65" s="56">
        <v>0.16500000000000001</v>
      </c>
      <c r="L65" s="51">
        <f>_xll.dnetGBlackScholesNGreeks("price",$Q65,$P65,$G65,$I65,$C$3,$J65,$K65,$C$4)*R65</f>
        <v>277.71412858680924</v>
      </c>
      <c r="M65" s="57"/>
      <c r="N65" s="51"/>
      <c r="O65" s="51">
        <f t="shared" si="41"/>
        <v>277.71412858680924</v>
      </c>
      <c r="P65" s="94">
        <f>P64</f>
        <v>48590</v>
      </c>
      <c r="Q65" s="52" t="s">
        <v>334</v>
      </c>
      <c r="R65" s="52">
        <f>IF(S65="中金买入",1,-1)</f>
        <v>1</v>
      </c>
      <c r="S65" s="56" t="s">
        <v>151</v>
      </c>
      <c r="T65" s="58"/>
      <c r="U65" s="51">
        <f>_xll.dnetGBlackScholesNGreeks("delta",$Q65,$P65,$G65,$I65,$C$3,$J65,$K65,$C$4)*R65</f>
        <v>0.21113848970344407</v>
      </c>
      <c r="V65" s="51">
        <f>_xll.dnetGBlackScholesNGreeks("vega",$Q65,$P65,$G65,$I65,$C$3,$J65,$K65,$C$4)*R65</f>
        <v>41.5252800883909</v>
      </c>
    </row>
    <row r="66" spans="1:22" s="98" customFormat="1" ht="14.25" thickBot="1" x14ac:dyDescent="0.2">
      <c r="A66" s="97"/>
      <c r="B66" s="59" t="s">
        <v>175</v>
      </c>
      <c r="C66" s="60" t="s">
        <v>160</v>
      </c>
      <c r="D66" s="60" t="s">
        <v>333</v>
      </c>
      <c r="E66" s="62">
        <f t="shared" ref="E66:F66" ca="1" si="43">E65</f>
        <v>43301</v>
      </c>
      <c r="F66" s="62">
        <f t="shared" ca="1" si="43"/>
        <v>43333</v>
      </c>
      <c r="G66" s="60" t="str">
        <f>G64 &amp; "|" &amp; G65</f>
        <v>48590|50590</v>
      </c>
      <c r="H66" s="60">
        <f>H65</f>
        <v>32</v>
      </c>
      <c r="I66" s="63">
        <f>I65</f>
        <v>8.7671232876712329E-2</v>
      </c>
      <c r="J66" s="63"/>
      <c r="K66" s="60"/>
      <c r="L66" s="59">
        <f>L65+L64</f>
        <v>-724.85305396306285</v>
      </c>
      <c r="M66" s="60">
        <v>70</v>
      </c>
      <c r="N66" s="59">
        <f>M66/10000*I66*P66</f>
        <v>29.819616438356164</v>
      </c>
      <c r="O66" s="59">
        <f t="shared" si="41"/>
        <v>754.67267040141905</v>
      </c>
      <c r="P66" s="111">
        <f>P65</f>
        <v>48590</v>
      </c>
      <c r="Q66" s="60"/>
      <c r="R66" s="60"/>
      <c r="S66" s="56"/>
      <c r="T66" s="64">
        <f>O66/P66</f>
        <v>1.5531440016493498E-2</v>
      </c>
      <c r="U66" s="64">
        <f>U65+U64</f>
        <v>-0.29830216635673423</v>
      </c>
      <c r="V66" s="64">
        <f>V65+V64</f>
        <v>-15.751435227824004</v>
      </c>
    </row>
    <row r="67" spans="1:22" ht="12" thickBot="1" x14ac:dyDescent="0.2"/>
    <row r="68" spans="1:22" s="95" customFormat="1" ht="15" thickTop="1" thickBot="1" x14ac:dyDescent="0.2">
      <c r="A68" s="96"/>
      <c r="B68" s="43" t="s">
        <v>173</v>
      </c>
      <c r="C68" s="44" t="s">
        <v>160</v>
      </c>
      <c r="D68" s="44" t="s">
        <v>337</v>
      </c>
      <c r="E68" s="46">
        <f ca="1">TODAY()</f>
        <v>43301</v>
      </c>
      <c r="F68" s="46">
        <f ca="1">E68+H68</f>
        <v>43666</v>
      </c>
      <c r="G68" s="134">
        <v>100</v>
      </c>
      <c r="H68" s="44">
        <v>365</v>
      </c>
      <c r="I68" s="47">
        <f>H68/365</f>
        <v>1</v>
      </c>
      <c r="J68" s="47">
        <v>0</v>
      </c>
      <c r="K68" s="48">
        <v>0.11</v>
      </c>
      <c r="L68" s="43">
        <f>_xll.dnetGBlackScholesNGreeks("price",$Q68,$P68,$G68,$I68,$C$3,$J68,$K68,$C$4)*R68</f>
        <v>-4.299301959797134</v>
      </c>
      <c r="M68" s="49"/>
      <c r="N68" s="43"/>
      <c r="O68" s="43">
        <f t="shared" ref="O68:O70" si="44">IF(L68&lt;=0,ABS(L68)+N68,L68-N68)</f>
        <v>4.299301959797134</v>
      </c>
      <c r="P68" s="110">
        <v>100</v>
      </c>
      <c r="Q68" s="44" t="s">
        <v>24</v>
      </c>
      <c r="R68" s="44">
        <f>IF(S68="中金买入",1,-1)</f>
        <v>-1</v>
      </c>
      <c r="S68" s="48" t="s">
        <v>20</v>
      </c>
      <c r="T68" s="50"/>
      <c r="U68" s="43">
        <f>_xll.dnetGBlackScholesNGreeks("delta",$Q68,$P68,$G68,$I68,$C$3,$J68,$K68,$C$4)*R68</f>
        <v>-0.51159583757893756</v>
      </c>
      <c r="V68" s="43">
        <f>_xll.dnetGBlackScholesNGreeks("vega",$Q68,$P68,$G68,$I68,$C$3,$J68,$K68,$C$4)*R68</f>
        <v>-0.39045006700636975</v>
      </c>
    </row>
    <row r="69" spans="1:22" s="95" customFormat="1" ht="14.25" thickTop="1" x14ac:dyDescent="0.15">
      <c r="A69" s="96"/>
      <c r="B69" s="51" t="s">
        <v>174</v>
      </c>
      <c r="C69" s="52" t="s">
        <v>160</v>
      </c>
      <c r="D69" s="44" t="s">
        <v>337</v>
      </c>
      <c r="E69" s="54">
        <f t="shared" ref="E69:F69" ca="1" si="45">E68</f>
        <v>43301</v>
      </c>
      <c r="F69" s="54">
        <f t="shared" ca="1" si="45"/>
        <v>43666</v>
      </c>
      <c r="G69" s="135">
        <v>110</v>
      </c>
      <c r="H69" s="52">
        <f>H68</f>
        <v>365</v>
      </c>
      <c r="I69" s="55">
        <f>H69/365</f>
        <v>1</v>
      </c>
      <c r="J69" s="55">
        <v>0</v>
      </c>
      <c r="K69" s="56">
        <v>0.1</v>
      </c>
      <c r="L69" s="51">
        <f>_xll.dnetGBlackScholesNGreeks("price",$Q69,$P69,$G69,$I69,$C$3,$J69,$K69,$C$4)*R69</f>
        <v>0.93505796790289963</v>
      </c>
      <c r="M69" s="57"/>
      <c r="N69" s="51"/>
      <c r="O69" s="51">
        <f t="shared" si="44"/>
        <v>0.93505796790289963</v>
      </c>
      <c r="P69" s="94">
        <f>P68</f>
        <v>100</v>
      </c>
      <c r="Q69" s="52" t="s">
        <v>24</v>
      </c>
      <c r="R69" s="52">
        <f>IF(S69="中金买入",1,-1)</f>
        <v>1</v>
      </c>
      <c r="S69" s="56" t="s">
        <v>151</v>
      </c>
      <c r="T69" s="58"/>
      <c r="U69" s="51">
        <f>_xll.dnetGBlackScholesNGreeks("delta",$Q69,$P69,$G69,$I69,$C$3,$J69,$K69,$C$4)*R69</f>
        <v>0.17960765511322307</v>
      </c>
      <c r="V69" s="51">
        <f>_xll.dnetGBlackScholesNGreeks("vega",$Q69,$P69,$G69,$I69,$C$3,$J69,$K69,$C$4)*R69</f>
        <v>0.25926026431700322</v>
      </c>
    </row>
    <row r="70" spans="1:22" s="98" customFormat="1" ht="14.25" thickBot="1" x14ac:dyDescent="0.2">
      <c r="A70" s="97"/>
      <c r="B70" s="59" t="s">
        <v>175</v>
      </c>
      <c r="C70" s="60" t="s">
        <v>160</v>
      </c>
      <c r="D70" s="60" t="s">
        <v>336</v>
      </c>
      <c r="E70" s="62">
        <f t="shared" ref="E70:F70" ca="1" si="46">E69</f>
        <v>43301</v>
      </c>
      <c r="F70" s="62">
        <f t="shared" ca="1" si="46"/>
        <v>43666</v>
      </c>
      <c r="G70" s="60" t="str">
        <f>G68 &amp; "|" &amp; G69</f>
        <v>100|110</v>
      </c>
      <c r="H70" s="60">
        <f>H69</f>
        <v>365</v>
      </c>
      <c r="I70" s="63">
        <f>I69</f>
        <v>1</v>
      </c>
      <c r="J70" s="63"/>
      <c r="K70" s="60"/>
      <c r="L70" s="59">
        <f>L69+L68</f>
        <v>-3.3642439918942344</v>
      </c>
      <c r="M70" s="60">
        <v>0</v>
      </c>
      <c r="N70" s="59">
        <f>M70/10000*I70*P70</f>
        <v>0</v>
      </c>
      <c r="O70" s="59">
        <f t="shared" si="44"/>
        <v>3.3642439918942344</v>
      </c>
      <c r="P70" s="111">
        <f>P69</f>
        <v>100</v>
      </c>
      <c r="Q70" s="60"/>
      <c r="R70" s="60"/>
      <c r="S70" s="56"/>
      <c r="T70" s="64">
        <f>O70/P70</f>
        <v>3.3642439918942342E-2</v>
      </c>
      <c r="U70" s="64">
        <f>U69+U68</f>
        <v>-0.33198818246571449</v>
      </c>
      <c r="V70" s="64">
        <f>V69+V68</f>
        <v>-0.13118980268936653</v>
      </c>
    </row>
    <row r="71" spans="1:22" ht="12" thickBot="1" x14ac:dyDescent="0.2"/>
    <row r="72" spans="1:22" s="95" customFormat="1" ht="14.25" thickTop="1" x14ac:dyDescent="0.15">
      <c r="A72" s="96"/>
      <c r="B72" s="43" t="s">
        <v>173</v>
      </c>
      <c r="C72" s="44" t="s">
        <v>160</v>
      </c>
      <c r="D72" s="44" t="s">
        <v>315</v>
      </c>
      <c r="E72" s="46">
        <f ca="1">TODAY()</f>
        <v>43301</v>
      </c>
      <c r="F72" s="46">
        <f ca="1">E72+H72</f>
        <v>43333</v>
      </c>
      <c r="G72" s="134">
        <f>P72*0.99</f>
        <v>5433.12</v>
      </c>
      <c r="H72" s="44">
        <v>32</v>
      </c>
      <c r="I72" s="47">
        <f>H72/365</f>
        <v>8.7671232876712329E-2</v>
      </c>
      <c r="J72" s="47">
        <v>0</v>
      </c>
      <c r="K72" s="48">
        <v>0.17</v>
      </c>
      <c r="L72" s="43">
        <f>_xll.dnetGBlackScholesNGreeks("price",$Q72,$P72,$G72,$I72,$C$3,$J72,$K72,$C$4)*R72</f>
        <v>-84.232469630308515</v>
      </c>
      <c r="M72" s="49"/>
      <c r="N72" s="43"/>
      <c r="O72" s="43">
        <f t="shared" ref="O72:O74" si="47">IF(L72&lt;=0,ABS(L72)+N72,L72-N72)</f>
        <v>84.232469630308515</v>
      </c>
      <c r="P72" s="110">
        <f>RTD("wdf.rtq",,D72,"LastPrice")</f>
        <v>5488</v>
      </c>
      <c r="Q72" s="44" t="s">
        <v>85</v>
      </c>
      <c r="R72" s="44">
        <f>IF(S72="中金买入",1,-1)</f>
        <v>-1</v>
      </c>
      <c r="S72" s="48" t="s">
        <v>20</v>
      </c>
      <c r="T72" s="50"/>
      <c r="U72" s="43">
        <f>_xll.dnetGBlackScholesNGreeks("delta",$Q72,$P72,$G72,$I72,$C$3,$J72,$K72,$C$4)*R72</f>
        <v>0.41033429622530093</v>
      </c>
      <c r="V72" s="43">
        <f>_xll.dnetGBlackScholesNGreeks("vega",$Q72,$P72,$G72,$I72,$C$3,$J72,$K72,$C$4)*R72</f>
        <v>-6.3093494771956102</v>
      </c>
    </row>
    <row r="73" spans="1:22" s="95" customFormat="1" ht="13.5" x14ac:dyDescent="0.15">
      <c r="A73" s="96"/>
      <c r="B73" s="51" t="s">
        <v>174</v>
      </c>
      <c r="C73" s="52" t="s">
        <v>160</v>
      </c>
      <c r="D73" s="52" t="str">
        <f>D72</f>
        <v>y1809</v>
      </c>
      <c r="E73" s="54">
        <f t="shared" ref="E73:F73" ca="1" si="48">E72</f>
        <v>43301</v>
      </c>
      <c r="F73" s="54">
        <f t="shared" ca="1" si="48"/>
        <v>43333</v>
      </c>
      <c r="G73" s="135">
        <f>P73*0.95</f>
        <v>5213.5999999999995</v>
      </c>
      <c r="H73" s="52">
        <f>H72</f>
        <v>32</v>
      </c>
      <c r="I73" s="55">
        <f>H73/365</f>
        <v>8.7671232876712329E-2</v>
      </c>
      <c r="J73" s="55">
        <f>J72</f>
        <v>0</v>
      </c>
      <c r="K73" s="56">
        <v>0.16</v>
      </c>
      <c r="L73" s="51">
        <f>_xll.dnetGBlackScholesNGreeks("price",$Q73,$P73,$G73,$I73,$C$3,$J73,$K73,$C$4)*R73</f>
        <v>17.956824668170611</v>
      </c>
      <c r="M73" s="57"/>
      <c r="N73" s="51"/>
      <c r="O73" s="51">
        <f t="shared" si="47"/>
        <v>17.956824668170611</v>
      </c>
      <c r="P73" s="94">
        <f>P72</f>
        <v>5488</v>
      </c>
      <c r="Q73" s="52" t="s">
        <v>85</v>
      </c>
      <c r="R73" s="52">
        <f>IF(S73="中金买入",1,-1)</f>
        <v>1</v>
      </c>
      <c r="S73" s="56" t="s">
        <v>151</v>
      </c>
      <c r="T73" s="58"/>
      <c r="U73" s="51">
        <f>_xll.dnetGBlackScholesNGreeks("delta",$Q73,$P73,$G73,$I73,$C$3,$J73,$K73,$C$4)*R73</f>
        <v>-0.13404207373923782</v>
      </c>
      <c r="V73" s="51">
        <f>_xll.dnetGBlackScholesNGreeks("vega",$Q73,$P73,$G73,$I73,$C$3,$J73,$K73,$C$4)*R73</f>
        <v>3.5040607419174421</v>
      </c>
    </row>
    <row r="74" spans="1:22" s="98" customFormat="1" ht="14.25" thickBot="1" x14ac:dyDescent="0.2">
      <c r="A74" s="97"/>
      <c r="B74" s="59" t="s">
        <v>175</v>
      </c>
      <c r="C74" s="60" t="s">
        <v>160</v>
      </c>
      <c r="D74" s="60" t="str">
        <f>D73</f>
        <v>y1809</v>
      </c>
      <c r="E74" s="62">
        <f t="shared" ref="E74:F74" ca="1" si="49">E73</f>
        <v>43301</v>
      </c>
      <c r="F74" s="62">
        <f t="shared" ca="1" si="49"/>
        <v>43333</v>
      </c>
      <c r="G74" s="60" t="str">
        <f>G72 &amp; "|" &amp; G73</f>
        <v>5433.12|5213.6</v>
      </c>
      <c r="H74" s="60">
        <f>H73</f>
        <v>32</v>
      </c>
      <c r="I74" s="63">
        <f>I73</f>
        <v>8.7671232876712329E-2</v>
      </c>
      <c r="J74" s="63"/>
      <c r="K74" s="60"/>
      <c r="L74" s="59">
        <f>L73+L72</f>
        <v>-66.275644962137903</v>
      </c>
      <c r="M74" s="60"/>
      <c r="N74" s="59">
        <f>M74/10000*I74*P74</f>
        <v>0</v>
      </c>
      <c r="O74" s="59">
        <f t="shared" si="47"/>
        <v>66.275644962137903</v>
      </c>
      <c r="P74" s="111">
        <f>P73</f>
        <v>5488</v>
      </c>
      <c r="Q74" s="60"/>
      <c r="R74" s="60"/>
      <c r="S74" s="56"/>
      <c r="T74" s="64">
        <f>O74/P74</f>
        <v>1.2076465918756907E-2</v>
      </c>
      <c r="U74" s="64">
        <f>U73+U72</f>
        <v>0.27629222248606311</v>
      </c>
      <c r="V74" s="64">
        <f>V73+V72</f>
        <v>-2.8052887352781681</v>
      </c>
    </row>
    <row r="75" spans="1:22" ht="12" thickBot="1" x14ac:dyDescent="0.2"/>
    <row r="76" spans="1:22" s="95" customFormat="1" ht="14.25" thickTop="1" x14ac:dyDescent="0.15">
      <c r="A76" s="96"/>
      <c r="B76" s="43" t="s">
        <v>173</v>
      </c>
      <c r="C76" s="44" t="s">
        <v>160</v>
      </c>
      <c r="D76" s="44" t="s">
        <v>332</v>
      </c>
      <c r="E76" s="46">
        <f ca="1">TODAY()</f>
        <v>43301</v>
      </c>
      <c r="F76" s="46">
        <f ca="1">E76+H76</f>
        <v>43333</v>
      </c>
      <c r="G76" s="134">
        <f>P76</f>
        <v>48590</v>
      </c>
      <c r="H76" s="44">
        <v>32</v>
      </c>
      <c r="I76" s="47">
        <f>H76/365</f>
        <v>8.7671232876712329E-2</v>
      </c>
      <c r="J76" s="47">
        <v>0</v>
      </c>
      <c r="K76" s="48">
        <v>0.17499999999999999</v>
      </c>
      <c r="L76" s="43">
        <f>_xll.dnetGBlackScholesNGreeks("price",$Q76,$P76,$G76,$I76,$C$3,$J76,$K76,$C$4)*R76</f>
        <v>-1002.5671825498721</v>
      </c>
      <c r="M76" s="49"/>
      <c r="N76" s="43"/>
      <c r="O76" s="43">
        <f t="shared" ref="O76:O78" si="50">IF(L76&lt;=0,ABS(L76)+N76,L76-N76)</f>
        <v>1002.5671825498721</v>
      </c>
      <c r="P76" s="110">
        <f>RTD("wdf.rtq",,D76,"LastPrice")</f>
        <v>48590</v>
      </c>
      <c r="Q76" s="44" t="s">
        <v>334</v>
      </c>
      <c r="R76" s="44">
        <f>IF(S76="中金买入",1,-1)</f>
        <v>-1</v>
      </c>
      <c r="S76" s="48" t="s">
        <v>20</v>
      </c>
      <c r="T76" s="50"/>
      <c r="U76" s="43">
        <f>_xll.dnetGBlackScholesNGreeks("delta",$Q76,$P76,$G76,$I76,$C$3,$J76,$K76,$C$4)*R76</f>
        <v>-0.5094406560601783</v>
      </c>
      <c r="V76" s="43">
        <f>_xll.dnetGBlackScholesNGreeks("vega",$Q76,$P76,$G76,$I76,$C$3,$J76,$K76,$C$4)*R76</f>
        <v>-57.276715316214904</v>
      </c>
    </row>
    <row r="77" spans="1:22" s="95" customFormat="1" ht="13.5" x14ac:dyDescent="0.15">
      <c r="A77" s="96"/>
      <c r="B77" s="51" t="s">
        <v>174</v>
      </c>
      <c r="C77" s="52" t="s">
        <v>160</v>
      </c>
      <c r="D77" s="52" t="s">
        <v>333</v>
      </c>
      <c r="E77" s="54">
        <f t="shared" ref="E77:F77" ca="1" si="51">E76</f>
        <v>43301</v>
      </c>
      <c r="F77" s="54">
        <f t="shared" ca="1" si="51"/>
        <v>43333</v>
      </c>
      <c r="G77" s="135">
        <f>G76+2000</f>
        <v>50590</v>
      </c>
      <c r="H77" s="52">
        <f>H76</f>
        <v>32</v>
      </c>
      <c r="I77" s="55">
        <f>H77/365</f>
        <v>8.7671232876712329E-2</v>
      </c>
      <c r="J77" s="55">
        <f>J76</f>
        <v>0</v>
      </c>
      <c r="K77" s="56">
        <v>0.16500000000000001</v>
      </c>
      <c r="L77" s="51">
        <f>_xll.dnetGBlackScholesNGreeks("price",$Q77,$P77,$G77,$I77,$C$3,$J77,$K77,$C$4)*R77</f>
        <v>277.71412858680924</v>
      </c>
      <c r="M77" s="57"/>
      <c r="N77" s="51"/>
      <c r="O77" s="51">
        <f t="shared" si="50"/>
        <v>277.71412858680924</v>
      </c>
      <c r="P77" s="94">
        <f>P76</f>
        <v>48590</v>
      </c>
      <c r="Q77" s="52" t="s">
        <v>334</v>
      </c>
      <c r="R77" s="52">
        <f>IF(S77="中金买入",1,-1)</f>
        <v>1</v>
      </c>
      <c r="S77" s="56" t="s">
        <v>151</v>
      </c>
      <c r="T77" s="58"/>
      <c r="U77" s="51">
        <f>_xll.dnetGBlackScholesNGreeks("delta",$Q77,$P77,$G77,$I77,$C$3,$J77,$K77,$C$4)*R77</f>
        <v>0.21113848970344407</v>
      </c>
      <c r="V77" s="51">
        <f>_xll.dnetGBlackScholesNGreeks("vega",$Q77,$P77,$G77,$I77,$C$3,$J77,$K77,$C$4)*R77</f>
        <v>41.5252800883909</v>
      </c>
    </row>
    <row r="78" spans="1:22" s="98" customFormat="1" ht="14.25" thickBot="1" x14ac:dyDescent="0.2">
      <c r="A78" s="97"/>
      <c r="B78" s="59" t="s">
        <v>175</v>
      </c>
      <c r="C78" s="60" t="s">
        <v>160</v>
      </c>
      <c r="D78" s="60" t="s">
        <v>333</v>
      </c>
      <c r="E78" s="62">
        <f t="shared" ref="E78:F78" ca="1" si="52">E77</f>
        <v>43301</v>
      </c>
      <c r="F78" s="62">
        <f t="shared" ca="1" si="52"/>
        <v>43333</v>
      </c>
      <c r="G78" s="60" t="str">
        <f>G76 &amp; "|" &amp; G77</f>
        <v>48590|50590</v>
      </c>
      <c r="H78" s="60">
        <f>H77</f>
        <v>32</v>
      </c>
      <c r="I78" s="63">
        <f>I77</f>
        <v>8.7671232876712329E-2</v>
      </c>
      <c r="J78" s="63"/>
      <c r="K78" s="60"/>
      <c r="L78" s="59">
        <f>L77+L76</f>
        <v>-724.85305396306285</v>
      </c>
      <c r="M78" s="60">
        <v>70</v>
      </c>
      <c r="N78" s="59">
        <f>M78/10000*I78*P78</f>
        <v>29.819616438356164</v>
      </c>
      <c r="O78" s="59">
        <f t="shared" si="50"/>
        <v>754.67267040141905</v>
      </c>
      <c r="P78" s="111">
        <f>P77</f>
        <v>48590</v>
      </c>
      <c r="Q78" s="60"/>
      <c r="R78" s="60"/>
      <c r="S78" s="56"/>
      <c r="T78" s="64">
        <f>O78/P78</f>
        <v>1.5531440016493498E-2</v>
      </c>
      <c r="U78" s="64">
        <f>U77+U76</f>
        <v>-0.29830216635673423</v>
      </c>
      <c r="V78" s="64">
        <f>V77+V76</f>
        <v>-15.751435227824004</v>
      </c>
    </row>
    <row r="79" spans="1:22" ht="12" thickBot="1" x14ac:dyDescent="0.2"/>
    <row r="80" spans="1:22" s="95" customFormat="1" ht="15" thickTop="1" thickBot="1" x14ac:dyDescent="0.2">
      <c r="A80" s="96"/>
      <c r="B80" s="43" t="s">
        <v>173</v>
      </c>
      <c r="C80" s="44" t="s">
        <v>160</v>
      </c>
      <c r="D80" s="44" t="s">
        <v>337</v>
      </c>
      <c r="E80" s="46">
        <f ca="1">TODAY()</f>
        <v>43301</v>
      </c>
      <c r="F80" s="46">
        <f ca="1">E80+H80</f>
        <v>43666</v>
      </c>
      <c r="G80" s="134">
        <v>100</v>
      </c>
      <c r="H80" s="44">
        <v>365</v>
      </c>
      <c r="I80" s="47">
        <f>H80/365</f>
        <v>1</v>
      </c>
      <c r="J80" s="47">
        <v>0</v>
      </c>
      <c r="K80" s="48">
        <v>0.11</v>
      </c>
      <c r="L80" s="43">
        <f>_xll.dnetGBlackScholesNGreeks("price",$Q80,$P80,$G80,$I80,$C$3,$J80,$K80,$C$4)*R80</f>
        <v>-4.299301959797134</v>
      </c>
      <c r="M80" s="49"/>
      <c r="N80" s="43"/>
      <c r="O80" s="43">
        <f t="shared" ref="O80:O82" si="53">IF(L80&lt;=0,ABS(L80)+N80,L80-N80)</f>
        <v>4.299301959797134</v>
      </c>
      <c r="P80" s="110">
        <v>100</v>
      </c>
      <c r="Q80" s="44" t="s">
        <v>24</v>
      </c>
      <c r="R80" s="44">
        <f>IF(S80="中金买入",1,-1)</f>
        <v>-1</v>
      </c>
      <c r="S80" s="48" t="s">
        <v>20</v>
      </c>
      <c r="T80" s="50"/>
      <c r="U80" s="43">
        <f>_xll.dnetGBlackScholesNGreeks("delta",$Q80,$P80,$G80,$I80,$C$3,$J80,$K80,$C$4)*R80</f>
        <v>-0.51159583757893756</v>
      </c>
      <c r="V80" s="43">
        <f>_xll.dnetGBlackScholesNGreeks("vega",$Q80,$P80,$G80,$I80,$C$3,$J80,$K80,$C$4)*R80</f>
        <v>-0.39045006700636975</v>
      </c>
    </row>
    <row r="81" spans="1:22" s="95" customFormat="1" ht="14.25" thickTop="1" x14ac:dyDescent="0.15">
      <c r="A81" s="96"/>
      <c r="B81" s="51" t="s">
        <v>174</v>
      </c>
      <c r="C81" s="52" t="s">
        <v>160</v>
      </c>
      <c r="D81" s="44" t="s">
        <v>337</v>
      </c>
      <c r="E81" s="54">
        <f t="shared" ref="E81:F81" ca="1" si="54">E80</f>
        <v>43301</v>
      </c>
      <c r="F81" s="54">
        <f t="shared" ca="1" si="54"/>
        <v>43666</v>
      </c>
      <c r="G81" s="135">
        <v>110</v>
      </c>
      <c r="H81" s="52">
        <f>H80</f>
        <v>365</v>
      </c>
      <c r="I81" s="55">
        <f>H81/365</f>
        <v>1</v>
      </c>
      <c r="J81" s="55">
        <v>0</v>
      </c>
      <c r="K81" s="56">
        <v>0.1</v>
      </c>
      <c r="L81" s="51">
        <f>_xll.dnetGBlackScholesNGreeks("price",$Q81,$P81,$G81,$I81,$C$3,$J81,$K81,$C$4)*R81</f>
        <v>0.93505796790289963</v>
      </c>
      <c r="M81" s="57"/>
      <c r="N81" s="51"/>
      <c r="O81" s="51">
        <f t="shared" si="53"/>
        <v>0.93505796790289963</v>
      </c>
      <c r="P81" s="94">
        <f>P80</f>
        <v>100</v>
      </c>
      <c r="Q81" s="52" t="s">
        <v>24</v>
      </c>
      <c r="R81" s="52">
        <f>IF(S81="中金买入",1,-1)</f>
        <v>1</v>
      </c>
      <c r="S81" s="56" t="s">
        <v>151</v>
      </c>
      <c r="T81" s="58"/>
      <c r="U81" s="51">
        <f>_xll.dnetGBlackScholesNGreeks("delta",$Q81,$P81,$G81,$I81,$C$3,$J81,$K81,$C$4)*R81</f>
        <v>0.17960765511322307</v>
      </c>
      <c r="V81" s="51">
        <f>_xll.dnetGBlackScholesNGreeks("vega",$Q81,$P81,$G81,$I81,$C$3,$J81,$K81,$C$4)*R81</f>
        <v>0.25926026431700322</v>
      </c>
    </row>
    <row r="82" spans="1:22" s="98" customFormat="1" ht="14.25" thickBot="1" x14ac:dyDescent="0.2">
      <c r="A82" s="97"/>
      <c r="B82" s="59" t="s">
        <v>175</v>
      </c>
      <c r="C82" s="60" t="s">
        <v>160</v>
      </c>
      <c r="D82" s="60" t="s">
        <v>336</v>
      </c>
      <c r="E82" s="62">
        <f t="shared" ref="E82:F82" ca="1" si="55">E81</f>
        <v>43301</v>
      </c>
      <c r="F82" s="62">
        <f t="shared" ca="1" si="55"/>
        <v>43666</v>
      </c>
      <c r="G82" s="60" t="str">
        <f>G80 &amp; "|" &amp; G81</f>
        <v>100|110</v>
      </c>
      <c r="H82" s="60">
        <f>H81</f>
        <v>365</v>
      </c>
      <c r="I82" s="63">
        <f>I81</f>
        <v>1</v>
      </c>
      <c r="J82" s="63"/>
      <c r="K82" s="60"/>
      <c r="L82" s="59">
        <f>L81+L80</f>
        <v>-3.3642439918942344</v>
      </c>
      <c r="M82" s="60">
        <v>0</v>
      </c>
      <c r="N82" s="59">
        <f>M82/10000*I82*P82</f>
        <v>0</v>
      </c>
      <c r="O82" s="59">
        <f t="shared" si="53"/>
        <v>3.3642439918942344</v>
      </c>
      <c r="P82" s="111">
        <f>P81</f>
        <v>100</v>
      </c>
      <c r="Q82" s="60"/>
      <c r="R82" s="60"/>
      <c r="S82" s="56"/>
      <c r="T82" s="64">
        <f>O82/P82</f>
        <v>3.3642439918942342E-2</v>
      </c>
      <c r="U82" s="64">
        <f>U81+U80</f>
        <v>-0.33198818246571449</v>
      </c>
      <c r="V82" s="64">
        <f>V81+V80</f>
        <v>-0.13118980268936653</v>
      </c>
    </row>
    <row r="83" spans="1:22" ht="12" thickBot="1" x14ac:dyDescent="0.2"/>
    <row r="84" spans="1:22" s="95" customFormat="1" ht="15" thickTop="1" thickBot="1" x14ac:dyDescent="0.2">
      <c r="A84" s="96"/>
      <c r="B84" s="43" t="s">
        <v>173</v>
      </c>
      <c r="C84" s="44" t="s">
        <v>160</v>
      </c>
      <c r="D84" s="44" t="s">
        <v>27</v>
      </c>
      <c r="E84" s="46">
        <v>43313</v>
      </c>
      <c r="F84" s="46">
        <f>E84+H84</f>
        <v>43405</v>
      </c>
      <c r="G84" s="134">
        <v>100</v>
      </c>
      <c r="H84" s="44">
        <v>92</v>
      </c>
      <c r="I84" s="47">
        <f>H84/365</f>
        <v>0.25205479452054796</v>
      </c>
      <c r="J84" s="47">
        <v>0</v>
      </c>
      <c r="K84" s="48">
        <v>0.13</v>
      </c>
      <c r="L84" s="43">
        <f>_xll.dnetGBlackScholesNGreeks("price",$Q84,$P84,$G84,$I84,$C$3,$J84,$K84,$C$4)*R84</f>
        <v>-2.5902071782528537</v>
      </c>
      <c r="M84" s="49"/>
      <c r="N84" s="43"/>
      <c r="O84" s="43">
        <f t="shared" ref="O84:O86" si="56">IF(L84&lt;=0,ABS(L84)+N84,L84-N84)</f>
        <v>2.5902071782528537</v>
      </c>
      <c r="P84" s="110">
        <v>100</v>
      </c>
      <c r="Q84" s="44" t="s">
        <v>329</v>
      </c>
      <c r="R84" s="44">
        <f>IF(S84="中金买入",1,-1)</f>
        <v>-1</v>
      </c>
      <c r="S84" s="48" t="s">
        <v>20</v>
      </c>
      <c r="T84" s="50"/>
      <c r="U84" s="43">
        <f>_xll.dnetGBlackScholesNGreeks("delta",$Q84,$P84,$G84,$I84,$C$3,$J84,$K84,$C$4)*R84</f>
        <v>0.4845347738598349</v>
      </c>
      <c r="V84" s="43">
        <f>_xll.dnetGBlackScholesNGreeks("vega",$Q84,$P84,$G84,$I84,$C$3,$J84,$K84,$C$4)*R84</f>
        <v>-0.19917577907274975</v>
      </c>
    </row>
    <row r="85" spans="1:22" s="95" customFormat="1" ht="14.25" thickTop="1" x14ac:dyDescent="0.15">
      <c r="A85" s="96"/>
      <c r="B85" s="51" t="s">
        <v>174</v>
      </c>
      <c r="C85" s="52" t="s">
        <v>160</v>
      </c>
      <c r="D85" s="44" t="s">
        <v>27</v>
      </c>
      <c r="E85" s="54">
        <f t="shared" ref="E85:F85" si="57">E84</f>
        <v>43313</v>
      </c>
      <c r="F85" s="54">
        <f t="shared" si="57"/>
        <v>43405</v>
      </c>
      <c r="G85" s="135">
        <v>90</v>
      </c>
      <c r="H85" s="52">
        <f>H84</f>
        <v>92</v>
      </c>
      <c r="I85" s="55">
        <f>H85/365</f>
        <v>0.25205479452054796</v>
      </c>
      <c r="J85" s="55">
        <v>0</v>
      </c>
      <c r="K85" s="56">
        <v>0.12</v>
      </c>
      <c r="L85" s="51">
        <f>_xll.dnetGBlackScholesNGreeks("price",$Q85,$P85,$G85,$I85,$C$3,$J85,$K85,$C$4)*R85</f>
        <v>9.2209336213580961E-2</v>
      </c>
      <c r="M85" s="57"/>
      <c r="N85" s="51"/>
      <c r="O85" s="51">
        <f t="shared" si="56"/>
        <v>9.2209336213580961E-2</v>
      </c>
      <c r="P85" s="94">
        <f>P84</f>
        <v>100</v>
      </c>
      <c r="Q85" s="52" t="s">
        <v>329</v>
      </c>
      <c r="R85" s="52">
        <f>IF(S85="中金买入",1,-1)</f>
        <v>1</v>
      </c>
      <c r="S85" s="56" t="s">
        <v>151</v>
      </c>
      <c r="T85" s="58"/>
      <c r="U85" s="51">
        <f>_xll.dnetGBlackScholesNGreeks("delta",$Q85,$P85,$G85,$I85,$C$3,$J85,$K85,$C$4)*R85</f>
        <v>-3.7434098166766461E-2</v>
      </c>
      <c r="V85" s="51">
        <f>_xll.dnetGBlackScholesNGreeks("vega",$Q85,$P85,$G85,$I85,$C$3,$J85,$K85,$C$4)*R85</f>
        <v>4.0960519949646557E-2</v>
      </c>
    </row>
    <row r="86" spans="1:22" s="98" customFormat="1" ht="14.25" thickBot="1" x14ac:dyDescent="0.2">
      <c r="A86" s="97"/>
      <c r="B86" s="59" t="s">
        <v>175</v>
      </c>
      <c r="C86" s="60" t="s">
        <v>160</v>
      </c>
      <c r="D86" s="60" t="s">
        <v>351</v>
      </c>
      <c r="E86" s="62">
        <f t="shared" ref="E86:F86" si="58">E85</f>
        <v>43313</v>
      </c>
      <c r="F86" s="62">
        <f t="shared" si="58"/>
        <v>43405</v>
      </c>
      <c r="G86" s="60" t="str">
        <f>G84 &amp; "|" &amp; G85</f>
        <v>100|90</v>
      </c>
      <c r="H86" s="60">
        <f>H85</f>
        <v>92</v>
      </c>
      <c r="I86" s="63">
        <f>I85</f>
        <v>0.25205479452054796</v>
      </c>
      <c r="J86" s="63"/>
      <c r="K86" s="60"/>
      <c r="L86" s="59">
        <f>L85+L84</f>
        <v>-2.4979978420392728</v>
      </c>
      <c r="M86" s="60">
        <v>80</v>
      </c>
      <c r="N86" s="59">
        <f>M86/10000*I86*P86</f>
        <v>0.20164383561643837</v>
      </c>
      <c r="O86" s="59">
        <f t="shared" si="56"/>
        <v>2.6996416776557113</v>
      </c>
      <c r="P86" s="111">
        <f>P85</f>
        <v>100</v>
      </c>
      <c r="Q86" s="60"/>
      <c r="R86" s="60"/>
      <c r="S86" s="56"/>
      <c r="T86" s="64">
        <f>O86/P86</f>
        <v>2.6996416776557113E-2</v>
      </c>
      <c r="U86" s="64">
        <f>U85+U84</f>
        <v>0.44710067569306844</v>
      </c>
      <c r="V86" s="64">
        <f>V85+V84</f>
        <v>-0.15821525912310319</v>
      </c>
    </row>
    <row r="87" spans="1:22" ht="12" thickBot="1" x14ac:dyDescent="0.2"/>
    <row r="88" spans="1:22" s="95" customFormat="1" ht="15" thickTop="1" thickBot="1" x14ac:dyDescent="0.2">
      <c r="A88" s="96"/>
      <c r="B88" s="43" t="s">
        <v>173</v>
      </c>
      <c r="C88" s="44" t="s">
        <v>160</v>
      </c>
      <c r="D88" s="44" t="s">
        <v>353</v>
      </c>
      <c r="E88" s="46">
        <v>43313</v>
      </c>
      <c r="F88" s="46">
        <f>E88+H88</f>
        <v>43405</v>
      </c>
      <c r="G88" s="134">
        <v>100</v>
      </c>
      <c r="H88" s="44">
        <v>92</v>
      </c>
      <c r="I88" s="47">
        <f>H88/365</f>
        <v>0.25205479452054796</v>
      </c>
      <c r="J88" s="47">
        <v>0</v>
      </c>
      <c r="K88" s="48">
        <v>0.2</v>
      </c>
      <c r="L88" s="43">
        <f>_xll.dnetGBlackScholesNGreeks("price",$Q88,$P88,$G88,$I88,$C$3,$J88,$K88,$C$4)*R88</f>
        <v>-3.9839677127218067</v>
      </c>
      <c r="M88" s="49"/>
      <c r="N88" s="43"/>
      <c r="O88" s="43">
        <f t="shared" ref="O88:O90" si="59">IF(L88&lt;=0,ABS(L88)+N88,L88-N88)</f>
        <v>3.9839677127218067</v>
      </c>
      <c r="P88" s="110">
        <v>100</v>
      </c>
      <c r="Q88" s="44" t="s">
        <v>329</v>
      </c>
      <c r="R88" s="44">
        <f>IF(S88="中金买入",1,-1)</f>
        <v>-1</v>
      </c>
      <c r="S88" s="48" t="s">
        <v>20</v>
      </c>
      <c r="T88" s="50"/>
      <c r="U88" s="43">
        <f>_xll.dnetGBlackScholesNGreeks("delta",$Q88,$P88,$G88,$I88,$C$3,$J88,$K88,$C$4)*R88</f>
        <v>0.47756596586125966</v>
      </c>
      <c r="V88" s="43">
        <f>_xll.dnetGBlackScholesNGreeks("vega",$Q88,$P88,$G88,$I88,$C$3,$J88,$K88,$C$4)*R88</f>
        <v>-0.19903087034733602</v>
      </c>
    </row>
    <row r="89" spans="1:22" s="95" customFormat="1" ht="14.25" thickTop="1" x14ac:dyDescent="0.15">
      <c r="A89" s="96"/>
      <c r="B89" s="51" t="s">
        <v>174</v>
      </c>
      <c r="C89" s="52" t="s">
        <v>160</v>
      </c>
      <c r="D89" s="44" t="s">
        <v>353</v>
      </c>
      <c r="E89" s="54">
        <f t="shared" ref="E89:F89" si="60">E88</f>
        <v>43313</v>
      </c>
      <c r="F89" s="54">
        <f t="shared" si="60"/>
        <v>43405</v>
      </c>
      <c r="G89" s="135">
        <v>90</v>
      </c>
      <c r="H89" s="52">
        <f>H88</f>
        <v>92</v>
      </c>
      <c r="I89" s="55">
        <f>H89/365</f>
        <v>0.25205479452054796</v>
      </c>
      <c r="J89" s="55">
        <v>0</v>
      </c>
      <c r="K89" s="56">
        <v>0.19</v>
      </c>
      <c r="L89" s="51">
        <f>_xll.dnetGBlackScholesNGreeks("price",$Q89,$P89,$G89,$I89,$C$3,$J89,$K89,$C$4)*R89</f>
        <v>0.61187874733331249</v>
      </c>
      <c r="M89" s="57"/>
      <c r="N89" s="51"/>
      <c r="O89" s="51">
        <f t="shared" si="59"/>
        <v>0.61187874733331249</v>
      </c>
      <c r="P89" s="94">
        <f>P88</f>
        <v>100</v>
      </c>
      <c r="Q89" s="52" t="s">
        <v>329</v>
      </c>
      <c r="R89" s="52">
        <f>IF(S89="中金买入",1,-1)</f>
        <v>1</v>
      </c>
      <c r="S89" s="56" t="s">
        <v>151</v>
      </c>
      <c r="T89" s="58"/>
      <c r="U89" s="51">
        <f>_xll.dnetGBlackScholesNGreeks("delta",$Q89,$P89,$G89,$I89,$C$3,$J89,$K89,$C$4)*R89</f>
        <v>-0.12398815753149606</v>
      </c>
      <c r="V89" s="51">
        <f>_xll.dnetGBlackScholesNGreeks("vega",$Q89,$P89,$G89,$I89,$C$3,$J89,$K89,$C$4)*R89</f>
        <v>0.10250444474313269</v>
      </c>
    </row>
    <row r="90" spans="1:22" s="98" customFormat="1" ht="14.25" thickBot="1" x14ac:dyDescent="0.2">
      <c r="A90" s="97"/>
      <c r="B90" s="59" t="s">
        <v>175</v>
      </c>
      <c r="C90" s="60" t="s">
        <v>160</v>
      </c>
      <c r="D90" s="60" t="s">
        <v>354</v>
      </c>
      <c r="E90" s="62">
        <f t="shared" ref="E90:F90" si="61">E89</f>
        <v>43313</v>
      </c>
      <c r="F90" s="62">
        <f t="shared" si="61"/>
        <v>43405</v>
      </c>
      <c r="G90" s="60" t="str">
        <f>G88 &amp; "|" &amp; G89</f>
        <v>100|90</v>
      </c>
      <c r="H90" s="60">
        <f>H89</f>
        <v>92</v>
      </c>
      <c r="I90" s="63">
        <f>I89</f>
        <v>0.25205479452054796</v>
      </c>
      <c r="J90" s="63"/>
      <c r="K90" s="60"/>
      <c r="L90" s="59">
        <f>L89+L88</f>
        <v>-3.3720889653884942</v>
      </c>
      <c r="M90" s="60">
        <v>80</v>
      </c>
      <c r="N90" s="59">
        <f>M90/10000*I90*P90</f>
        <v>0.20164383561643837</v>
      </c>
      <c r="O90" s="59">
        <f t="shared" si="59"/>
        <v>3.5737328010049327</v>
      </c>
      <c r="P90" s="111">
        <f>P89</f>
        <v>100</v>
      </c>
      <c r="Q90" s="60"/>
      <c r="R90" s="60"/>
      <c r="S90" s="56"/>
      <c r="T90" s="64">
        <f>O90/P90</f>
        <v>3.5737328010049328E-2</v>
      </c>
      <c r="U90" s="64">
        <f>U89+U88</f>
        <v>0.3535778083297636</v>
      </c>
      <c r="V90" s="64">
        <f>V89+V88</f>
        <v>-9.6526425604203325E-2</v>
      </c>
    </row>
    <row r="91" spans="1:22" ht="12" thickBot="1" x14ac:dyDescent="0.2"/>
    <row r="92" spans="1:22" s="95" customFormat="1" ht="15" thickTop="1" thickBot="1" x14ac:dyDescent="0.2">
      <c r="A92" s="96"/>
      <c r="B92" s="43" t="s">
        <v>173</v>
      </c>
      <c r="C92" s="44" t="s">
        <v>160</v>
      </c>
      <c r="D92" s="44" t="s">
        <v>357</v>
      </c>
      <c r="E92" s="46">
        <v>43313</v>
      </c>
      <c r="F92" s="46">
        <f>E92+H92</f>
        <v>43405</v>
      </c>
      <c r="G92" s="134">
        <v>100</v>
      </c>
      <c r="H92" s="44">
        <v>92</v>
      </c>
      <c r="I92" s="47">
        <f>H92/365</f>
        <v>0.25205479452054796</v>
      </c>
      <c r="J92" s="47">
        <v>0</v>
      </c>
      <c r="K92" s="48">
        <v>0.37</v>
      </c>
      <c r="L92" s="43">
        <f>_xll.dnetGBlackScholesNGreeks("price",$Q92,$P92,$G92,$I92,$C$3,$J92,$K92,$C$4)*R92</f>
        <v>-7.3628490672383009</v>
      </c>
      <c r="M92" s="49"/>
      <c r="N92" s="43"/>
      <c r="O92" s="43">
        <f t="shared" ref="O92:O94" si="62">IF(L92&lt;=0,ABS(L92)+N92,L92-N92)</f>
        <v>7.3628490672383009</v>
      </c>
      <c r="P92" s="110">
        <v>100</v>
      </c>
      <c r="Q92" s="44" t="s">
        <v>329</v>
      </c>
      <c r="R92" s="44">
        <f>IF(S92="中金买入",1,-1)</f>
        <v>-1</v>
      </c>
      <c r="S92" s="48" t="s">
        <v>20</v>
      </c>
      <c r="T92" s="50"/>
      <c r="U92" s="43">
        <f>_xll.dnetGBlackScholesNGreeks("delta",$Q92,$P92,$G92,$I92,$C$3,$J92,$K92,$C$4)*R92</f>
        <v>0.46067155453783926</v>
      </c>
      <c r="V92" s="43">
        <f>_xll.dnetGBlackScholesNGreeks("vega",$Q92,$P92,$G92,$I92,$C$3,$J92,$K92,$C$4)*R92</f>
        <v>-0.19842415427559246</v>
      </c>
    </row>
    <row r="93" spans="1:22" s="95" customFormat="1" ht="14.25" thickTop="1" x14ac:dyDescent="0.15">
      <c r="A93" s="96"/>
      <c r="B93" s="51" t="s">
        <v>174</v>
      </c>
      <c r="C93" s="52" t="s">
        <v>160</v>
      </c>
      <c r="D93" s="44" t="s">
        <v>357</v>
      </c>
      <c r="E93" s="54">
        <f t="shared" ref="E93:F93" si="63">E92</f>
        <v>43313</v>
      </c>
      <c r="F93" s="54">
        <f t="shared" si="63"/>
        <v>43405</v>
      </c>
      <c r="G93" s="135">
        <v>90</v>
      </c>
      <c r="H93" s="52">
        <f>H92</f>
        <v>92</v>
      </c>
      <c r="I93" s="55">
        <f>H93/365</f>
        <v>0.25205479452054796</v>
      </c>
      <c r="J93" s="55">
        <v>0</v>
      </c>
      <c r="K93" s="56">
        <v>0.35</v>
      </c>
      <c r="L93" s="51">
        <f>_xll.dnetGBlackScholesNGreeks("price",$Q93,$P93,$G93,$I93,$C$3,$J93,$K93,$C$4)*R93</f>
        <v>2.7936486300944594</v>
      </c>
      <c r="M93" s="57"/>
      <c r="N93" s="51"/>
      <c r="O93" s="51">
        <f t="shared" si="62"/>
        <v>2.7936486300944594</v>
      </c>
      <c r="P93" s="94">
        <f>P92</f>
        <v>100</v>
      </c>
      <c r="Q93" s="52" t="s">
        <v>329</v>
      </c>
      <c r="R93" s="52">
        <f>IF(S93="中金买入",1,-1)</f>
        <v>1</v>
      </c>
      <c r="S93" s="56" t="s">
        <v>151</v>
      </c>
      <c r="T93" s="58"/>
      <c r="U93" s="51">
        <f>_xll.dnetGBlackScholesNGreeks("delta",$Q93,$P93,$G93,$I93,$C$3,$J93,$K93,$C$4)*R93</f>
        <v>-0.2446600360068274</v>
      </c>
      <c r="V93" s="51">
        <f>_xll.dnetGBlackScholesNGreeks("vega",$Q93,$P93,$G93,$I93,$C$3,$J93,$K93,$C$4)*R93</f>
        <v>0.15732121802660792</v>
      </c>
    </row>
    <row r="94" spans="1:22" s="98" customFormat="1" ht="14.25" thickBot="1" x14ac:dyDescent="0.2">
      <c r="A94" s="97"/>
      <c r="B94" s="59" t="s">
        <v>175</v>
      </c>
      <c r="C94" s="60" t="s">
        <v>160</v>
      </c>
      <c r="D94" s="60" t="s">
        <v>356</v>
      </c>
      <c r="E94" s="62">
        <f t="shared" ref="E94:F94" si="64">E93</f>
        <v>43313</v>
      </c>
      <c r="F94" s="62">
        <f t="shared" si="64"/>
        <v>43405</v>
      </c>
      <c r="G94" s="60" t="str">
        <f>G92 &amp; "|" &amp; G93</f>
        <v>100|90</v>
      </c>
      <c r="H94" s="60">
        <f>H93</f>
        <v>92</v>
      </c>
      <c r="I94" s="63">
        <f>I93</f>
        <v>0.25205479452054796</v>
      </c>
      <c r="J94" s="63"/>
      <c r="K94" s="60"/>
      <c r="L94" s="59">
        <f>L93+L92</f>
        <v>-4.5692004371438415</v>
      </c>
      <c r="M94" s="60">
        <v>80</v>
      </c>
      <c r="N94" s="59">
        <f>M94/10000*I94*P94</f>
        <v>0.20164383561643837</v>
      </c>
      <c r="O94" s="59">
        <f t="shared" si="62"/>
        <v>4.7708442727602796</v>
      </c>
      <c r="P94" s="111">
        <f>P93</f>
        <v>100</v>
      </c>
      <c r="Q94" s="60"/>
      <c r="R94" s="60"/>
      <c r="S94" s="56"/>
      <c r="T94" s="64">
        <f>O94/P94</f>
        <v>4.7708442727602794E-2</v>
      </c>
      <c r="U94" s="64">
        <f>U93+U92</f>
        <v>0.21601151853101186</v>
      </c>
      <c r="V94" s="64">
        <f>V93+V92</f>
        <v>-4.1102936248984534E-2</v>
      </c>
    </row>
    <row r="95" spans="1:22" ht="12" thickBot="1" x14ac:dyDescent="0.2"/>
    <row r="96" spans="1:22" s="95" customFormat="1" ht="15" thickTop="1" thickBot="1" x14ac:dyDescent="0.2">
      <c r="A96" s="96"/>
      <c r="B96" s="43" t="s">
        <v>173</v>
      </c>
      <c r="C96" s="44" t="s">
        <v>160</v>
      </c>
      <c r="D96" s="44" t="s">
        <v>358</v>
      </c>
      <c r="E96" s="46">
        <v>43313</v>
      </c>
      <c r="F96" s="46">
        <f>E96+H96</f>
        <v>43346</v>
      </c>
      <c r="G96" s="134">
        <v>100</v>
      </c>
      <c r="H96" s="44">
        <v>33</v>
      </c>
      <c r="I96" s="47">
        <f>H96/365</f>
        <v>9.0410958904109592E-2</v>
      </c>
      <c r="J96" s="47">
        <v>0</v>
      </c>
      <c r="K96" s="48">
        <v>0.2</v>
      </c>
      <c r="L96" s="43">
        <f>_xll.dnetGBlackScholesNGreeks("price",$Q96,$P96,$G96,$I96,$C$3,$J96,$K96,$C$4)*R96</f>
        <v>-2.3944174114397185</v>
      </c>
      <c r="M96" s="49"/>
      <c r="N96" s="43"/>
      <c r="O96" s="43">
        <f t="shared" ref="O96:O98" si="65">IF(L96&lt;=0,ABS(L96)+N96,L96-N96)</f>
        <v>2.3944174114397185</v>
      </c>
      <c r="P96" s="110">
        <v>100</v>
      </c>
      <c r="Q96" s="44" t="s">
        <v>329</v>
      </c>
      <c r="R96" s="44">
        <f>IF(S96="中金买入",1,-1)</f>
        <v>-1</v>
      </c>
      <c r="S96" s="48" t="s">
        <v>20</v>
      </c>
      <c r="T96" s="50"/>
      <c r="U96" s="43">
        <f>_xll.dnetGBlackScholesNGreeks("delta",$Q96,$P96,$G96,$I96,$C$3,$J96,$K96,$C$4)*R96</f>
        <v>0.48712463682285545</v>
      </c>
      <c r="V96" s="43">
        <f>_xll.dnetGBlackScholesNGreeks("vega",$Q96,$P96,$G96,$I96,$C$3,$J96,$K96,$C$4)*R96</f>
        <v>-0.11968474961287257</v>
      </c>
    </row>
    <row r="97" spans="1:22" s="95" customFormat="1" ht="14.25" thickTop="1" x14ac:dyDescent="0.15">
      <c r="A97" s="96"/>
      <c r="B97" s="51" t="s">
        <v>174</v>
      </c>
      <c r="C97" s="52" t="s">
        <v>160</v>
      </c>
      <c r="D97" s="44" t="s">
        <v>358</v>
      </c>
      <c r="E97" s="54">
        <f t="shared" ref="E97:F97" si="66">E96</f>
        <v>43313</v>
      </c>
      <c r="F97" s="54">
        <f t="shared" si="66"/>
        <v>43346</v>
      </c>
      <c r="G97" s="135">
        <v>90</v>
      </c>
      <c r="H97" s="52">
        <f>H96</f>
        <v>33</v>
      </c>
      <c r="I97" s="55">
        <f>H97/365</f>
        <v>9.0410958904109592E-2</v>
      </c>
      <c r="J97" s="55">
        <v>0</v>
      </c>
      <c r="K97" s="56">
        <v>0.19</v>
      </c>
      <c r="L97" s="51">
        <f>_xll.dnetGBlackScholesNGreeks("price",$Q97,$P97,$G97,$I97,$C$3,$J97,$K97,$C$4)*R97</f>
        <v>6.9019995564378878E-2</v>
      </c>
      <c r="M97" s="57"/>
      <c r="N97" s="51"/>
      <c r="O97" s="51">
        <f t="shared" si="65"/>
        <v>6.9019995564378878E-2</v>
      </c>
      <c r="P97" s="94">
        <f>P96</f>
        <v>100</v>
      </c>
      <c r="Q97" s="52" t="s">
        <v>329</v>
      </c>
      <c r="R97" s="52">
        <f>IF(S97="中金买入",1,-1)</f>
        <v>1</v>
      </c>
      <c r="S97" s="56" t="s">
        <v>151</v>
      </c>
      <c r="T97" s="58"/>
      <c r="U97" s="51">
        <f>_xll.dnetGBlackScholesNGreeks("delta",$Q97,$P97,$G97,$I97,$C$3,$J97,$K97,$C$4)*R97</f>
        <v>-3.0493619927707272E-2</v>
      </c>
      <c r="V97" s="51">
        <f>_xll.dnetGBlackScholesNGreeks("vega",$Q97,$P97,$G97,$I97,$C$3,$J97,$K97,$C$4)*R97</f>
        <v>2.0744396538590282E-2</v>
      </c>
    </row>
    <row r="98" spans="1:22" s="98" customFormat="1" ht="14.25" thickBot="1" x14ac:dyDescent="0.2">
      <c r="A98" s="97"/>
      <c r="B98" s="59" t="s">
        <v>175</v>
      </c>
      <c r="C98" s="60" t="s">
        <v>160</v>
      </c>
      <c r="D98" s="60" t="s">
        <v>359</v>
      </c>
      <c r="E98" s="62">
        <f t="shared" ref="E98:F98" si="67">E97</f>
        <v>43313</v>
      </c>
      <c r="F98" s="62">
        <f t="shared" si="67"/>
        <v>43346</v>
      </c>
      <c r="G98" s="60" t="str">
        <f>G96 &amp; "|" &amp; G97</f>
        <v>100|90</v>
      </c>
      <c r="H98" s="60">
        <f>H97</f>
        <v>33</v>
      </c>
      <c r="I98" s="63">
        <f>I97</f>
        <v>9.0410958904109592E-2</v>
      </c>
      <c r="J98" s="63"/>
      <c r="K98" s="60"/>
      <c r="L98" s="59">
        <f>L97+L96</f>
        <v>-2.3253974158753397</v>
      </c>
      <c r="M98" s="60">
        <v>240</v>
      </c>
      <c r="N98" s="59">
        <f>M98/10000*I98*P98</f>
        <v>0.21698630136986302</v>
      </c>
      <c r="O98" s="59">
        <f t="shared" si="65"/>
        <v>2.5423837172452028</v>
      </c>
      <c r="P98" s="111">
        <f>P97</f>
        <v>100</v>
      </c>
      <c r="Q98" s="60"/>
      <c r="R98" s="60"/>
      <c r="S98" s="56"/>
      <c r="T98" s="64">
        <f>O98/P98</f>
        <v>2.542383717245203E-2</v>
      </c>
      <c r="U98" s="64">
        <f>U97+U96</f>
        <v>0.45663101689514818</v>
      </c>
      <c r="V98" s="64">
        <f>V97+V96</f>
        <v>-9.8940353074282283E-2</v>
      </c>
    </row>
    <row r="99" spans="1:22" ht="12" thickBot="1" x14ac:dyDescent="0.2"/>
    <row r="100" spans="1:22" s="95" customFormat="1" ht="15" thickTop="1" thickBot="1" x14ac:dyDescent="0.2">
      <c r="A100" s="96"/>
      <c r="B100" s="43" t="s">
        <v>173</v>
      </c>
      <c r="C100" s="44" t="s">
        <v>160</v>
      </c>
      <c r="D100" s="44" t="s">
        <v>376</v>
      </c>
      <c r="E100" s="46">
        <f ca="1">TODAY()</f>
        <v>43301</v>
      </c>
      <c r="F100" s="46">
        <f ca="1">E100+H100</f>
        <v>43332</v>
      </c>
      <c r="G100" s="134">
        <v>100</v>
      </c>
      <c r="H100" s="44">
        <v>31</v>
      </c>
      <c r="I100" s="47">
        <f>H100/365</f>
        <v>8.4931506849315067E-2</v>
      </c>
      <c r="J100" s="47">
        <v>0</v>
      </c>
      <c r="K100" s="48">
        <v>0.19500000000000001</v>
      </c>
      <c r="L100" s="43">
        <f>_xll.dnetGBlackScholesNGreeks("price",$Q100,$P100,$G100,$I100,$C$3,$J100,$K100,$C$4)*R100</f>
        <v>-2.2629916380370503</v>
      </c>
      <c r="M100" s="49"/>
      <c r="N100" s="43"/>
      <c r="O100" s="43">
        <f t="shared" ref="O100:O102" si="68">IF(L100&lt;=0,ABS(L100)+N100,L100-N100)</f>
        <v>2.2629916380370503</v>
      </c>
      <c r="P100" s="110">
        <v>100</v>
      </c>
      <c r="Q100" s="44" t="s">
        <v>24</v>
      </c>
      <c r="R100" s="44">
        <f>IF(S100="中金买入",1,-1)</f>
        <v>-1</v>
      </c>
      <c r="S100" s="48" t="s">
        <v>20</v>
      </c>
      <c r="T100" s="50"/>
      <c r="U100" s="43">
        <f>_xll.dnetGBlackScholesNGreeks("delta",$Q100,$P100,$G100,$I100,$C$3,$J100,$K100,$C$4)*R100</f>
        <v>-0.51046634653602041</v>
      </c>
      <c r="V100" s="43">
        <f>_xll.dnetGBlackScholesNGreeks("vega",$Q100,$P100,$G100,$I100,$C$3,$J100,$K100,$C$4)*R100</f>
        <v>-0.11601958318611949</v>
      </c>
    </row>
    <row r="101" spans="1:22" s="95" customFormat="1" ht="14.25" thickTop="1" x14ac:dyDescent="0.15">
      <c r="A101" s="96"/>
      <c r="B101" s="51" t="s">
        <v>174</v>
      </c>
      <c r="C101" s="52" t="s">
        <v>160</v>
      </c>
      <c r="D101" s="44" t="s">
        <v>376</v>
      </c>
      <c r="E101" s="54">
        <f t="shared" ref="E101:F101" ca="1" si="69">E100</f>
        <v>43301</v>
      </c>
      <c r="F101" s="54">
        <f t="shared" ca="1" si="69"/>
        <v>43332</v>
      </c>
      <c r="G101" s="135">
        <v>110</v>
      </c>
      <c r="H101" s="52">
        <v>31</v>
      </c>
      <c r="I101" s="55">
        <f>H101/365</f>
        <v>8.4931506849315067E-2</v>
      </c>
      <c r="J101" s="55">
        <v>0</v>
      </c>
      <c r="K101" s="56">
        <v>0.18</v>
      </c>
      <c r="L101" s="51">
        <f>_xll.dnetGBlackScholesNGreeks("price",$Q101,$P101,$G101,$I101,$C$3,$J101,$K101,$C$4)*R101</f>
        <v>7.5113145643698864E-2</v>
      </c>
      <c r="M101" s="57"/>
      <c r="N101" s="51"/>
      <c r="O101" s="51">
        <f t="shared" si="68"/>
        <v>7.5113145643698864E-2</v>
      </c>
      <c r="P101" s="94">
        <f>P100</f>
        <v>100</v>
      </c>
      <c r="Q101" s="52" t="s">
        <v>24</v>
      </c>
      <c r="R101" s="52">
        <f>IF(S101="中金买入",1,-1)</f>
        <v>1</v>
      </c>
      <c r="S101" s="56" t="s">
        <v>151</v>
      </c>
      <c r="T101" s="58"/>
      <c r="U101" s="51">
        <f>_xll.dnetGBlackScholesNGreeks("delta",$Q101,$P101,$G101,$I101,$C$3,$J101,$K101,$C$4)*R101</f>
        <v>3.6610422359273365E-2</v>
      </c>
      <c r="V101" s="51">
        <f>_xll.dnetGBlackScholesNGreeks("vega",$Q101,$P101,$G101,$I101,$C$3,$J101,$K101,$C$4)*R101</f>
        <v>2.3369151899475193E-2</v>
      </c>
    </row>
    <row r="102" spans="1:22" s="98" customFormat="1" ht="14.25" thickBot="1" x14ac:dyDescent="0.2">
      <c r="A102" s="97"/>
      <c r="B102" s="59" t="s">
        <v>175</v>
      </c>
      <c r="C102" s="60" t="s">
        <v>160</v>
      </c>
      <c r="D102" s="60" t="s">
        <v>376</v>
      </c>
      <c r="E102" s="62">
        <f t="shared" ref="E102:F102" ca="1" si="70">E101</f>
        <v>43301</v>
      </c>
      <c r="F102" s="62">
        <f t="shared" ca="1" si="70"/>
        <v>43332</v>
      </c>
      <c r="G102" s="60" t="str">
        <f>G100 &amp; "|" &amp; G101</f>
        <v>100|110</v>
      </c>
      <c r="H102" s="60">
        <f>H101</f>
        <v>31</v>
      </c>
      <c r="I102" s="63">
        <f>I101</f>
        <v>8.4931506849315067E-2</v>
      </c>
      <c r="J102" s="63"/>
      <c r="K102" s="60"/>
      <c r="L102" s="59">
        <f>L101+L100</f>
        <v>-2.1878784923933514</v>
      </c>
      <c r="M102" s="60">
        <v>240</v>
      </c>
      <c r="N102" s="59">
        <f>M102/10000*I102*P102</f>
        <v>0.20383561643835618</v>
      </c>
      <c r="O102" s="59">
        <f t="shared" si="68"/>
        <v>2.3917141088317075</v>
      </c>
      <c r="P102" s="111">
        <f>P101</f>
        <v>100</v>
      </c>
      <c r="Q102" s="60"/>
      <c r="R102" s="60"/>
      <c r="S102" s="56"/>
      <c r="T102" s="64">
        <f>O102/P102</f>
        <v>2.3917141088317075E-2</v>
      </c>
      <c r="U102" s="64">
        <f>U101+U100</f>
        <v>-0.47385592417674705</v>
      </c>
      <c r="V102" s="64">
        <f>V101+V100</f>
        <v>-9.2650431286644297E-2</v>
      </c>
    </row>
    <row r="103" spans="1:22" ht="12" thickBot="1" x14ac:dyDescent="0.2"/>
    <row r="104" spans="1:22" s="95" customFormat="1" ht="15" thickTop="1" thickBot="1" x14ac:dyDescent="0.2">
      <c r="A104" s="96"/>
      <c r="B104" s="43" t="s">
        <v>173</v>
      </c>
      <c r="C104" s="44" t="s">
        <v>160</v>
      </c>
      <c r="D104" s="44" t="s">
        <v>376</v>
      </c>
      <c r="E104" s="46">
        <f ca="1">TODAY()</f>
        <v>43301</v>
      </c>
      <c r="F104" s="46">
        <f ca="1">E104+H104</f>
        <v>43332</v>
      </c>
      <c r="G104" s="134">
        <v>100</v>
      </c>
      <c r="H104" s="44">
        <v>31</v>
      </c>
      <c r="I104" s="47">
        <f>H104/365</f>
        <v>8.4931506849315067E-2</v>
      </c>
      <c r="J104" s="47">
        <v>0</v>
      </c>
      <c r="K104" s="48">
        <v>0.19</v>
      </c>
      <c r="L104" s="43">
        <f>_xll.dnetGBlackScholesNGreeks("price",$Q104,$P104,$G104,$I104,$C$3,$J104,$K104,$C$4)*R104</f>
        <v>-2.2049812305989036</v>
      </c>
      <c r="M104" s="49"/>
      <c r="N104" s="43"/>
      <c r="O104" s="43">
        <f t="shared" ref="O104:O106" si="71">IF(L104&lt;=0,ABS(L104)+N104,L104-N104)</f>
        <v>2.2049812305989036</v>
      </c>
      <c r="P104" s="110">
        <v>100</v>
      </c>
      <c r="Q104" s="44" t="s">
        <v>329</v>
      </c>
      <c r="R104" s="44">
        <f>IF(S104="中金买入",1,-1)</f>
        <v>-1</v>
      </c>
      <c r="S104" s="48" t="s">
        <v>20</v>
      </c>
      <c r="T104" s="50"/>
      <c r="U104" s="43">
        <f>_xll.dnetGBlackScholesNGreeks("delta",$Q104,$P104,$G104,$I104,$C$3,$J104,$K104,$C$4)*R104</f>
        <v>0.48812651768130877</v>
      </c>
      <c r="V104" s="43">
        <f>_xll.dnetGBlackScholesNGreeks("vega",$Q104,$P104,$G104,$I104,$C$3,$J104,$K104,$C$4)*R104</f>
        <v>-0.11602195425957618</v>
      </c>
    </row>
    <row r="105" spans="1:22" s="95" customFormat="1" ht="14.25" thickTop="1" x14ac:dyDescent="0.15">
      <c r="A105" s="96"/>
      <c r="B105" s="51" t="s">
        <v>174</v>
      </c>
      <c r="C105" s="52" t="s">
        <v>160</v>
      </c>
      <c r="D105" s="44" t="s">
        <v>376</v>
      </c>
      <c r="E105" s="54">
        <f t="shared" ref="E105:F105" ca="1" si="72">E104</f>
        <v>43301</v>
      </c>
      <c r="F105" s="54">
        <f t="shared" ca="1" si="72"/>
        <v>43332</v>
      </c>
      <c r="G105" s="135">
        <v>95</v>
      </c>
      <c r="H105" s="52">
        <f>H104</f>
        <v>31</v>
      </c>
      <c r="I105" s="55">
        <f>H105/365</f>
        <v>8.4931506849315067E-2</v>
      </c>
      <c r="J105" s="55">
        <v>0</v>
      </c>
      <c r="K105" s="56">
        <v>0.18</v>
      </c>
      <c r="L105" s="51">
        <f>_xll.dnetGBlackScholesNGreeks("price",$Q105,$P105,$G105,$I105,$C$3,$J105,$K105,$C$4)*R105</f>
        <v>0.44344358486148394</v>
      </c>
      <c r="M105" s="57"/>
      <c r="N105" s="51"/>
      <c r="O105" s="51">
        <f t="shared" si="71"/>
        <v>0.44344358486148394</v>
      </c>
      <c r="P105" s="94">
        <f>P104</f>
        <v>100</v>
      </c>
      <c r="Q105" s="52" t="s">
        <v>329</v>
      </c>
      <c r="R105" s="52">
        <f>IF(S105="中金买入",1,-1)</f>
        <v>1</v>
      </c>
      <c r="S105" s="56" t="s">
        <v>151</v>
      </c>
      <c r="T105" s="58"/>
      <c r="U105" s="51">
        <f>_xll.dnetGBlackScholesNGreeks("delta",$Q105,$P105,$G105,$I105,$C$3,$J105,$K105,$C$4)*R105</f>
        <v>-0.15741295311908488</v>
      </c>
      <c r="V105" s="51">
        <f>_xll.dnetGBlackScholesNGreeks("vega",$Q105,$P105,$G105,$I105,$C$3,$J105,$K105,$C$4)*R105</f>
        <v>7.0043110892189731E-2</v>
      </c>
    </row>
    <row r="106" spans="1:22" s="98" customFormat="1" ht="14.25" thickBot="1" x14ac:dyDescent="0.2">
      <c r="A106" s="97"/>
      <c r="B106" s="59" t="s">
        <v>175</v>
      </c>
      <c r="C106" s="60" t="s">
        <v>160</v>
      </c>
      <c r="D106" s="60" t="s">
        <v>376</v>
      </c>
      <c r="E106" s="62">
        <f t="shared" ref="E106:F106" ca="1" si="73">E105</f>
        <v>43301</v>
      </c>
      <c r="F106" s="62">
        <f t="shared" ca="1" si="73"/>
        <v>43332</v>
      </c>
      <c r="G106" s="60" t="str">
        <f>G104 &amp; "|" &amp; G105</f>
        <v>100|95</v>
      </c>
      <c r="H106" s="60">
        <f>H105</f>
        <v>31</v>
      </c>
      <c r="I106" s="63">
        <f>I105</f>
        <v>8.4931506849315067E-2</v>
      </c>
      <c r="J106" s="63"/>
      <c r="K106" s="60"/>
      <c r="L106" s="59">
        <f>L105+L104</f>
        <v>-1.7615376457374197</v>
      </c>
      <c r="M106" s="60">
        <v>240</v>
      </c>
      <c r="N106" s="59">
        <f>M106/10000*I106*P106</f>
        <v>0.20383561643835618</v>
      </c>
      <c r="O106" s="59">
        <f t="shared" si="71"/>
        <v>1.9653732621757758</v>
      </c>
      <c r="P106" s="111">
        <f>P105</f>
        <v>100</v>
      </c>
      <c r="Q106" s="60"/>
      <c r="R106" s="60"/>
      <c r="S106" s="56"/>
      <c r="T106" s="64">
        <f>O106/P106</f>
        <v>1.9653732621757757E-2</v>
      </c>
      <c r="U106" s="64">
        <f>U105+U104</f>
        <v>0.33071356456222389</v>
      </c>
      <c r="V106" s="64">
        <f>V105+V104</f>
        <v>-4.5978843367386446E-2</v>
      </c>
    </row>
    <row r="107" spans="1:22" ht="12" thickBot="1" x14ac:dyDescent="0.2"/>
    <row r="108" spans="1:22" s="95" customFormat="1" ht="15" thickTop="1" thickBot="1" x14ac:dyDescent="0.2">
      <c r="A108" s="96"/>
      <c r="B108" s="43" t="s">
        <v>173</v>
      </c>
      <c r="C108" s="44" t="s">
        <v>160</v>
      </c>
      <c r="D108" s="44" t="s">
        <v>376</v>
      </c>
      <c r="E108" s="46">
        <f ca="1">TODAY()</f>
        <v>43301</v>
      </c>
      <c r="F108" s="46">
        <f ca="1">E108+H108</f>
        <v>43332</v>
      </c>
      <c r="G108" s="134">
        <v>100</v>
      </c>
      <c r="H108" s="44">
        <v>31</v>
      </c>
      <c r="I108" s="47">
        <f>H108/365</f>
        <v>8.4931506849315067E-2</v>
      </c>
      <c r="J108" s="47">
        <v>0</v>
      </c>
      <c r="K108" s="48">
        <v>0.19500000000000001</v>
      </c>
      <c r="L108" s="43">
        <f>_xll.dnetGBlackScholesNGreeks("price",$Q108,$P108,$G108,$I108,$C$3,$J108,$K108,$C$4)*R108</f>
        <v>-2.2629916380370503</v>
      </c>
      <c r="M108" s="49"/>
      <c r="N108" s="43"/>
      <c r="O108" s="43">
        <f t="shared" ref="O108:O110" si="74">IF(L108&lt;=0,ABS(L108)+N108,L108-N108)</f>
        <v>2.2629916380370503</v>
      </c>
      <c r="P108" s="110">
        <v>100</v>
      </c>
      <c r="Q108" s="44" t="s">
        <v>24</v>
      </c>
      <c r="R108" s="44">
        <f>IF(S108="中金买入",1,-1)</f>
        <v>-1</v>
      </c>
      <c r="S108" s="48" t="s">
        <v>20</v>
      </c>
      <c r="T108" s="50"/>
      <c r="U108" s="43">
        <f>_xll.dnetGBlackScholesNGreeks("delta",$Q108,$P108,$G108,$I108,$C$3,$J108,$K108,$C$4)*R108</f>
        <v>-0.51046634653602041</v>
      </c>
      <c r="V108" s="43">
        <f>_xll.dnetGBlackScholesNGreeks("vega",$Q108,$P108,$G108,$I108,$C$3,$J108,$K108,$C$4)*R108</f>
        <v>-0.11601958318611949</v>
      </c>
    </row>
    <row r="109" spans="1:22" s="95" customFormat="1" ht="14.25" thickTop="1" x14ac:dyDescent="0.15">
      <c r="A109" s="96"/>
      <c r="B109" s="51" t="s">
        <v>174</v>
      </c>
      <c r="C109" s="52" t="s">
        <v>160</v>
      </c>
      <c r="D109" s="44" t="s">
        <v>376</v>
      </c>
      <c r="E109" s="54">
        <f t="shared" ref="E109:F109" ca="1" si="75">E108</f>
        <v>43301</v>
      </c>
      <c r="F109" s="54">
        <f t="shared" ca="1" si="75"/>
        <v>43332</v>
      </c>
      <c r="G109" s="135">
        <v>102</v>
      </c>
      <c r="H109" s="52">
        <f>H108</f>
        <v>31</v>
      </c>
      <c r="I109" s="55">
        <f>H109/365</f>
        <v>8.4931506849315067E-2</v>
      </c>
      <c r="J109" s="55">
        <v>0</v>
      </c>
      <c r="K109" s="56">
        <v>0.18</v>
      </c>
      <c r="L109" s="51">
        <f>_xll.dnetGBlackScholesNGreeks("price",$Q109,$P109,$G109,$I109,$C$3,$J109,$K109,$C$4)*R109</f>
        <v>1.2600758435779582</v>
      </c>
      <c r="M109" s="57"/>
      <c r="N109" s="51"/>
      <c r="O109" s="51">
        <f t="shared" si="74"/>
        <v>1.2600758435779582</v>
      </c>
      <c r="P109" s="94">
        <f>P108</f>
        <v>100</v>
      </c>
      <c r="Q109" s="52" t="s">
        <v>24</v>
      </c>
      <c r="R109" s="52">
        <f>IF(S109="中金买入",1,-1)</f>
        <v>1</v>
      </c>
      <c r="S109" s="56" t="s">
        <v>151</v>
      </c>
      <c r="T109" s="58"/>
      <c r="U109" s="51">
        <f>_xll.dnetGBlackScholesNGreeks("delta",$Q109,$P109,$G109,$I109,$C$3,$J109,$K109,$C$4)*R109</f>
        <v>0.36207727171237991</v>
      </c>
      <c r="V109" s="51">
        <f>_xll.dnetGBlackScholesNGreeks("vega",$Q109,$P109,$G109,$I109,$C$3,$J109,$K109,$C$4)*R109</f>
        <v>0.10909914935206189</v>
      </c>
    </row>
    <row r="110" spans="1:22" s="98" customFormat="1" ht="14.25" thickBot="1" x14ac:dyDescent="0.2">
      <c r="A110" s="97"/>
      <c r="B110" s="59" t="s">
        <v>175</v>
      </c>
      <c r="C110" s="60" t="s">
        <v>160</v>
      </c>
      <c r="D110" s="60" t="s">
        <v>376</v>
      </c>
      <c r="E110" s="62">
        <f t="shared" ref="E110:F110" ca="1" si="76">E109</f>
        <v>43301</v>
      </c>
      <c r="F110" s="62">
        <f t="shared" ca="1" si="76"/>
        <v>43332</v>
      </c>
      <c r="G110" s="60" t="str">
        <f>G108 &amp; "|" &amp; G109</f>
        <v>100|102</v>
      </c>
      <c r="H110" s="60">
        <f>H109</f>
        <v>31</v>
      </c>
      <c r="I110" s="63">
        <f>I109</f>
        <v>8.4931506849315067E-2</v>
      </c>
      <c r="J110" s="63"/>
      <c r="K110" s="60"/>
      <c r="L110" s="59">
        <f>L109+L108</f>
        <v>-1.0029157944590921</v>
      </c>
      <c r="M110" s="60">
        <v>2</v>
      </c>
      <c r="N110" s="59">
        <f>M110/10000*I110*P110</f>
        <v>1.6986301369863014E-3</v>
      </c>
      <c r="O110" s="59">
        <f t="shared" si="74"/>
        <v>1.0046144245960784</v>
      </c>
      <c r="P110" s="111">
        <f>P109</f>
        <v>100</v>
      </c>
      <c r="Q110" s="60"/>
      <c r="R110" s="60"/>
      <c r="S110" s="56"/>
      <c r="T110" s="64">
        <f>O110/P110</f>
        <v>1.0046144245960785E-2</v>
      </c>
      <c r="U110" s="64">
        <f>U109+U108</f>
        <v>-0.1483890748236405</v>
      </c>
      <c r="V110" s="64">
        <f>V109+V108</f>
        <v>-6.9204338340576044E-3</v>
      </c>
    </row>
    <row r="111" spans="1:22" ht="12" thickBot="1" x14ac:dyDescent="0.2"/>
    <row r="112" spans="1:22" s="95" customFormat="1" ht="15" thickTop="1" thickBot="1" x14ac:dyDescent="0.2">
      <c r="A112" s="96"/>
      <c r="B112" s="43" t="s">
        <v>173</v>
      </c>
      <c r="C112" s="44" t="s">
        <v>160</v>
      </c>
      <c r="D112" s="44" t="s">
        <v>404</v>
      </c>
      <c r="E112" s="46">
        <f ca="1">TODAY()</f>
        <v>43301</v>
      </c>
      <c r="F112" s="46">
        <f ca="1">E112+H112</f>
        <v>43363</v>
      </c>
      <c r="G112" s="134">
        <v>635</v>
      </c>
      <c r="H112" s="44">
        <v>62</v>
      </c>
      <c r="I112" s="47">
        <f>H112/365</f>
        <v>0.16986301369863013</v>
      </c>
      <c r="J112" s="47">
        <v>0</v>
      </c>
      <c r="K112" s="48">
        <v>0.24</v>
      </c>
      <c r="L112" s="43">
        <f>_xll.dnetGBlackScholesNGreeks("price",$Q112,$P112,$G112,$I112,$C$3,$J112,$K112,$C$4)*R112</f>
        <v>-17.741189834055405</v>
      </c>
      <c r="M112" s="49"/>
      <c r="N112" s="43"/>
      <c r="O112" s="43">
        <f t="shared" ref="O112:O114" si="77">IF(L112&lt;=0,ABS(L112)+N112,L112-N112)</f>
        <v>17.741189834055405</v>
      </c>
      <c r="P112" s="110">
        <f>RTD("wdf.rtq",,D112,"LastPrice")</f>
        <v>619.6</v>
      </c>
      <c r="Q112" s="44" t="s">
        <v>24</v>
      </c>
      <c r="R112" s="44">
        <f>IF(S112="中金买入",1,-1)</f>
        <v>-1</v>
      </c>
      <c r="S112" s="48" t="s">
        <v>20</v>
      </c>
      <c r="T112" s="50"/>
      <c r="U112" s="43">
        <f>_xll.dnetGBlackScholesNGreeks("delta",$Q112,$P112,$G112,$I112,$C$3,$J112,$K112,$C$4)*R112</f>
        <v>-0.41980234226315361</v>
      </c>
      <c r="V112" s="43">
        <f>_xll.dnetGBlackScholesNGreeks("vega",$Q112,$P112,$G112,$I112,$C$3,$J112,$K112,$C$4)*R112</f>
        <v>-0.99539415405293141</v>
      </c>
    </row>
    <row r="113" spans="1:22" s="95" customFormat="1" ht="15" thickTop="1" thickBot="1" x14ac:dyDescent="0.2">
      <c r="A113" s="96"/>
      <c r="B113" s="51" t="s">
        <v>174</v>
      </c>
      <c r="C113" s="52" t="s">
        <v>160</v>
      </c>
      <c r="D113" s="44" t="s">
        <v>405</v>
      </c>
      <c r="E113" s="54">
        <f t="shared" ref="E113:F113" ca="1" si="78">E112</f>
        <v>43301</v>
      </c>
      <c r="F113" s="54">
        <f t="shared" ca="1" si="78"/>
        <v>43363</v>
      </c>
      <c r="G113" s="135">
        <v>595</v>
      </c>
      <c r="H113" s="52">
        <f>H112</f>
        <v>62</v>
      </c>
      <c r="I113" s="55">
        <f>H113/365</f>
        <v>0.16986301369863013</v>
      </c>
      <c r="J113" s="55">
        <v>0</v>
      </c>
      <c r="K113" s="56">
        <v>0.22500000000000001</v>
      </c>
      <c r="L113" s="51">
        <f>_xll.dnetGBlackScholesNGreeks("price",$Q113,$P113,$G113,$I113,$C$3,$J113,$K113,$C$4)*R113</f>
        <v>12.225315549573509</v>
      </c>
      <c r="M113" s="57"/>
      <c r="N113" s="51"/>
      <c r="O113" s="51">
        <f t="shared" si="77"/>
        <v>12.225315549573509</v>
      </c>
      <c r="P113" s="94">
        <f>RTD("wdf.rtq",,D113,"LastPrice")</f>
        <v>619.6</v>
      </c>
      <c r="Q113" s="52" t="s">
        <v>329</v>
      </c>
      <c r="R113" s="52">
        <f>IF(S113="中金买入",1,-1)</f>
        <v>1</v>
      </c>
      <c r="S113" s="56" t="s">
        <v>151</v>
      </c>
      <c r="T113" s="58"/>
      <c r="U113" s="51">
        <f>_xll.dnetGBlackScholesNGreeks("delta",$Q113,$P113,$G113,$I113,$C$3,$J113,$K113,$C$4)*R113</f>
        <v>-0.31339498364673091</v>
      </c>
      <c r="V113" s="51">
        <f>_xll.dnetGBlackScholesNGreeks("vega",$Q113,$P113,$G113,$I113,$C$3,$J113,$K113,$C$4)*R113</f>
        <v>0.90325243041810666</v>
      </c>
    </row>
    <row r="114" spans="1:22" s="98" customFormat="1" ht="15" thickTop="1" thickBot="1" x14ac:dyDescent="0.2">
      <c r="A114" s="97"/>
      <c r="B114" s="59" t="s">
        <v>175</v>
      </c>
      <c r="C114" s="60" t="s">
        <v>160</v>
      </c>
      <c r="D114" s="44" t="s">
        <v>405</v>
      </c>
      <c r="E114" s="62">
        <f t="shared" ref="E114:F114" ca="1" si="79">E113</f>
        <v>43301</v>
      </c>
      <c r="F114" s="62">
        <f t="shared" ca="1" si="79"/>
        <v>43363</v>
      </c>
      <c r="G114" s="60" t="str">
        <f>G112 &amp; "|" &amp; G113</f>
        <v>635|595</v>
      </c>
      <c r="H114" s="60">
        <f>H113</f>
        <v>62</v>
      </c>
      <c r="I114" s="63">
        <f>I113</f>
        <v>0.16986301369863013</v>
      </c>
      <c r="J114" s="63"/>
      <c r="K114" s="60"/>
      <c r="L114" s="59">
        <f>L113+L112</f>
        <v>-5.515874284481896</v>
      </c>
      <c r="M114" s="60">
        <v>2</v>
      </c>
      <c r="N114" s="59">
        <f>M114/10000*I114*P114</f>
        <v>2.104942465753425E-2</v>
      </c>
      <c r="O114" s="59">
        <f t="shared" si="77"/>
        <v>5.5369237091394305</v>
      </c>
      <c r="P114" s="111">
        <f>P113</f>
        <v>619.6</v>
      </c>
      <c r="Q114" s="60"/>
      <c r="R114" s="60"/>
      <c r="S114" s="56"/>
      <c r="T114" s="64">
        <f>O114/P114</f>
        <v>8.9362874582624759E-3</v>
      </c>
      <c r="U114" s="64">
        <f>U113+U112</f>
        <v>-0.73319732590988451</v>
      </c>
      <c r="V114" s="64">
        <f>V113+V112</f>
        <v>-9.2141723634824757E-2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C26:C34 C36:C44 C46:C54 C56:C58 C60:C62 C64:C66 C68:C70 C72:C74 C76:C78 C80:C82 C84:C86 C92:C94 C88:C90 C96:C98 C100:C102 C108:C110 C104:C106 C112:C114</xm:sqref>
        </x14:dataValidation>
        <x14:dataValidation type="list" allowBlank="1" showInputMessage="1" showErrorMessage="1">
          <x14:formula1>
            <xm:f>configs!$C$1:$C$2</xm:f>
          </x14:formula1>
          <xm:sqref>Q8:Q16 Q18:Q23 Q26:Q34 Q36:Q44 Q46:Q54 Q56:Q58 Q60:Q62 Q64:Q66 Q68:Q70 Q72:Q74 Q76:Q78 Q80:Q82 Q84:Q86 Q92:Q94 Q88:Q90 Q96:Q98 Q100:Q102 Q108:Q110 Q104:Q106 Q112:Q114</xm:sqref>
        </x14:dataValidation>
        <x14:dataValidation type="list" allowBlank="1" showInputMessage="1" showErrorMessage="1">
          <x14:formula1>
            <xm:f>configs!$B$1:$B$2</xm:f>
          </x14:formula1>
          <xm:sqref>S8:S16 S18:S23 S26:S34 S36:S44 S46:S54 S56:S58 S60:S62 S64:S66 S68:S70 S72:S74 S76:S78 S80:S82 S84:S86 S92:S94 S88:S90 S96:S98 S100:S102 S108:S110 S104:S106 S112:S114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G27" sqref="G27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38" t="s">
        <v>158</v>
      </c>
      <c r="C1" s="138"/>
      <c r="D1" s="138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213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43301</v>
      </c>
      <c r="L10" s="38">
        <f ca="1">pricer_sf!N11</f>
        <v>43392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214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43301</v>
      </c>
      <c r="L11" s="38">
        <f ca="1">pricer_sf!N12</f>
        <v>43392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215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43301</v>
      </c>
      <c r="L12" s="38">
        <f ca="1">pricer_sf!N13</f>
        <v>43392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213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43301</v>
      </c>
      <c r="L13" s="38">
        <f ca="1">pricer_sf!N14</f>
        <v>43484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214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43301</v>
      </c>
      <c r="L14" s="38">
        <f ca="1">pricer_sf!N15</f>
        <v>43484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273</v>
      </c>
      <c r="E15" s="10" t="str">
        <f>pricer_sf!G16</f>
        <v>pdo</v>
      </c>
      <c r="F15" s="10">
        <f>pricer_sf!H16</f>
        <v>100</v>
      </c>
      <c r="G15" s="10">
        <f>pricer_sf!I16</f>
        <v>99</v>
      </c>
      <c r="H15" s="10">
        <v>119</v>
      </c>
      <c r="I15" s="10">
        <f>pricer_sf!K16</f>
        <v>79.465089988161893</v>
      </c>
      <c r="J15" s="10">
        <v>5</v>
      </c>
      <c r="K15" s="38">
        <f ca="1">pricer_sf!M16</f>
        <v>43301</v>
      </c>
      <c r="L15" s="38">
        <f ca="1">pricer_sf!N16</f>
        <v>43393</v>
      </c>
      <c r="M15" s="10">
        <v>30</v>
      </c>
      <c r="N15" s="10">
        <f>pricer_sf!P16</f>
        <v>0.25205479452054796</v>
      </c>
      <c r="O15" s="10">
        <f>pricer_sf!Q16</f>
        <v>0</v>
      </c>
      <c r="P15" s="10">
        <f>pricer_sf!R16</f>
        <v>0.22</v>
      </c>
      <c r="Q15" s="10">
        <f>pricer_sf!S16</f>
        <v>-3.065347474798791</v>
      </c>
      <c r="R15" s="10">
        <f>pricer_sf!T16</f>
        <v>0</v>
      </c>
      <c r="S15" s="10">
        <f>pricer_sf!U16</f>
        <v>0</v>
      </c>
      <c r="T15" s="13">
        <f>pricer_sf!V16</f>
        <v>3.065347474798791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R19" sqref="R19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63" t="s">
        <v>38</v>
      </c>
      <c r="C1" s="163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0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43301</v>
      </c>
      <c r="N8" s="21">
        <f ca="1">M8+O8</f>
        <v>43331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>
        <f>T8/10000*P8*H8</f>
        <v>0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43301</v>
      </c>
      <c r="N9" s="8">
        <f ca="1">M9+O9</f>
        <v>43481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210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43301</v>
      </c>
      <c r="N11" s="8">
        <f t="shared" ref="N11:N16" ca="1" si="2">M11+O11</f>
        <v>43392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211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43301</v>
      </c>
      <c r="N12" s="8">
        <f t="shared" ca="1" si="2"/>
        <v>43392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5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212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43301</v>
      </c>
      <c r="N13" s="8">
        <f t="shared" ca="1" si="2"/>
        <v>43392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210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43301</v>
      </c>
      <c r="N14" s="8">
        <f t="shared" ca="1" si="2"/>
        <v>43484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211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43301</v>
      </c>
      <c r="N15" s="8">
        <f t="shared" ca="1" si="2"/>
        <v>43484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212</v>
      </c>
      <c r="G16" s="10" t="s">
        <v>309</v>
      </c>
      <c r="H16" s="11">
        <v>100</v>
      </c>
      <c r="I16" s="10">
        <v>99</v>
      </c>
      <c r="J16" s="10">
        <v>80</v>
      </c>
      <c r="K16" s="10">
        <f>_xll.dnetDiscreteAdjustedBarrier($H16,$J16,$R16,1/365)</f>
        <v>79.465089988161893</v>
      </c>
      <c r="L16" s="37">
        <v>0</v>
      </c>
      <c r="M16" s="8">
        <f t="shared" ca="1" si="1"/>
        <v>43301</v>
      </c>
      <c r="N16" s="8">
        <f t="shared" ca="1" si="2"/>
        <v>43393</v>
      </c>
      <c r="O16" s="10">
        <v>92</v>
      </c>
      <c r="P16" s="12">
        <f t="shared" si="3"/>
        <v>0.25205479452054796</v>
      </c>
      <c r="Q16" s="12">
        <v>0</v>
      </c>
      <c r="R16" s="9">
        <v>0.22</v>
      </c>
      <c r="S16" s="13">
        <f>_xll.dnetStandardBarrierNGreeks("price",G16,H16,I16,K16,L16*H16,P16,$C$3,Q16,R16,$C$4)*E16</f>
        <v>-3.065347474798791</v>
      </c>
      <c r="T16" s="15">
        <v>0</v>
      </c>
      <c r="U16" s="13">
        <f t="shared" si="4"/>
        <v>0</v>
      </c>
      <c r="V16" s="13">
        <f t="shared" si="5"/>
        <v>3.065347474798791</v>
      </c>
      <c r="W16" s="14">
        <f t="shared" si="6"/>
        <v>3.0653474747987911E-2</v>
      </c>
      <c r="X16" s="13">
        <f>_xll.dnetStandardBarrierNGreeks("delta",G16,H16,I16,K16,L16*H16,P16,$C$3,Q16,R16,$C$4)</f>
        <v>-0.26322076324842847</v>
      </c>
      <c r="Y16" s="13">
        <f>_xll.dnetStandardBarrierNGreeks("vega",G16,H16,I16,K16,L16*H16,P16,$C$3,Q16,R16,$C$4)</f>
        <v>8.9861727908877587E-3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J27" sqref="J2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2018-07-20T07:35:38Z</dcterms:modified>
</cp:coreProperties>
</file>