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55" i="1" l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D43" i="9"/>
  <c r="D44" i="9" s="1"/>
  <c r="R42" i="9"/>
  <c r="K42" i="9"/>
  <c r="I42" i="9"/>
  <c r="E42" i="9"/>
  <c r="F42" i="9" s="1"/>
  <c r="F43" i="9" s="1"/>
  <c r="F44" i="9" s="1"/>
  <c r="G41" i="9"/>
  <c r="R40" i="9"/>
  <c r="J40" i="9"/>
  <c r="H40" i="9"/>
  <c r="I40" i="9" s="1"/>
  <c r="I41" i="9" s="1"/>
  <c r="D40" i="9"/>
  <c r="D41" i="9" s="1"/>
  <c r="R39" i="9"/>
  <c r="K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D37" i="9"/>
  <c r="D38" i="9" s="1"/>
  <c r="R36" i="9"/>
  <c r="K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55" i="1"/>
  <c r="P54" i="1"/>
  <c r="P53" i="1"/>
  <c r="P52" i="1"/>
  <c r="P51" i="1"/>
  <c r="P50" i="1"/>
  <c r="L53" i="1"/>
  <c r="U51" i="1"/>
  <c r="L51" i="1"/>
  <c r="L50" i="1"/>
  <c r="L55" i="1"/>
  <c r="V53" i="1"/>
  <c r="V51" i="1"/>
  <c r="V50" i="1"/>
  <c r="U53" i="1"/>
  <c r="L52" i="1"/>
  <c r="L54" i="1"/>
  <c r="V55" i="1"/>
  <c r="P36" i="9"/>
  <c r="L36" i="9" s="1"/>
  <c r="P42" i="9"/>
  <c r="P39" i="9"/>
  <c r="V36" i="9"/>
  <c r="V42" i="9"/>
  <c r="P41" i="9"/>
  <c r="P38" i="9"/>
  <c r="P40" i="9"/>
  <c r="U40" i="9" s="1"/>
  <c r="P43" i="9"/>
  <c r="P44" i="9"/>
  <c r="V40" i="9"/>
  <c r="U36" i="9"/>
  <c r="U39" i="9"/>
  <c r="P26" i="9"/>
  <c r="P27" i="9"/>
  <c r="P32" i="9"/>
  <c r="P31" i="9"/>
  <c r="P30" i="9"/>
  <c r="P29" i="9"/>
  <c r="P47" i="1"/>
  <c r="L48" i="1"/>
  <c r="V47" i="1"/>
  <c r="V39" i="9"/>
  <c r="L39" i="9"/>
  <c r="N55" i="1" l="1"/>
  <c r="O55" i="1" s="1"/>
  <c r="T55" i="1" s="1"/>
  <c r="N52" i="1"/>
  <c r="O52" i="1" s="1"/>
  <c r="T52" i="1" s="1"/>
  <c r="N51" i="1"/>
  <c r="O51" i="1" s="1"/>
  <c r="T51" i="1" s="1"/>
  <c r="N53" i="1"/>
  <c r="O53" i="1" s="1"/>
  <c r="T53" i="1" s="1"/>
  <c r="N54" i="1"/>
  <c r="O54" i="1" s="1"/>
  <c r="T54" i="1" s="1"/>
  <c r="N50" i="1"/>
  <c r="O50" i="1" s="1"/>
  <c r="T50" i="1" s="1"/>
  <c r="Y53" i="1"/>
  <c r="Y51" i="1"/>
  <c r="H41" i="9"/>
  <c r="E43" i="9"/>
  <c r="E44" i="9" s="1"/>
  <c r="E40" i="9"/>
  <c r="E41" i="9" s="1"/>
  <c r="I43" i="9"/>
  <c r="F36" i="9"/>
  <c r="F37" i="9" s="1"/>
  <c r="F38" i="9" s="1"/>
  <c r="O39" i="9"/>
  <c r="V41" i="9"/>
  <c r="U41" i="9"/>
  <c r="O36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V54" i="1"/>
  <c r="U54" i="1"/>
  <c r="U52" i="1"/>
  <c r="V52" i="1"/>
  <c r="U55" i="1"/>
  <c r="U50" i="1"/>
  <c r="L43" i="9"/>
  <c r="P37" i="9"/>
  <c r="U43" i="9"/>
  <c r="L40" i="9"/>
  <c r="V43" i="9"/>
  <c r="U42" i="9"/>
  <c r="L42" i="9"/>
  <c r="U48" i="1"/>
  <c r="V48" i="1"/>
  <c r="L47" i="1"/>
  <c r="U47" i="1"/>
  <c r="V45" i="1"/>
  <c r="L37" i="9"/>
  <c r="U37" i="9"/>
  <c r="V37" i="9"/>
  <c r="Y50" i="1" l="1"/>
  <c r="Y55" i="1"/>
  <c r="Y52" i="1"/>
  <c r="Y54" i="1"/>
  <c r="O43" i="9"/>
  <c r="I44" i="9"/>
  <c r="N44" i="9" s="1"/>
  <c r="V38" i="9"/>
  <c r="U38" i="9"/>
  <c r="L38" i="9"/>
  <c r="O38" i="9" s="1"/>
  <c r="T38" i="9" s="1"/>
  <c r="O37" i="9"/>
  <c r="O42" i="9"/>
  <c r="L44" i="9"/>
  <c r="V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U45" i="1"/>
  <c r="L45" i="1"/>
  <c r="V43" i="1"/>
  <c r="O44" i="9" l="1"/>
  <c r="T44" i="9" s="1"/>
  <c r="O45" i="1"/>
  <c r="T45" i="1" s="1"/>
  <c r="Y45" i="1"/>
  <c r="R41" i="1"/>
  <c r="I41" i="1"/>
  <c r="N41" i="1" s="1"/>
  <c r="E41" i="1"/>
  <c r="F41" i="1" s="1"/>
  <c r="V41" i="1"/>
  <c r="L43" i="1"/>
  <c r="U43" i="1"/>
  <c r="Y43" i="1" l="1"/>
  <c r="O43" i="1"/>
  <c r="T43" i="1" s="1"/>
  <c r="S81" i="2"/>
  <c r="P8" i="1"/>
  <c r="U41" i="1"/>
  <c r="L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P35" i="1"/>
  <c r="V38" i="1"/>
  <c r="P36" i="1"/>
  <c r="L38" i="1"/>
  <c r="U38" i="1"/>
  <c r="Y38" i="1" l="1"/>
  <c r="O38" i="1"/>
  <c r="T38" i="1" s="1"/>
  <c r="G36" i="1"/>
  <c r="G35" i="1"/>
  <c r="N36" i="1"/>
  <c r="N35" i="1"/>
  <c r="R34" i="1"/>
  <c r="I34" i="1"/>
  <c r="E34" i="1"/>
  <c r="F34" i="1" s="1"/>
  <c r="P34" i="1"/>
  <c r="V36" i="1"/>
  <c r="U36" i="1"/>
  <c r="U35" i="1"/>
  <c r="V35" i="1"/>
  <c r="L36" i="1"/>
  <c r="L35" i="1"/>
  <c r="L34" i="1"/>
  <c r="O35" i="1" l="1"/>
  <c r="T35" i="1" s="1"/>
  <c r="Y36" i="1"/>
  <c r="Y35" i="1"/>
  <c r="O36" i="1"/>
  <c r="T36" i="1" s="1"/>
  <c r="N34" i="1"/>
  <c r="O34" i="1" s="1"/>
  <c r="T34" i="1" s="1"/>
  <c r="U34" i="1"/>
  <c r="V34" i="1"/>
  <c r="Y34" i="1" l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31" i="1"/>
  <c r="P29" i="1"/>
  <c r="L29" i="1"/>
  <c r="N32" i="1" l="1"/>
  <c r="N31" i="1"/>
  <c r="N29" i="1"/>
  <c r="O29" i="1" s="1"/>
  <c r="T29" i="1" s="1"/>
  <c r="V31" i="1"/>
  <c r="U31" i="1"/>
  <c r="V29" i="1"/>
  <c r="U29" i="1"/>
  <c r="V32" i="1"/>
  <c r="L31" i="1"/>
  <c r="L32" i="1"/>
  <c r="U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22" i="1"/>
  <c r="P18" i="1"/>
  <c r="U25" i="1"/>
  <c r="L23" i="1"/>
  <c r="V22" i="1"/>
  <c r="P19" i="1"/>
  <c r="U27" i="1"/>
  <c r="P21" i="1"/>
  <c r="U23" i="1"/>
  <c r="L25" i="1"/>
  <c r="V27" i="1"/>
  <c r="V23" i="1"/>
  <c r="L27" i="1"/>
  <c r="P20" i="1"/>
  <c r="V20" i="1" s="1"/>
  <c r="Y27" i="1" l="1"/>
  <c r="O27" i="1"/>
  <c r="T27" i="1" s="1"/>
  <c r="Y25" i="1"/>
  <c r="N25" i="1"/>
  <c r="O25" i="1" s="1"/>
  <c r="T25" i="1" s="1"/>
  <c r="N20" i="1"/>
  <c r="N21" i="1"/>
  <c r="N22" i="1"/>
  <c r="N23" i="1"/>
  <c r="O23" i="1" s="1"/>
  <c r="T23" i="1" s="1"/>
  <c r="N18" i="1"/>
  <c r="N19" i="1"/>
  <c r="Y23" i="1"/>
  <c r="U20" i="1"/>
  <c r="U18" i="1"/>
  <c r="U22" i="1"/>
  <c r="V21" i="1"/>
  <c r="L21" i="1"/>
  <c r="U19" i="1"/>
  <c r="V25" i="1"/>
  <c r="U21" i="1"/>
  <c r="L19" i="1"/>
  <c r="V18" i="1"/>
  <c r="L18" i="1"/>
  <c r="L22" i="1"/>
  <c r="V19" i="1"/>
  <c r="L20" i="1"/>
  <c r="O18" i="1" l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V16" i="1"/>
  <c r="K31" i="6"/>
  <c r="K30" i="6"/>
  <c r="N30" i="6" l="1"/>
  <c r="L15" i="1"/>
  <c r="U15" i="1"/>
  <c r="U16" i="1"/>
  <c r="L16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4" i="9"/>
  <c r="P33" i="9"/>
  <c r="L32" i="9"/>
  <c r="L33" i="9"/>
  <c r="V33" i="9"/>
  <c r="U33" i="9"/>
  <c r="U32" i="9"/>
  <c r="U34" i="9" l="1"/>
  <c r="O33" i="9"/>
  <c r="L34" i="9"/>
  <c r="V34" i="9"/>
  <c r="O32" i="9"/>
  <c r="N34" i="9"/>
  <c r="O34" i="9" l="1"/>
  <c r="T34" i="9" s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V30" i="9"/>
  <c r="L30" i="9"/>
  <c r="L29" i="9"/>
  <c r="V26" i="9"/>
  <c r="U26" i="9"/>
  <c r="U27" i="9"/>
  <c r="U30" i="9"/>
  <c r="L27" i="9"/>
  <c r="V29" i="9"/>
  <c r="U29" i="9"/>
  <c r="V27" i="9"/>
  <c r="L26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U8" i="1"/>
  <c r="L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19" i="9"/>
  <c r="L22" i="9"/>
  <c r="L18" i="9"/>
  <c r="V19" i="9"/>
  <c r="U19" i="9"/>
  <c r="U18" i="9"/>
  <c r="V21" i="9"/>
  <c r="V22" i="9"/>
  <c r="L21" i="9"/>
  <c r="V18" i="9"/>
  <c r="U22" i="9"/>
  <c r="U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5" i="8"/>
  <c r="K13" i="8"/>
  <c r="K16" i="8"/>
  <c r="K11" i="8"/>
  <c r="K14" i="8"/>
  <c r="K12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2" i="8"/>
  <c r="X13" i="8"/>
  <c r="S11" i="8"/>
  <c r="Y16" i="8"/>
  <c r="Y12" i="8"/>
  <c r="S14" i="8"/>
  <c r="S15" i="8"/>
  <c r="X11" i="8"/>
  <c r="Y14" i="8"/>
  <c r="X15" i="8"/>
  <c r="Y11" i="8"/>
  <c r="S13" i="8"/>
  <c r="L14" i="9"/>
  <c r="X16" i="8"/>
  <c r="V14" i="9"/>
  <c r="S16" i="8"/>
  <c r="X14" i="8"/>
  <c r="Y15" i="8"/>
  <c r="Y13" i="8"/>
  <c r="U14" i="9"/>
  <c r="X12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U9" i="7"/>
  <c r="H8" i="8"/>
  <c r="H8" i="7"/>
  <c r="K9" i="8"/>
  <c r="O9" i="7"/>
  <c r="T9" i="7"/>
  <c r="T10" i="7"/>
  <c r="O10" i="7"/>
  <c r="U8" i="8" l="1"/>
  <c r="Q9" i="7"/>
  <c r="R9" i="7" s="1"/>
  <c r="S9" i="7" s="1"/>
  <c r="Q10" i="7"/>
  <c r="R10" i="7" s="1"/>
  <c r="S10" i="7" s="1"/>
  <c r="Q8" i="7"/>
  <c r="K8" i="8"/>
  <c r="Y9" i="8"/>
  <c r="T8" i="7"/>
  <c r="S9" i="8"/>
  <c r="X9" i="8"/>
  <c r="U8" i="7"/>
  <c r="O8" i="7"/>
  <c r="V9" i="8" l="1"/>
  <c r="W9" i="8" s="1"/>
  <c r="R8" i="7"/>
  <c r="S8" i="7" s="1"/>
  <c r="Y8" i="8"/>
  <c r="S8" i="8"/>
  <c r="X8" i="8"/>
  <c r="V8" i="8" l="1"/>
  <c r="W8" i="8" s="1"/>
  <c r="G12" i="9" l="1"/>
  <c r="G13" i="9" s="1"/>
  <c r="U11" i="9"/>
  <c r="U12" i="9"/>
  <c r="V12" i="9"/>
  <c r="V11" i="9"/>
  <c r="L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<sst xmlns="http://schemas.openxmlformats.org/spreadsheetml/2006/main" count="1560" uniqueCount="282">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</sst>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58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12275</v>
        <stp/>
        <stp>ru1901</stp>
        <stp>LastPrice</stp>
        <tr r="P36" s="1"/>
        <tr r="P35" s="1"/>
      </tp>
      <tp>
        <v>3078</v>
        <stp/>
        <stp>bu1812</stp>
        <stp>LastPrice</stp>
        <tr r="P47" s="1"/>
      </tp>
      <tp>
        <v>14245</v>
        <stp/>
        <stp>al1811</stp>
        <stp>LastPrice</stp>
        <tr r="P20" s="1"/>
        <tr r="P29" s="1"/>
        <tr r="P31" s="1"/>
        <tr r="P32" s="1"/>
      </tp>
      <tp>
        <v>14170</v>
        <stp/>
        <stp>al1810</stp>
        <stp>LastPrice</stp>
        <tr r="P19" s="1"/>
        <tr r="P22" s="1"/>
      </tp>
      <tp>
        <v>19555</v>
        <stp/>
        <stp>pb1809</stp>
        <stp>LastPrice</stp>
        <tr r="P27" s="1"/>
      </tp>
      <tp>
        <v>14100</v>
        <stp/>
        <stp>al1809</stp>
        <stp>LastPrice</stp>
        <tr r="P21" s="1"/>
        <tr r="P18" s="1"/>
      </tp>
      <tp>
        <v>14035</v>
        <stp/>
        <stp>al1808</stp>
        <stp>LastPrice</stp>
        <tr r="P8" s="1"/>
      </tp>
      <tp>
        <v>460</v>
        <stp/>
        <stp>i1809</stp>
        <stp>LastPrice</stp>
        <tr r="P11" s="9"/>
        <tr r="P34" s="1"/>
      </tp>
      <tp>
        <v>3068</v>
        <stp/>
        <stp>m1809</stp>
        <stp>LastPrice</stp>
        <tr r="P21" s="9"/>
        <tr r="P18" s="9"/>
      </tp>
      <tp>
        <v>3673</v>
        <stp/>
        <stp>rb1810</stp>
        <stp>LastPrice</stp>
        <tr r="P14" s="9"/>
        <tr r="P28" s="9"/>
        <tr r="P33" s="9"/>
        <tr r="P34" s="9"/>
        <tr r="P37" s="9"/>
        <tr r="P29" s="9"/>
        <tr r="P30" s="9"/>
        <tr r="P31" s="9"/>
        <tr r="P32" s="9"/>
        <tr r="P27" s="9"/>
        <tr r="P26" s="9"/>
        <tr r="P44" s="9"/>
        <tr r="P43" s="9"/>
        <tr r="P40" s="9"/>
        <tr r="P38" s="9"/>
        <tr r="P41" s="9"/>
        <tr r="P39" s="9"/>
        <tr r="P42" s="9"/>
        <tr r="P36" s="9"/>
        <tr r="P50" s="1"/>
        <tr r="P51" s="1"/>
        <tr r="P52" s="1"/>
        <tr r="P53" s="1"/>
        <tr r="P54" s="1"/>
        <tr r="P55" s="1"/>
      </tp>
      <tp t="b">
        <v>0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88"/>
  <sheetViews>
    <sheetView tabSelected="1" zoomScaleNormal="100" workbookViewId="0">
      <pane ySplit="8" topLeftCell="A62" activePane="bottomLeft" state="frozen"/>
      <selection pane="bottomLeft" activeCell="C82" sqref="C82:R8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43277</v>
      </c>
      <c r="E30" s="93">
        <f t="shared" ref="E30:E31" ca="1" si="1">D30+G30</f>
        <v>43336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43277</v>
      </c>
      <c r="E31" s="93">
        <f t="shared" ca="1" si="1"/>
        <v>43336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49" t="s">
        <v>160</v>
      </c>
      <c r="C60" s="149" t="s">
        <v>276</v>
      </c>
      <c r="D60" s="150">
        <v>43277</v>
      </c>
      <c r="E60" s="150">
        <v>43307</v>
      </c>
      <c r="F60" s="149">
        <v>3500</v>
      </c>
      <c r="G60" s="149">
        <v>30</v>
      </c>
      <c r="H60" s="149">
        <v>8.2191780821917804E-2</v>
      </c>
      <c r="I60" s="149">
        <v>0</v>
      </c>
      <c r="J60" s="149">
        <v>0.255</v>
      </c>
      <c r="K60" s="149">
        <v>39.494774706025169</v>
      </c>
      <c r="L60" s="149"/>
      <c r="M60" s="149"/>
      <c r="N60" s="151">
        <v>39.494774706025169</v>
      </c>
      <c r="O60" s="149">
        <v>3675</v>
      </c>
      <c r="P60" s="149" t="s">
        <v>85</v>
      </c>
      <c r="Q60" s="149">
        <v>1</v>
      </c>
      <c r="R60" s="149" t="s">
        <v>151</v>
      </c>
    </row>
    <row r="61" spans="2:18" x14ac:dyDescent="0.15">
      <c r="B61" s="152" t="s">
        <v>160</v>
      </c>
      <c r="C61" s="152" t="s">
        <v>276</v>
      </c>
      <c r="D61" s="153">
        <v>43277</v>
      </c>
      <c r="E61" s="153">
        <v>43307</v>
      </c>
      <c r="F61" s="152">
        <v>3900</v>
      </c>
      <c r="G61" s="152">
        <v>30</v>
      </c>
      <c r="H61" s="152">
        <v>8.2191780821917804E-2</v>
      </c>
      <c r="I61" s="152">
        <v>0</v>
      </c>
      <c r="J61" s="152">
        <v>0.28499999999999998</v>
      </c>
      <c r="K61" s="152">
        <v>-42.101545197848168</v>
      </c>
      <c r="L61" s="152"/>
      <c r="M61" s="152"/>
      <c r="N61" s="154">
        <v>42.101545197848168</v>
      </c>
      <c r="O61" s="152">
        <v>3675</v>
      </c>
      <c r="P61" s="152" t="s">
        <v>39</v>
      </c>
      <c r="Q61" s="152">
        <v>-1</v>
      </c>
      <c r="R61" s="152" t="s">
        <v>20</v>
      </c>
    </row>
    <row r="62" spans="2:18" x14ac:dyDescent="0.15">
      <c r="B62" s="155" t="s">
        <v>160</v>
      </c>
      <c r="C62" s="155" t="s">
        <v>276</v>
      </c>
      <c r="D62" s="156">
        <v>43277</v>
      </c>
      <c r="E62" s="156">
        <v>43307</v>
      </c>
      <c r="F62" s="155" t="s">
        <v>277</v>
      </c>
      <c r="G62" s="155">
        <v>30</v>
      </c>
      <c r="H62" s="155">
        <v>8.2191780821917804E-2</v>
      </c>
      <c r="I62" s="155"/>
      <c r="J62" s="155"/>
      <c r="K62" s="155">
        <v>-2.6067704918229992</v>
      </c>
      <c r="L62" s="155">
        <v>0</v>
      </c>
      <c r="M62" s="155">
        <v>0</v>
      </c>
      <c r="N62" s="157">
        <v>4.6100000000000003</v>
      </c>
      <c r="O62" s="155">
        <v>3675</v>
      </c>
      <c r="P62" s="155"/>
      <c r="Q62" s="155"/>
      <c r="R62" s="155" t="s">
        <v>280</v>
      </c>
    </row>
    <row r="63" spans="2:18" x14ac:dyDescent="0.15">
      <c r="B63" s="149" t="s">
        <v>160</v>
      </c>
      <c r="C63" s="149" t="s">
        <v>276</v>
      </c>
      <c r="D63" s="150">
        <v>43277</v>
      </c>
      <c r="E63" s="150">
        <v>43307</v>
      </c>
      <c r="F63" s="149">
        <v>3400</v>
      </c>
      <c r="G63" s="149">
        <v>30</v>
      </c>
      <c r="H63" s="149">
        <v>8.2191780821917804E-2</v>
      </c>
      <c r="I63" s="149">
        <v>0</v>
      </c>
      <c r="J63" s="149">
        <v>0.255</v>
      </c>
      <c r="K63" s="149">
        <v>18.995808563389119</v>
      </c>
      <c r="L63" s="149"/>
      <c r="M63" s="149"/>
      <c r="N63" s="151">
        <v>18.995808563389119</v>
      </c>
      <c r="O63" s="149">
        <v>3675</v>
      </c>
      <c r="P63" s="149" t="s">
        <v>85</v>
      </c>
      <c r="Q63" s="149">
        <v>1</v>
      </c>
      <c r="R63" s="149" t="s">
        <v>151</v>
      </c>
    </row>
    <row r="64" spans="2:18" x14ac:dyDescent="0.15">
      <c r="B64" s="152" t="s">
        <v>160</v>
      </c>
      <c r="C64" s="152" t="s">
        <v>276</v>
      </c>
      <c r="D64" s="153">
        <v>43277</v>
      </c>
      <c r="E64" s="153">
        <v>43307</v>
      </c>
      <c r="F64" s="152">
        <v>3800</v>
      </c>
      <c r="G64" s="152">
        <v>30</v>
      </c>
      <c r="H64" s="152">
        <v>8.2191780821917804E-2</v>
      </c>
      <c r="I64" s="152">
        <v>0</v>
      </c>
      <c r="J64" s="152">
        <v>0.28499999999999998</v>
      </c>
      <c r="K64" s="152">
        <v>-69.239342377716866</v>
      </c>
      <c r="L64" s="152"/>
      <c r="M64" s="152"/>
      <c r="N64" s="154">
        <v>69.239342377716866</v>
      </c>
      <c r="O64" s="152">
        <v>3675</v>
      </c>
      <c r="P64" s="152" t="s">
        <v>39</v>
      </c>
      <c r="Q64" s="152">
        <v>-1</v>
      </c>
      <c r="R64" s="152" t="s">
        <v>20</v>
      </c>
    </row>
    <row r="65" spans="2:18" x14ac:dyDescent="0.15">
      <c r="B65" s="155" t="s">
        <v>160</v>
      </c>
      <c r="C65" s="155" t="s">
        <v>276</v>
      </c>
      <c r="D65" s="156">
        <v>43277</v>
      </c>
      <c r="E65" s="156">
        <v>43307</v>
      </c>
      <c r="F65" s="155" t="s">
        <v>278</v>
      </c>
      <c r="G65" s="155">
        <v>30</v>
      </c>
      <c r="H65" s="155">
        <v>8.2191780821917804E-2</v>
      </c>
      <c r="I65" s="155"/>
      <c r="J65" s="155"/>
      <c r="K65" s="155">
        <v>-50.243533814327748</v>
      </c>
      <c r="L65" s="155">
        <v>0</v>
      </c>
      <c r="M65" s="155">
        <v>0</v>
      </c>
      <c r="N65" s="157">
        <v>50.243533814327748</v>
      </c>
      <c r="O65" s="155">
        <v>3675</v>
      </c>
      <c r="P65" s="155"/>
      <c r="Q65" s="155"/>
      <c r="R65" s="155" t="s">
        <v>280</v>
      </c>
    </row>
    <row r="66" spans="2:18" x14ac:dyDescent="0.15">
      <c r="B66" s="149" t="s">
        <v>160</v>
      </c>
      <c r="C66" s="149" t="s">
        <v>276</v>
      </c>
      <c r="D66" s="150">
        <v>43277</v>
      </c>
      <c r="E66" s="150">
        <v>43307</v>
      </c>
      <c r="F66" s="149">
        <v>3300</v>
      </c>
      <c r="G66" s="149">
        <v>30</v>
      </c>
      <c r="H66" s="149">
        <v>8.2191780821917804E-2</v>
      </c>
      <c r="I66" s="149">
        <v>0</v>
      </c>
      <c r="J66" s="149">
        <v>0.255</v>
      </c>
      <c r="K66" s="149">
        <v>7.9291843041075367</v>
      </c>
      <c r="L66" s="149"/>
      <c r="M66" s="149"/>
      <c r="N66" s="151">
        <v>7.9291843041075367</v>
      </c>
      <c r="O66" s="149">
        <v>3675</v>
      </c>
      <c r="P66" s="149" t="s">
        <v>85</v>
      </c>
      <c r="Q66" s="149">
        <v>1</v>
      </c>
      <c r="R66" s="149" t="s">
        <v>151</v>
      </c>
    </row>
    <row r="67" spans="2:18" x14ac:dyDescent="0.15">
      <c r="B67" s="152" t="s">
        <v>160</v>
      </c>
      <c r="C67" s="152" t="s">
        <v>276</v>
      </c>
      <c r="D67" s="153">
        <v>43277</v>
      </c>
      <c r="E67" s="153">
        <v>43307</v>
      </c>
      <c r="F67" s="152">
        <v>4000</v>
      </c>
      <c r="G67" s="152">
        <v>30</v>
      </c>
      <c r="H67" s="152">
        <v>8.2191780821917804E-2</v>
      </c>
      <c r="I67" s="152">
        <v>0</v>
      </c>
      <c r="J67" s="152">
        <v>0.28499999999999998</v>
      </c>
      <c r="K67" s="152">
        <v>-24.253141259400991</v>
      </c>
      <c r="L67" s="152"/>
      <c r="M67" s="152"/>
      <c r="N67" s="154">
        <v>24.253141259400991</v>
      </c>
      <c r="O67" s="152">
        <v>3675</v>
      </c>
      <c r="P67" s="152" t="s">
        <v>39</v>
      </c>
      <c r="Q67" s="152">
        <v>-1</v>
      </c>
      <c r="R67" s="152" t="s">
        <v>20</v>
      </c>
    </row>
    <row r="68" spans="2:18" x14ac:dyDescent="0.15">
      <c r="B68" s="155" t="s">
        <v>160</v>
      </c>
      <c r="C68" s="155" t="s">
        <v>276</v>
      </c>
      <c r="D68" s="156">
        <v>43277</v>
      </c>
      <c r="E68" s="156">
        <v>43307</v>
      </c>
      <c r="F68" s="155" t="s">
        <v>279</v>
      </c>
      <c r="G68" s="155">
        <v>30</v>
      </c>
      <c r="H68" s="155">
        <v>8.2191780821917804E-2</v>
      </c>
      <c r="I68" s="155"/>
      <c r="J68" s="155"/>
      <c r="K68" s="155">
        <v>-16.323956955293454</v>
      </c>
      <c r="L68" s="155">
        <v>50</v>
      </c>
      <c r="M68" s="155">
        <v>1.5102739726027397</v>
      </c>
      <c r="N68" s="157">
        <v>17.834230927896193</v>
      </c>
      <c r="O68" s="155">
        <v>3675</v>
      </c>
      <c r="P68" s="155"/>
      <c r="Q68" s="155"/>
      <c r="R68" s="155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49" t="s">
        <v>160</v>
      </c>
      <c r="C70" s="149" t="s">
        <v>276</v>
      </c>
      <c r="D70" s="150">
        <v>43277</v>
      </c>
      <c r="E70" s="150">
        <v>43367</v>
      </c>
      <c r="F70" s="149">
        <v>3500</v>
      </c>
      <c r="G70" s="149">
        <v>90</v>
      </c>
      <c r="H70" s="149">
        <v>0.24657534246575341</v>
      </c>
      <c r="I70" s="149">
        <v>0</v>
      </c>
      <c r="J70" s="149">
        <v>0.25</v>
      </c>
      <c r="K70" s="149">
        <v>103.06632950881885</v>
      </c>
      <c r="L70" s="149"/>
      <c r="M70" s="149"/>
      <c r="N70" s="151">
        <v>103.06632950881885</v>
      </c>
      <c r="O70" s="149">
        <v>3675</v>
      </c>
      <c r="P70" s="149" t="s">
        <v>85</v>
      </c>
      <c r="Q70" s="149">
        <v>1</v>
      </c>
      <c r="R70" s="149" t="s">
        <v>151</v>
      </c>
    </row>
    <row r="71" spans="2:18" x14ac:dyDescent="0.15">
      <c r="B71" s="152" t="s">
        <v>160</v>
      </c>
      <c r="C71" s="152" t="s">
        <v>276</v>
      </c>
      <c r="D71" s="153">
        <v>43277</v>
      </c>
      <c r="E71" s="153">
        <v>43367</v>
      </c>
      <c r="F71" s="152">
        <v>3900</v>
      </c>
      <c r="G71" s="152">
        <v>90</v>
      </c>
      <c r="H71" s="152">
        <v>0.24657534246575341</v>
      </c>
      <c r="I71" s="152">
        <v>0</v>
      </c>
      <c r="J71" s="152">
        <v>0.28000000000000003</v>
      </c>
      <c r="K71" s="152">
        <v>-115.69220802565451</v>
      </c>
      <c r="L71" s="152"/>
      <c r="M71" s="152"/>
      <c r="N71" s="154">
        <v>115.69220802565451</v>
      </c>
      <c r="O71" s="152">
        <v>3675</v>
      </c>
      <c r="P71" s="152" t="s">
        <v>39</v>
      </c>
      <c r="Q71" s="152">
        <v>-1</v>
      </c>
      <c r="R71" s="152" t="s">
        <v>20</v>
      </c>
    </row>
    <row r="72" spans="2:18" x14ac:dyDescent="0.15">
      <c r="B72" s="155" t="s">
        <v>160</v>
      </c>
      <c r="C72" s="155" t="s">
        <v>276</v>
      </c>
      <c r="D72" s="156">
        <v>43277</v>
      </c>
      <c r="E72" s="156">
        <v>43367</v>
      </c>
      <c r="F72" s="155" t="s">
        <v>277</v>
      </c>
      <c r="G72" s="155">
        <v>90</v>
      </c>
      <c r="H72" s="155">
        <v>0.24657534246575341</v>
      </c>
      <c r="I72" s="155"/>
      <c r="J72" s="155"/>
      <c r="K72" s="155">
        <v>-12.625878516835655</v>
      </c>
      <c r="L72" s="155">
        <v>0</v>
      </c>
      <c r="M72" s="155">
        <v>0</v>
      </c>
      <c r="N72" s="157">
        <v>12.625878516835655</v>
      </c>
      <c r="O72" s="155">
        <v>3675</v>
      </c>
      <c r="P72" s="155"/>
      <c r="Q72" s="155"/>
      <c r="R72" s="155" t="s">
        <v>280</v>
      </c>
    </row>
    <row r="73" spans="2:18" x14ac:dyDescent="0.15">
      <c r="B73" s="149" t="s">
        <v>160</v>
      </c>
      <c r="C73" s="149" t="s">
        <v>276</v>
      </c>
      <c r="D73" s="150">
        <v>43277</v>
      </c>
      <c r="E73" s="150">
        <v>43367</v>
      </c>
      <c r="F73" s="149">
        <v>3400</v>
      </c>
      <c r="G73" s="149">
        <v>90</v>
      </c>
      <c r="H73" s="149">
        <v>0.24657534246575341</v>
      </c>
      <c r="I73" s="149">
        <v>0</v>
      </c>
      <c r="J73" s="149">
        <v>0.25</v>
      </c>
      <c r="K73" s="149">
        <v>70.452272274991628</v>
      </c>
      <c r="L73" s="149"/>
      <c r="M73" s="149"/>
      <c r="N73" s="151">
        <v>70.452272274991628</v>
      </c>
      <c r="O73" s="149">
        <v>3675</v>
      </c>
      <c r="P73" s="149" t="s">
        <v>85</v>
      </c>
      <c r="Q73" s="149">
        <v>1</v>
      </c>
      <c r="R73" s="149" t="s">
        <v>151</v>
      </c>
    </row>
    <row r="74" spans="2:18" x14ac:dyDescent="0.15">
      <c r="B74" s="152" t="s">
        <v>160</v>
      </c>
      <c r="C74" s="152" t="s">
        <v>276</v>
      </c>
      <c r="D74" s="153">
        <v>43277</v>
      </c>
      <c r="E74" s="153">
        <v>43367</v>
      </c>
      <c r="F74" s="152">
        <v>3800</v>
      </c>
      <c r="G74" s="152">
        <v>90</v>
      </c>
      <c r="H74" s="152">
        <v>0.24657534246575341</v>
      </c>
      <c r="I74" s="152">
        <v>0</v>
      </c>
      <c r="J74" s="152">
        <v>0.28000000000000003</v>
      </c>
      <c r="K74" s="152">
        <v>-149.85909592590338</v>
      </c>
      <c r="L74" s="152"/>
      <c r="M74" s="152"/>
      <c r="N74" s="154">
        <v>149.85909592590338</v>
      </c>
      <c r="O74" s="152">
        <v>3675</v>
      </c>
      <c r="P74" s="152" t="s">
        <v>39</v>
      </c>
      <c r="Q74" s="152">
        <v>-1</v>
      </c>
      <c r="R74" s="152" t="s">
        <v>20</v>
      </c>
    </row>
    <row r="75" spans="2:18" x14ac:dyDescent="0.15">
      <c r="B75" s="155" t="s">
        <v>160</v>
      </c>
      <c r="C75" s="155" t="s">
        <v>276</v>
      </c>
      <c r="D75" s="156">
        <v>43277</v>
      </c>
      <c r="E75" s="156">
        <v>43367</v>
      </c>
      <c r="F75" s="155" t="s">
        <v>278</v>
      </c>
      <c r="G75" s="155">
        <v>90</v>
      </c>
      <c r="H75" s="155">
        <v>0.24657534246575341</v>
      </c>
      <c r="I75" s="155"/>
      <c r="J75" s="155"/>
      <c r="K75" s="155">
        <v>-79.406823650911747</v>
      </c>
      <c r="L75" s="155">
        <v>0</v>
      </c>
      <c r="M75" s="155">
        <v>0</v>
      </c>
      <c r="N75" s="157">
        <v>79.406823650911747</v>
      </c>
      <c r="O75" s="155">
        <v>3675</v>
      </c>
      <c r="P75" s="155"/>
      <c r="Q75" s="155"/>
      <c r="R75" s="155" t="s">
        <v>280</v>
      </c>
    </row>
    <row r="76" spans="2:18" x14ac:dyDescent="0.15">
      <c r="B76" s="149" t="s">
        <v>160</v>
      </c>
      <c r="C76" s="149" t="s">
        <v>276</v>
      </c>
      <c r="D76" s="150">
        <v>43277</v>
      </c>
      <c r="E76" s="150">
        <v>43367</v>
      </c>
      <c r="F76" s="149">
        <v>3300</v>
      </c>
      <c r="G76" s="149">
        <v>90</v>
      </c>
      <c r="H76" s="149">
        <v>0.24657534246575341</v>
      </c>
      <c r="I76" s="149">
        <v>0</v>
      </c>
      <c r="J76" s="149">
        <v>0.25</v>
      </c>
      <c r="K76" s="149">
        <v>45.82637478802269</v>
      </c>
      <c r="L76" s="149"/>
      <c r="M76" s="149"/>
      <c r="N76" s="151">
        <v>45.82637478802269</v>
      </c>
      <c r="O76" s="149">
        <v>3675</v>
      </c>
      <c r="P76" s="149" t="s">
        <v>85</v>
      </c>
      <c r="Q76" s="149">
        <v>1</v>
      </c>
      <c r="R76" s="149" t="s">
        <v>151</v>
      </c>
    </row>
    <row r="77" spans="2:18" x14ac:dyDescent="0.15">
      <c r="B77" s="152" t="s">
        <v>160</v>
      </c>
      <c r="C77" s="152" t="s">
        <v>276</v>
      </c>
      <c r="D77" s="153">
        <v>43277</v>
      </c>
      <c r="E77" s="153">
        <v>43367</v>
      </c>
      <c r="F77" s="152">
        <v>4000</v>
      </c>
      <c r="G77" s="152">
        <v>90</v>
      </c>
      <c r="H77" s="152">
        <v>0.24657534246575341</v>
      </c>
      <c r="I77" s="152">
        <v>0</v>
      </c>
      <c r="J77" s="152">
        <v>0.28000000000000003</v>
      </c>
      <c r="K77" s="152">
        <v>-87.986731659793804</v>
      </c>
      <c r="L77" s="152"/>
      <c r="M77" s="152"/>
      <c r="N77" s="154">
        <v>87.986731659793804</v>
      </c>
      <c r="O77" s="152">
        <v>3675</v>
      </c>
      <c r="P77" s="152" t="s">
        <v>39</v>
      </c>
      <c r="Q77" s="152">
        <v>-1</v>
      </c>
      <c r="R77" s="152" t="s">
        <v>20</v>
      </c>
    </row>
    <row r="78" spans="2:18" x14ac:dyDescent="0.15">
      <c r="B78" s="155" t="s">
        <v>160</v>
      </c>
      <c r="C78" s="155" t="s">
        <v>276</v>
      </c>
      <c r="D78" s="156">
        <v>43277</v>
      </c>
      <c r="E78" s="156">
        <v>43367</v>
      </c>
      <c r="F78" s="155" t="s">
        <v>279</v>
      </c>
      <c r="G78" s="155">
        <v>90</v>
      </c>
      <c r="H78" s="155">
        <v>0.24657534246575341</v>
      </c>
      <c r="I78" s="155"/>
      <c r="J78" s="155"/>
      <c r="K78" s="155">
        <v>-42.160356871771114</v>
      </c>
      <c r="L78" s="155">
        <v>50</v>
      </c>
      <c r="M78" s="155">
        <v>4.5308219178082192</v>
      </c>
      <c r="N78" s="157">
        <v>46.691178789579332</v>
      </c>
      <c r="O78" s="155">
        <v>3675</v>
      </c>
      <c r="P78" s="155"/>
      <c r="Q78" s="155"/>
      <c r="R78" s="155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49" t="s">
        <v>160</v>
      </c>
      <c r="C80" s="149" t="s">
        <v>239</v>
      </c>
      <c r="D80" s="150">
        <v>43277</v>
      </c>
      <c r="E80" s="150">
        <v>43308</v>
      </c>
      <c r="F80" s="149">
        <v>3150</v>
      </c>
      <c r="G80" s="149">
        <v>31</v>
      </c>
      <c r="H80" s="149">
        <v>8.4931506849315067E-2</v>
      </c>
      <c r="I80" s="149">
        <v>0</v>
      </c>
      <c r="J80" s="149">
        <v>0.19470000000000001</v>
      </c>
      <c r="K80" s="149">
        <v>40.182982197670071</v>
      </c>
      <c r="L80" s="149">
        <v>30</v>
      </c>
      <c r="M80" s="149">
        <v>0.78425753424657541</v>
      </c>
      <c r="N80" s="151">
        <v>39.398724663423494</v>
      </c>
      <c r="O80" s="149">
        <v>3078</v>
      </c>
      <c r="P80" s="149" t="s">
        <v>39</v>
      </c>
      <c r="Q80" s="149">
        <v>1</v>
      </c>
      <c r="R80" s="149" t="s">
        <v>151</v>
      </c>
    </row>
    <row r="81" spans="2:18" x14ac:dyDescent="0.15">
      <c r="B81" s="152" t="s">
        <v>160</v>
      </c>
      <c r="C81" s="152" t="s">
        <v>239</v>
      </c>
      <c r="D81" s="153">
        <v>43277</v>
      </c>
      <c r="E81" s="153">
        <v>43307</v>
      </c>
      <c r="F81" s="152">
        <v>3150</v>
      </c>
      <c r="G81" s="152">
        <v>30</v>
      </c>
      <c r="H81" s="152">
        <v>8.2191780821917804E-2</v>
      </c>
      <c r="I81" s="152">
        <v>0</v>
      </c>
      <c r="J81" s="152">
        <v>0.19470000000000001</v>
      </c>
      <c r="K81" s="152">
        <v>39.836329300597981</v>
      </c>
      <c r="L81" s="152">
        <v>30</v>
      </c>
      <c r="M81" s="152">
        <v>0.75945205479452049</v>
      </c>
      <c r="N81" s="154">
        <v>39.076877245803459</v>
      </c>
      <c r="O81" s="152">
        <v>3080</v>
      </c>
      <c r="P81" s="152" t="s">
        <v>39</v>
      </c>
      <c r="Q81" s="152">
        <v>1</v>
      </c>
      <c r="R81" s="152" t="s">
        <v>151</v>
      </c>
    </row>
    <row r="82" spans="2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49" t="s">
        <v>160</v>
      </c>
      <c r="C83" s="149" t="s">
        <v>276</v>
      </c>
      <c r="D83" s="150">
        <v>43277</v>
      </c>
      <c r="E83" s="150">
        <v>43307</v>
      </c>
      <c r="F83" s="149">
        <v>3300</v>
      </c>
      <c r="G83" s="149">
        <v>30</v>
      </c>
      <c r="H83" s="149">
        <v>8.2191780821917804E-2</v>
      </c>
      <c r="I83" s="149">
        <v>0</v>
      </c>
      <c r="J83" s="149">
        <v>0.215</v>
      </c>
      <c r="K83" s="149">
        <v>3.4979296459610225</v>
      </c>
      <c r="L83" s="149"/>
      <c r="M83" s="149">
        <v>0</v>
      </c>
      <c r="N83" s="151">
        <v>3.4979296459610225</v>
      </c>
      <c r="O83" s="149">
        <v>3675</v>
      </c>
      <c r="P83" s="149" t="s">
        <v>85</v>
      </c>
      <c r="Q83" s="149">
        <v>1</v>
      </c>
      <c r="R83" s="149" t="s">
        <v>151</v>
      </c>
    </row>
    <row r="84" spans="2:18" x14ac:dyDescent="0.15">
      <c r="B84" s="149" t="s">
        <v>160</v>
      </c>
      <c r="C84" s="149" t="s">
        <v>276</v>
      </c>
      <c r="D84" s="150">
        <v>43277</v>
      </c>
      <c r="E84" s="150">
        <v>43307</v>
      </c>
      <c r="F84" s="149">
        <v>3400</v>
      </c>
      <c r="G84" s="149">
        <v>30</v>
      </c>
      <c r="H84" s="149">
        <v>8.2191780821917804E-2</v>
      </c>
      <c r="I84" s="149">
        <v>0</v>
      </c>
      <c r="J84" s="149">
        <v>0.215</v>
      </c>
      <c r="K84" s="149">
        <v>10.73115240660735</v>
      </c>
      <c r="L84" s="149"/>
      <c r="M84" s="149">
        <v>0</v>
      </c>
      <c r="N84" s="151">
        <v>10.73115240660735</v>
      </c>
      <c r="O84" s="149">
        <v>3675</v>
      </c>
      <c r="P84" s="149" t="s">
        <v>85</v>
      </c>
      <c r="Q84" s="149">
        <v>1</v>
      </c>
      <c r="R84" s="149" t="s">
        <v>151</v>
      </c>
    </row>
    <row r="85" spans="2:18" x14ac:dyDescent="0.15">
      <c r="B85" s="149" t="s">
        <v>160</v>
      </c>
      <c r="C85" s="149" t="s">
        <v>276</v>
      </c>
      <c r="D85" s="150">
        <v>43277</v>
      </c>
      <c r="E85" s="150">
        <v>43307</v>
      </c>
      <c r="F85" s="149">
        <v>3500</v>
      </c>
      <c r="G85" s="149">
        <v>30</v>
      </c>
      <c r="H85" s="149">
        <v>8.2191780821917804E-2</v>
      </c>
      <c r="I85" s="149">
        <v>0</v>
      </c>
      <c r="J85" s="149">
        <v>0.215</v>
      </c>
      <c r="K85" s="149">
        <v>26.91943414860566</v>
      </c>
      <c r="L85" s="149"/>
      <c r="M85" s="149">
        <v>0</v>
      </c>
      <c r="N85" s="151">
        <v>26.91943414860566</v>
      </c>
      <c r="O85" s="149">
        <v>3675</v>
      </c>
      <c r="P85" s="149" t="s">
        <v>85</v>
      </c>
      <c r="Q85" s="149">
        <v>1</v>
      </c>
      <c r="R85" s="149" t="s">
        <v>151</v>
      </c>
    </row>
    <row r="86" spans="2:18" x14ac:dyDescent="0.15">
      <c r="B86" s="149" t="s">
        <v>160</v>
      </c>
      <c r="C86" s="149" t="s">
        <v>276</v>
      </c>
      <c r="D86" s="150">
        <v>43277</v>
      </c>
      <c r="E86" s="150">
        <v>43367</v>
      </c>
      <c r="F86" s="149">
        <v>3100</v>
      </c>
      <c r="G86" s="149">
        <v>90</v>
      </c>
      <c r="H86" s="149">
        <v>0.24657534246575341</v>
      </c>
      <c r="I86" s="149">
        <v>0</v>
      </c>
      <c r="J86" s="149">
        <v>0.22</v>
      </c>
      <c r="K86" s="149">
        <v>9.4089750527262481</v>
      </c>
      <c r="L86" s="149"/>
      <c r="M86" s="149">
        <v>0</v>
      </c>
      <c r="N86" s="151">
        <v>9.4089750527262481</v>
      </c>
      <c r="O86" s="149">
        <v>3675</v>
      </c>
      <c r="P86" s="149" t="s">
        <v>85</v>
      </c>
      <c r="Q86" s="149">
        <v>1</v>
      </c>
      <c r="R86" s="149" t="s">
        <v>151</v>
      </c>
    </row>
    <row r="87" spans="2:18" x14ac:dyDescent="0.15">
      <c r="B87" s="149" t="s">
        <v>160</v>
      </c>
      <c r="C87" s="149" t="s">
        <v>276</v>
      </c>
      <c r="D87" s="150">
        <v>43277</v>
      </c>
      <c r="E87" s="150">
        <v>43367</v>
      </c>
      <c r="F87" s="149">
        <v>3300</v>
      </c>
      <c r="G87" s="149">
        <v>90</v>
      </c>
      <c r="H87" s="149">
        <v>0.24657534246575341</v>
      </c>
      <c r="I87" s="149">
        <v>0</v>
      </c>
      <c r="J87" s="149">
        <v>0.22</v>
      </c>
      <c r="K87" s="149">
        <v>32.406866024294686</v>
      </c>
      <c r="L87" s="149"/>
      <c r="M87" s="149">
        <v>0</v>
      </c>
      <c r="N87" s="151">
        <v>32.406866024294686</v>
      </c>
      <c r="O87" s="149">
        <v>3675</v>
      </c>
      <c r="P87" s="149" t="s">
        <v>85</v>
      </c>
      <c r="Q87" s="149">
        <v>1</v>
      </c>
      <c r="R87" s="149" t="s">
        <v>151</v>
      </c>
    </row>
    <row r="88" spans="2:18" x14ac:dyDescent="0.15">
      <c r="B88" s="149" t="s">
        <v>160</v>
      </c>
      <c r="C88" s="149" t="s">
        <v>276</v>
      </c>
      <c r="D88" s="150">
        <v>43277</v>
      </c>
      <c r="E88" s="150">
        <v>43367</v>
      </c>
      <c r="F88" s="149">
        <v>3500</v>
      </c>
      <c r="G88" s="149">
        <v>90</v>
      </c>
      <c r="H88" s="149">
        <v>0.24657534246575341</v>
      </c>
      <c r="I88" s="149">
        <v>0</v>
      </c>
      <c r="J88" s="149">
        <v>0.22</v>
      </c>
      <c r="K88" s="149">
        <v>83.671779092422867</v>
      </c>
      <c r="L88" s="149"/>
      <c r="M88" s="149">
        <v>0</v>
      </c>
      <c r="N88" s="151">
        <v>83.671779092422867</v>
      </c>
      <c r="O88" s="149">
        <v>3675</v>
      </c>
      <c r="P88" s="149" t="s">
        <v>85</v>
      </c>
      <c r="Q88" s="149">
        <v>1</v>
      </c>
      <c r="R88" s="149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8" t="s">
        <v>37</v>
      </c>
      <c r="C1" s="148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43277</v>
      </c>
      <c r="K8" s="21">
        <f ca="1">J8+L8</f>
        <v>43307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43277</v>
      </c>
      <c r="K9" s="8">
        <f ca="1">J9+L9</f>
        <v>43307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43277</v>
      </c>
      <c r="K10" s="8">
        <f ca="1">J10+L10</f>
        <v>43307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4" activePane="bottomLeft" state="frozen"/>
      <selection pane="bottomLeft" activeCell="V70" sqref="V7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1" t="s">
        <v>118</v>
      </c>
      <c r="C1" s="141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39" t="s">
        <v>120</v>
      </c>
      <c r="H3" s="139"/>
      <c r="I3" s="139"/>
      <c r="J3" s="139"/>
      <c r="L3" s="140" t="s">
        <v>165</v>
      </c>
      <c r="M3" s="140"/>
      <c r="N3" s="140"/>
      <c r="O3" s="140"/>
      <c r="Q3" s="139" t="s">
        <v>166</v>
      </c>
      <c r="R3" s="139"/>
      <c r="S3" s="139"/>
      <c r="T3" s="139"/>
    </row>
    <row r="4" spans="2:20" ht="12" thickTop="1" thickBot="1" x14ac:dyDescent="0.2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</row>
    <row r="5" spans="2:20" ht="15" customHeight="1" thickTop="1" x14ac:dyDescent="0.15">
      <c r="B5" s="136" t="s">
        <v>122</v>
      </c>
      <c r="C5" s="136"/>
      <c r="D5" s="142"/>
      <c r="E5" s="143"/>
      <c r="G5" s="136" t="s">
        <v>123</v>
      </c>
      <c r="H5" s="136"/>
      <c r="I5" s="103"/>
      <c r="J5" s="104"/>
      <c r="L5" s="101" t="s">
        <v>122</v>
      </c>
      <c r="M5" s="102"/>
      <c r="N5" s="103"/>
      <c r="O5" s="104"/>
      <c r="Q5" s="136" t="s">
        <v>123</v>
      </c>
      <c r="R5" s="136"/>
      <c r="S5" s="103"/>
      <c r="T5" s="104"/>
    </row>
    <row r="6" spans="2:20" x14ac:dyDescent="0.15">
      <c r="B6" s="136" t="s">
        <v>124</v>
      </c>
      <c r="C6" s="136"/>
      <c r="D6" s="137" t="s">
        <v>125</v>
      </c>
      <c r="E6" s="138"/>
      <c r="G6" s="136" t="s">
        <v>126</v>
      </c>
      <c r="H6" s="136"/>
      <c r="I6" s="137"/>
      <c r="J6" s="138"/>
      <c r="L6" s="136" t="s">
        <v>124</v>
      </c>
      <c r="M6" s="136"/>
      <c r="N6" s="137" t="s">
        <v>125</v>
      </c>
      <c r="O6" s="138"/>
      <c r="Q6" s="136" t="s">
        <v>126</v>
      </c>
      <c r="R6" s="136"/>
      <c r="S6" s="137"/>
      <c r="T6" s="138"/>
    </row>
    <row r="7" spans="2:20" ht="2.25" customHeight="1" x14ac:dyDescent="0.15">
      <c r="B7" s="136" t="s">
        <v>127</v>
      </c>
      <c r="C7" s="136"/>
      <c r="D7" s="137" t="s">
        <v>125</v>
      </c>
      <c r="E7" s="138"/>
      <c r="G7" s="136" t="s">
        <v>128</v>
      </c>
      <c r="H7" s="136"/>
      <c r="I7" s="137"/>
      <c r="J7" s="138"/>
      <c r="L7" s="136" t="s">
        <v>127</v>
      </c>
      <c r="M7" s="136"/>
      <c r="N7" s="137" t="s">
        <v>125</v>
      </c>
      <c r="O7" s="138"/>
      <c r="Q7" s="136" t="s">
        <v>128</v>
      </c>
      <c r="R7" s="136"/>
      <c r="S7" s="137"/>
      <c r="T7" s="138"/>
    </row>
    <row r="8" spans="2:20" hidden="1" x14ac:dyDescent="0.15">
      <c r="B8" s="136" t="s">
        <v>129</v>
      </c>
      <c r="C8" s="136"/>
      <c r="D8" s="137">
        <f>D13*D15</f>
        <v>305000</v>
      </c>
      <c r="E8" s="138"/>
      <c r="G8" s="136" t="s">
        <v>130</v>
      </c>
      <c r="H8" s="136"/>
      <c r="I8" s="137"/>
      <c r="J8" s="138"/>
      <c r="L8" s="136" t="s">
        <v>129</v>
      </c>
      <c r="M8" s="136"/>
      <c r="N8" s="137">
        <f>N14*N16</f>
        <v>305000</v>
      </c>
      <c r="O8" s="138"/>
      <c r="Q8" s="136" t="s">
        <v>130</v>
      </c>
      <c r="R8" s="136"/>
      <c r="S8" s="137"/>
      <c r="T8" s="138"/>
    </row>
    <row r="9" spans="2:20" hidden="1" x14ac:dyDescent="0.15">
      <c r="B9" s="136" t="s">
        <v>131</v>
      </c>
      <c r="C9" s="136"/>
      <c r="D9" s="137" t="s">
        <v>132</v>
      </c>
      <c r="E9" s="138"/>
      <c r="G9" s="136" t="s">
        <v>133</v>
      </c>
      <c r="H9" s="136"/>
      <c r="I9" s="137"/>
      <c r="J9" s="138"/>
      <c r="L9" s="136" t="s">
        <v>131</v>
      </c>
      <c r="M9" s="136"/>
      <c r="N9" s="137" t="s">
        <v>132</v>
      </c>
      <c r="O9" s="138"/>
      <c r="Q9" s="136" t="s">
        <v>133</v>
      </c>
      <c r="R9" s="136"/>
      <c r="S9" s="137"/>
      <c r="T9" s="138"/>
    </row>
    <row r="10" spans="2:20" hidden="1" x14ac:dyDescent="0.15">
      <c r="B10" s="136" t="s">
        <v>134</v>
      </c>
      <c r="C10" s="136"/>
      <c r="D10" s="137">
        <v>43084</v>
      </c>
      <c r="E10" s="138"/>
      <c r="G10" s="105" t="s">
        <v>135</v>
      </c>
      <c r="H10" s="105"/>
      <c r="I10" s="137"/>
      <c r="J10" s="138"/>
      <c r="L10" s="136" t="s">
        <v>134</v>
      </c>
      <c r="M10" s="136"/>
      <c r="N10" s="137">
        <v>43084</v>
      </c>
      <c r="O10" s="138"/>
      <c r="Q10" s="105" t="s">
        <v>135</v>
      </c>
      <c r="R10" s="105"/>
      <c r="S10" s="137"/>
      <c r="T10" s="138"/>
    </row>
    <row r="11" spans="2:20" hidden="1" x14ac:dyDescent="0.15">
      <c r="B11" s="136" t="s">
        <v>136</v>
      </c>
      <c r="C11" s="136"/>
      <c r="D11" s="137">
        <v>3935</v>
      </c>
      <c r="E11" s="138"/>
      <c r="G11" s="136" t="s">
        <v>137</v>
      </c>
      <c r="H11" s="136"/>
      <c r="I11" s="137"/>
      <c r="J11" s="138"/>
      <c r="L11" s="136" t="s">
        <v>136</v>
      </c>
      <c r="M11" s="136"/>
      <c r="N11" s="137">
        <v>3935</v>
      </c>
      <c r="O11" s="138"/>
      <c r="Q11" s="136" t="s">
        <v>137</v>
      </c>
      <c r="R11" s="136"/>
      <c r="S11" s="137"/>
      <c r="T11" s="138"/>
    </row>
    <row r="12" spans="2:20" hidden="1" x14ac:dyDescent="0.15">
      <c r="B12" s="136" t="s">
        <v>138</v>
      </c>
      <c r="C12" s="136"/>
      <c r="D12" s="137">
        <v>3800</v>
      </c>
      <c r="E12" s="138"/>
      <c r="G12" s="136" t="s">
        <v>139</v>
      </c>
      <c r="H12" s="136"/>
      <c r="I12" s="137"/>
      <c r="J12" s="138"/>
      <c r="L12" s="136" t="s">
        <v>163</v>
      </c>
      <c r="M12" s="136"/>
      <c r="N12" s="137">
        <v>3800</v>
      </c>
      <c r="O12" s="138"/>
      <c r="Q12" s="136" t="s">
        <v>167</v>
      </c>
      <c r="R12" s="136"/>
      <c r="S12" s="137"/>
      <c r="T12" s="138"/>
    </row>
    <row r="13" spans="2:20" hidden="1" x14ac:dyDescent="0.15">
      <c r="B13" s="136" t="s">
        <v>140</v>
      </c>
      <c r="C13" s="136"/>
      <c r="D13" s="137">
        <v>61</v>
      </c>
      <c r="E13" s="138"/>
      <c r="G13" s="136" t="s">
        <v>141</v>
      </c>
      <c r="H13" s="136"/>
      <c r="I13" s="137"/>
      <c r="J13" s="138"/>
      <c r="L13" s="136" t="s">
        <v>164</v>
      </c>
      <c r="M13" s="136"/>
      <c r="N13" s="137">
        <v>3800</v>
      </c>
      <c r="O13" s="138"/>
      <c r="Q13" s="136" t="s">
        <v>168</v>
      </c>
      <c r="R13" s="136"/>
      <c r="S13" s="137"/>
      <c r="T13" s="138"/>
    </row>
    <row r="14" spans="2:20" hidden="1" x14ac:dyDescent="0.15">
      <c r="B14" s="136" t="s">
        <v>142</v>
      </c>
      <c r="C14" s="136"/>
      <c r="D14" s="137" t="s">
        <v>143</v>
      </c>
      <c r="E14" s="138"/>
      <c r="G14" s="136" t="s">
        <v>144</v>
      </c>
      <c r="H14" s="136"/>
      <c r="I14" s="106"/>
      <c r="J14" s="107"/>
      <c r="L14" s="136" t="s">
        <v>140</v>
      </c>
      <c r="M14" s="136"/>
      <c r="N14" s="137">
        <v>61</v>
      </c>
      <c r="O14" s="138"/>
      <c r="Q14" s="136" t="s">
        <v>141</v>
      </c>
      <c r="R14" s="136"/>
      <c r="S14" s="137"/>
      <c r="T14" s="138"/>
    </row>
    <row r="15" spans="2:20" hidden="1" x14ac:dyDescent="0.15">
      <c r="B15" s="136" t="s">
        <v>145</v>
      </c>
      <c r="C15" s="136"/>
      <c r="D15" s="137">
        <v>5000</v>
      </c>
      <c r="E15" s="138"/>
      <c r="G15" s="136" t="s">
        <v>146</v>
      </c>
      <c r="H15" s="136"/>
      <c r="I15" s="137"/>
      <c r="J15" s="138"/>
      <c r="L15" s="136" t="s">
        <v>142</v>
      </c>
      <c r="M15" s="136"/>
      <c r="N15" s="137" t="s">
        <v>143</v>
      </c>
      <c r="O15" s="138"/>
      <c r="Q15" s="136" t="s">
        <v>144</v>
      </c>
      <c r="R15" s="136"/>
      <c r="S15" s="106"/>
      <c r="T15" s="107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6" t="s">
        <v>145</v>
      </c>
      <c r="M16" s="136"/>
      <c r="N16" s="137">
        <v>5000</v>
      </c>
      <c r="O16" s="138"/>
      <c r="Q16" s="136" t="s">
        <v>146</v>
      </c>
      <c r="R16" s="136"/>
      <c r="S16" s="137"/>
      <c r="T16" s="138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9" t="s">
        <v>219</v>
      </c>
      <c r="C22" s="129"/>
      <c r="D22" s="129"/>
      <c r="E22" s="129"/>
      <c r="G22" s="129" t="s">
        <v>188</v>
      </c>
      <c r="H22" s="129"/>
      <c r="I22" s="129"/>
      <c r="J22" s="129"/>
      <c r="L22" s="132" t="s">
        <v>188</v>
      </c>
      <c r="M22" s="132"/>
      <c r="N22" s="132"/>
      <c r="O22" s="132"/>
      <c r="Q22" s="129" t="s">
        <v>187</v>
      </c>
      <c r="R22" s="129"/>
      <c r="S22" s="129"/>
      <c r="T22" s="129"/>
      <c r="V22" s="132" t="s">
        <v>188</v>
      </c>
      <c r="W22" s="132"/>
      <c r="X22" s="132"/>
      <c r="Y22" s="132"/>
    </row>
    <row r="23" spans="2:25" ht="12" thickTop="1" x14ac:dyDescent="0.15">
      <c r="B23" s="122" t="s">
        <v>122</v>
      </c>
      <c r="C23" s="122"/>
      <c r="D23" s="128">
        <v>43209</v>
      </c>
      <c r="E23" s="130"/>
      <c r="G23" s="122" t="s">
        <v>122</v>
      </c>
      <c r="H23" s="122"/>
      <c r="I23" s="128">
        <f ca="1">TODAY()</f>
        <v>43277</v>
      </c>
      <c r="J23" s="130"/>
      <c r="L23" s="122" t="s">
        <v>122</v>
      </c>
      <c r="M23" s="122"/>
      <c r="N23" s="128">
        <f ca="1">TODAY()</f>
        <v>43277</v>
      </c>
      <c r="O23" s="130"/>
      <c r="Q23" s="122" t="s">
        <v>122</v>
      </c>
      <c r="R23" s="122"/>
      <c r="S23" s="128">
        <f ca="1">TODAY()-1</f>
        <v>43276</v>
      </c>
      <c r="T23" s="130"/>
      <c r="V23" s="122" t="s">
        <v>122</v>
      </c>
      <c r="W23" s="122"/>
      <c r="X23" s="128">
        <f ca="1">TODAY()-1</f>
        <v>43276</v>
      </c>
      <c r="Y23" s="130"/>
    </row>
    <row r="24" spans="2:25" ht="11.25" x14ac:dyDescent="0.15">
      <c r="B24" s="122" t="s">
        <v>124</v>
      </c>
      <c r="C24" s="122"/>
      <c r="D24" s="123" t="s">
        <v>185</v>
      </c>
      <c r="E24" s="124"/>
      <c r="G24" s="122" t="s">
        <v>124</v>
      </c>
      <c r="H24" s="122"/>
      <c r="I24" s="123" t="s">
        <v>185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220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193</v>
      </c>
      <c r="O25" s="124"/>
      <c r="Q25" s="122" t="s">
        <v>127</v>
      </c>
      <c r="R25" s="122"/>
      <c r="S25" s="123" t="s">
        <v>186</v>
      </c>
      <c r="T25" s="124"/>
      <c r="V25" s="122" t="s">
        <v>127</v>
      </c>
      <c r="W25" s="122"/>
      <c r="X25" s="123" t="s">
        <v>186</v>
      </c>
      <c r="Y25" s="124"/>
    </row>
    <row r="26" spans="2:25" ht="11.25" x14ac:dyDescent="0.15">
      <c r="B26" s="122" t="s">
        <v>129</v>
      </c>
      <c r="C26" s="122"/>
      <c r="D26" s="123">
        <f>D31*D33</f>
        <v>290000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190</v>
      </c>
      <c r="E27" s="124"/>
      <c r="F27" s="100">
        <f>1160*250</f>
        <v>290000</v>
      </c>
      <c r="G27" s="122" t="s">
        <v>131</v>
      </c>
      <c r="H27" s="122"/>
      <c r="I27" s="123" t="s">
        <v>195</v>
      </c>
      <c r="J27" s="124"/>
      <c r="L27" s="122" t="s">
        <v>131</v>
      </c>
      <c r="M27" s="122"/>
      <c r="N27" s="123" t="s">
        <v>189</v>
      </c>
      <c r="O27" s="124"/>
      <c r="Q27" s="122" t="s">
        <v>131</v>
      </c>
      <c r="R27" s="122"/>
      <c r="S27" s="123" t="s">
        <v>190</v>
      </c>
      <c r="T27" s="124"/>
      <c r="V27" s="122" t="s">
        <v>131</v>
      </c>
      <c r="W27" s="122"/>
      <c r="X27" s="123" t="s">
        <v>189</v>
      </c>
      <c r="Y27" s="124"/>
    </row>
    <row r="28" spans="2:25" ht="11.25" x14ac:dyDescent="0.15">
      <c r="B28" s="122" t="s">
        <v>134</v>
      </c>
      <c r="C28" s="122"/>
      <c r="D28" s="128">
        <v>43222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108500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110000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1160</v>
      </c>
      <c r="E31" s="124"/>
      <c r="G31" s="122" t="s">
        <v>196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207</v>
      </c>
      <c r="E32" s="124"/>
      <c r="G32" s="122" t="s">
        <v>197</v>
      </c>
      <c r="H32" s="122"/>
      <c r="I32" s="123" t="s">
        <v>194</v>
      </c>
      <c r="J32" s="124"/>
      <c r="L32" s="122" t="s">
        <v>142</v>
      </c>
      <c r="M32" s="122"/>
      <c r="N32" s="123" t="s">
        <v>192</v>
      </c>
      <c r="O32" s="124"/>
      <c r="Q32" s="122" t="s">
        <v>142</v>
      </c>
      <c r="R32" s="122"/>
      <c r="S32" s="123" t="s">
        <v>191</v>
      </c>
      <c r="T32" s="124"/>
      <c r="V32" s="122" t="s">
        <v>142</v>
      </c>
      <c r="W32" s="122"/>
      <c r="X32" s="123" t="s">
        <v>191</v>
      </c>
      <c r="Y32" s="124"/>
    </row>
    <row r="33" spans="2:25" ht="11.25" x14ac:dyDescent="0.15">
      <c r="B33" s="122" t="s">
        <v>145</v>
      </c>
      <c r="C33" s="122"/>
      <c r="D33" s="123">
        <v>250</v>
      </c>
      <c r="E33" s="124"/>
      <c r="G33" s="122" t="s">
        <v>198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224</v>
      </c>
      <c r="C36" s="129"/>
      <c r="D36" s="129"/>
      <c r="E36" s="129"/>
      <c r="G36" s="129" t="s">
        <v>225</v>
      </c>
      <c r="H36" s="129"/>
      <c r="I36" s="129"/>
      <c r="J36" s="129"/>
      <c r="L36" s="129" t="s">
        <v>204</v>
      </c>
      <c r="M36" s="129"/>
      <c r="N36" s="129"/>
      <c r="O36" s="129"/>
      <c r="Q36" s="129" t="s">
        <v>121</v>
      </c>
      <c r="R36" s="129"/>
      <c r="S36" s="129"/>
      <c r="T36" s="129"/>
    </row>
    <row r="37" spans="2:25" ht="12" thickTop="1" x14ac:dyDescent="0.15">
      <c r="B37" s="122" t="s">
        <v>122</v>
      </c>
      <c r="C37" s="122"/>
      <c r="D37" s="128">
        <v>43229</v>
      </c>
      <c r="E37" s="130"/>
      <c r="G37" s="122" t="s">
        <v>122</v>
      </c>
      <c r="H37" s="122"/>
      <c r="I37" s="128">
        <v>43229</v>
      </c>
      <c r="J37" s="130"/>
      <c r="L37" s="122" t="s">
        <v>122</v>
      </c>
      <c r="M37" s="122"/>
      <c r="N37" s="128">
        <v>43214</v>
      </c>
      <c r="O37" s="130"/>
      <c r="Q37" s="122" t="s">
        <v>122</v>
      </c>
      <c r="R37" s="122"/>
      <c r="S37" s="128">
        <v>43209</v>
      </c>
      <c r="T37" s="130"/>
    </row>
    <row r="38" spans="2:25" ht="11.25" x14ac:dyDescent="0.15">
      <c r="B38" s="122" t="s">
        <v>124</v>
      </c>
      <c r="C38" s="122"/>
      <c r="D38" s="123" t="s">
        <v>186</v>
      </c>
      <c r="E38" s="124"/>
      <c r="G38" s="122" t="s">
        <v>124</v>
      </c>
      <c r="H38" s="122"/>
      <c r="I38" s="123" t="s">
        <v>186</v>
      </c>
      <c r="J38" s="124"/>
      <c r="L38" s="122" t="s">
        <v>124</v>
      </c>
      <c r="M38" s="122"/>
      <c r="N38" s="123" t="s">
        <v>202</v>
      </c>
      <c r="O38" s="124"/>
      <c r="Q38" s="122" t="s">
        <v>124</v>
      </c>
      <c r="R38" s="122"/>
      <c r="S38" s="123" t="s">
        <v>216</v>
      </c>
      <c r="T38" s="124"/>
    </row>
    <row r="39" spans="2:25" ht="11.25" x14ac:dyDescent="0.15">
      <c r="B39" s="122" t="s">
        <v>127</v>
      </c>
      <c r="C39" s="122"/>
      <c r="D39" s="123" t="s">
        <v>221</v>
      </c>
      <c r="E39" s="124"/>
      <c r="G39" s="122" t="s">
        <v>127</v>
      </c>
      <c r="H39" s="122"/>
      <c r="I39" s="123" t="s">
        <v>202</v>
      </c>
      <c r="J39" s="124"/>
      <c r="L39" s="122" t="s">
        <v>127</v>
      </c>
      <c r="M39" s="122"/>
      <c r="N39" s="123" t="s">
        <v>4</v>
      </c>
      <c r="O39" s="124"/>
      <c r="Q39" s="122" t="s">
        <v>127</v>
      </c>
      <c r="R39" s="122"/>
      <c r="S39" s="123" t="s">
        <v>202</v>
      </c>
      <c r="T39" s="124"/>
    </row>
    <row r="40" spans="2:25" ht="11.25" x14ac:dyDescent="0.15">
      <c r="B40" s="122" t="s">
        <v>179</v>
      </c>
      <c r="C40" s="122"/>
      <c r="D40" s="123">
        <f>D47*D45</f>
        <v>410500.00000000006</v>
      </c>
      <c r="E40" s="124"/>
      <c r="G40" s="122" t="s">
        <v>179</v>
      </c>
      <c r="H40" s="122"/>
      <c r="I40" s="123">
        <f>I45*I47</f>
        <v>410500.00000000006</v>
      </c>
      <c r="J40" s="124"/>
      <c r="L40" s="122" t="s">
        <v>129</v>
      </c>
      <c r="M40" s="122"/>
      <c r="N40" s="123">
        <f>N45*N47</f>
        <v>2117500</v>
      </c>
      <c r="O40" s="124"/>
      <c r="Q40" s="122" t="s">
        <v>179</v>
      </c>
      <c r="R40" s="122"/>
      <c r="S40" s="123">
        <f>S45*S47</f>
        <v>1045200</v>
      </c>
      <c r="T40" s="124"/>
    </row>
    <row r="41" spans="2:25" ht="11.25" x14ac:dyDescent="0.15">
      <c r="B41" s="122" t="s">
        <v>131</v>
      </c>
      <c r="C41" s="122"/>
      <c r="D41" s="123" t="s">
        <v>222</v>
      </c>
      <c r="E41" s="124"/>
      <c r="G41" s="122" t="s">
        <v>131</v>
      </c>
      <c r="H41" s="122"/>
      <c r="I41" s="123" t="s">
        <v>217</v>
      </c>
      <c r="J41" s="124"/>
      <c r="L41" s="122" t="s">
        <v>131</v>
      </c>
      <c r="M41" s="122"/>
      <c r="N41" s="123" t="s">
        <v>206</v>
      </c>
      <c r="O41" s="124"/>
      <c r="Q41" s="122" t="s">
        <v>131</v>
      </c>
      <c r="R41" s="122"/>
      <c r="S41" s="123" t="s">
        <v>217</v>
      </c>
      <c r="T41" s="124"/>
    </row>
    <row r="42" spans="2:25" ht="11.25" x14ac:dyDescent="0.15">
      <c r="B42" s="122" t="s">
        <v>134</v>
      </c>
      <c r="C42" s="122"/>
      <c r="D42" s="128">
        <f>D37+98</f>
        <v>43327</v>
      </c>
      <c r="E42" s="124"/>
      <c r="G42" s="122" t="s">
        <v>134</v>
      </c>
      <c r="H42" s="122"/>
      <c r="I42" s="128">
        <f>I37+98</f>
        <v>43327</v>
      </c>
      <c r="J42" s="124"/>
      <c r="L42" s="122" t="s">
        <v>134</v>
      </c>
      <c r="M42" s="122"/>
      <c r="N42" s="128">
        <v>43266</v>
      </c>
      <c r="O42" s="124"/>
      <c r="Q42" s="122" t="s">
        <v>134</v>
      </c>
      <c r="R42" s="122"/>
      <c r="S42" s="128">
        <v>43266</v>
      </c>
      <c r="T42" s="124"/>
    </row>
    <row r="43" spans="2:25" ht="11.25" x14ac:dyDescent="0.15">
      <c r="B43" s="122" t="s">
        <v>136</v>
      </c>
      <c r="C43" s="122"/>
      <c r="D43" s="123">
        <v>470.5</v>
      </c>
      <c r="E43" s="124"/>
      <c r="G43" s="122" t="s">
        <v>136</v>
      </c>
      <c r="H43" s="122"/>
      <c r="I43" s="123">
        <v>470.5</v>
      </c>
      <c r="J43" s="124"/>
      <c r="L43" s="122" t="s">
        <v>136</v>
      </c>
      <c r="M43" s="131"/>
      <c r="N43" s="123">
        <v>14535</v>
      </c>
      <c r="O43" s="124"/>
      <c r="Q43" s="122" t="s">
        <v>136</v>
      </c>
      <c r="R43" s="122"/>
      <c r="S43" s="123">
        <v>15250</v>
      </c>
      <c r="T43" s="124"/>
    </row>
    <row r="44" spans="2:25" ht="11.25" x14ac:dyDescent="0.15">
      <c r="B44" s="122" t="s">
        <v>138</v>
      </c>
      <c r="C44" s="122"/>
      <c r="D44" s="123">
        <v>470.5</v>
      </c>
      <c r="E44" s="124"/>
      <c r="F44" s="100">
        <f>D44*1.55/100</f>
        <v>7.2927499999999998</v>
      </c>
      <c r="G44" s="122" t="s">
        <v>138</v>
      </c>
      <c r="H44" s="122"/>
      <c r="I44" s="123">
        <v>470.5</v>
      </c>
      <c r="J44" s="124"/>
      <c r="L44" s="122" t="s">
        <v>138</v>
      </c>
      <c r="M44" s="122"/>
      <c r="N44" s="123">
        <v>14500</v>
      </c>
      <c r="O44" s="124"/>
      <c r="Q44" s="122" t="s">
        <v>138</v>
      </c>
      <c r="R44" s="122"/>
      <c r="S44" s="123">
        <v>14500</v>
      </c>
      <c r="T44" s="124"/>
    </row>
    <row r="45" spans="2:25" ht="11.25" x14ac:dyDescent="0.15">
      <c r="B45" s="122" t="s">
        <v>140</v>
      </c>
      <c r="C45" s="122"/>
      <c r="D45" s="123">
        <v>32.840000000000003</v>
      </c>
      <c r="E45" s="124"/>
      <c r="G45" s="122" t="s">
        <v>140</v>
      </c>
      <c r="H45" s="122"/>
      <c r="I45" s="123">
        <v>32.840000000000003</v>
      </c>
      <c r="J45" s="124"/>
      <c r="L45" s="122" t="s">
        <v>140</v>
      </c>
      <c r="M45" s="122"/>
      <c r="N45" s="123">
        <v>423.5</v>
      </c>
      <c r="O45" s="124"/>
      <c r="Q45" s="122" t="s">
        <v>196</v>
      </c>
      <c r="R45" s="122"/>
      <c r="S45" s="123">
        <v>209.04</v>
      </c>
      <c r="T45" s="124"/>
    </row>
    <row r="46" spans="2:25" ht="11.25" x14ac:dyDescent="0.15">
      <c r="B46" s="122" t="s">
        <v>197</v>
      </c>
      <c r="C46" s="122"/>
      <c r="D46" s="123" t="s">
        <v>200</v>
      </c>
      <c r="E46" s="124"/>
      <c r="G46" s="122" t="s">
        <v>142</v>
      </c>
      <c r="H46" s="122"/>
      <c r="I46" s="123" t="s">
        <v>200</v>
      </c>
      <c r="J46" s="124"/>
      <c r="L46" s="122" t="s">
        <v>142</v>
      </c>
      <c r="M46" s="122"/>
      <c r="N46" s="123" t="s">
        <v>208</v>
      </c>
      <c r="O46" s="124"/>
      <c r="Q46" s="122" t="s">
        <v>142</v>
      </c>
      <c r="R46" s="122"/>
      <c r="S46" s="123" t="s">
        <v>218</v>
      </c>
      <c r="T46" s="124"/>
    </row>
    <row r="47" spans="2:25" ht="11.25" x14ac:dyDescent="0.15">
      <c r="B47" s="122" t="s">
        <v>145</v>
      </c>
      <c r="C47" s="122"/>
      <c r="D47" s="123">
        <v>12500</v>
      </c>
      <c r="E47" s="124"/>
      <c r="G47" s="122" t="s">
        <v>145</v>
      </c>
      <c r="H47" s="122"/>
      <c r="I47" s="123">
        <v>12500</v>
      </c>
      <c r="J47" s="124"/>
      <c r="L47" s="122" t="s">
        <v>145</v>
      </c>
      <c r="M47" s="122"/>
      <c r="N47" s="123">
        <v>5000</v>
      </c>
      <c r="O47" s="124"/>
      <c r="Q47" s="122" t="s">
        <v>145</v>
      </c>
      <c r="R47" s="122"/>
      <c r="S47" s="123">
        <v>5000</v>
      </c>
      <c r="T47" s="124"/>
    </row>
    <row r="48" spans="2:25" ht="12" thickBot="1" x14ac:dyDescent="0.2">
      <c r="B48" s="125" t="s">
        <v>147</v>
      </c>
      <c r="C48" s="125"/>
      <c r="D48" s="126" t="s">
        <v>223</v>
      </c>
      <c r="E48" s="127"/>
      <c r="G48" s="125" t="s">
        <v>147</v>
      </c>
      <c r="H48" s="125"/>
      <c r="I48" s="126" t="s">
        <v>205</v>
      </c>
      <c r="J48" s="127"/>
      <c r="L48" s="125" t="s">
        <v>147</v>
      </c>
      <c r="M48" s="125"/>
      <c r="N48" s="126" t="s">
        <v>203</v>
      </c>
      <c r="O48" s="127"/>
      <c r="Q48" s="125" t="s">
        <v>147</v>
      </c>
      <c r="R48" s="125"/>
      <c r="S48" s="126" t="s">
        <v>205</v>
      </c>
      <c r="T48" s="127"/>
    </row>
    <row r="49" spans="2:20" ht="12.75" thickTop="1" thickBot="1" x14ac:dyDescent="0.2">
      <c r="B49" s="129" t="s">
        <v>121</v>
      </c>
      <c r="C49" s="129"/>
      <c r="D49" s="129"/>
      <c r="E49" s="129"/>
      <c r="G49" s="129" t="s">
        <v>204</v>
      </c>
      <c r="H49" s="129"/>
      <c r="I49" s="129"/>
      <c r="J49" s="129"/>
      <c r="L49" s="129" t="s">
        <v>188</v>
      </c>
      <c r="M49" s="129"/>
      <c r="N49" s="129"/>
      <c r="O49" s="129"/>
      <c r="Q49" s="129" t="s">
        <v>232</v>
      </c>
      <c r="R49" s="129"/>
      <c r="S49" s="129"/>
      <c r="T49" s="129"/>
    </row>
    <row r="50" spans="2:20" ht="12" thickTop="1" x14ac:dyDescent="0.15">
      <c r="B50" s="122" t="s">
        <v>122</v>
      </c>
      <c r="C50" s="122"/>
      <c r="D50" s="128">
        <v>43235</v>
      </c>
      <c r="E50" s="130"/>
      <c r="G50" s="122" t="s">
        <v>122</v>
      </c>
      <c r="H50" s="122"/>
      <c r="I50" s="128">
        <v>43265</v>
      </c>
      <c r="J50" s="130"/>
      <c r="L50" s="122" t="s">
        <v>122</v>
      </c>
      <c r="M50" s="122"/>
      <c r="N50" s="128">
        <v>43237</v>
      </c>
      <c r="O50" s="130"/>
      <c r="Q50" s="122" t="s">
        <v>122</v>
      </c>
      <c r="R50" s="122"/>
      <c r="S50" s="128">
        <v>43237</v>
      </c>
      <c r="T50" s="130"/>
    </row>
    <row r="51" spans="2:20" ht="11.25" x14ac:dyDescent="0.15">
      <c r="B51" s="122" t="s">
        <v>124</v>
      </c>
      <c r="C51" s="122"/>
      <c r="D51" s="123" t="s">
        <v>221</v>
      </c>
      <c r="E51" s="124"/>
      <c r="G51" s="122" t="s">
        <v>124</v>
      </c>
      <c r="H51" s="122"/>
      <c r="I51" s="123" t="s">
        <v>202</v>
      </c>
      <c r="J51" s="124"/>
      <c r="L51" s="122" t="s">
        <v>124</v>
      </c>
      <c r="M51" s="122"/>
      <c r="N51" s="123" t="s">
        <v>4</v>
      </c>
      <c r="O51" s="124"/>
      <c r="Q51" s="122" t="s">
        <v>124</v>
      </c>
      <c r="R51" s="122"/>
      <c r="S51" s="123" t="s">
        <v>4</v>
      </c>
      <c r="T51" s="124"/>
    </row>
    <row r="52" spans="2:20" ht="11.25" x14ac:dyDescent="0.15">
      <c r="B52" s="122" t="s">
        <v>127</v>
      </c>
      <c r="C52" s="122"/>
      <c r="D52" s="123" t="s">
        <v>230</v>
      </c>
      <c r="E52" s="124"/>
      <c r="G52" s="122" t="s">
        <v>127</v>
      </c>
      <c r="H52" s="122"/>
      <c r="I52" s="123" t="s">
        <v>4</v>
      </c>
      <c r="J52" s="124"/>
      <c r="L52" s="122" t="s">
        <v>127</v>
      </c>
      <c r="M52" s="122"/>
      <c r="N52" s="123" t="s">
        <v>36</v>
      </c>
      <c r="O52" s="124"/>
      <c r="Q52" s="122" t="s">
        <v>127</v>
      </c>
      <c r="R52" s="122"/>
      <c r="S52" s="123" t="s">
        <v>36</v>
      </c>
      <c r="T52" s="124"/>
    </row>
    <row r="53" spans="2:20" ht="11.25" x14ac:dyDescent="0.15">
      <c r="B53" s="122" t="s">
        <v>179</v>
      </c>
      <c r="C53" s="122"/>
      <c r="D53" s="123">
        <f>D58*D60</f>
        <v>280000</v>
      </c>
      <c r="E53" s="124"/>
      <c r="G53" s="122" t="s">
        <v>129</v>
      </c>
      <c r="H53" s="122"/>
      <c r="I53" s="123">
        <f>I58*I60</f>
        <v>252000</v>
      </c>
      <c r="J53" s="124"/>
      <c r="L53" s="122" t="s">
        <v>179</v>
      </c>
      <c r="M53" s="122"/>
      <c r="N53" s="123">
        <f>N58*N60</f>
        <v>1272000</v>
      </c>
      <c r="O53" s="124"/>
      <c r="Q53" s="122" t="s">
        <v>179</v>
      </c>
      <c r="R53" s="122"/>
      <c r="S53" s="123">
        <f>S58*S60</f>
        <v>1230000</v>
      </c>
      <c r="T53" s="124"/>
    </row>
    <row r="54" spans="2:20" ht="11.25" x14ac:dyDescent="0.15">
      <c r="B54" s="122" t="s">
        <v>131</v>
      </c>
      <c r="C54" s="122"/>
      <c r="D54" s="123" t="s">
        <v>189</v>
      </c>
      <c r="E54" s="124"/>
      <c r="G54" s="122" t="s">
        <v>131</v>
      </c>
      <c r="H54" s="122"/>
      <c r="I54" s="123" t="s">
        <v>206</v>
      </c>
      <c r="J54" s="124"/>
      <c r="L54" s="122" t="s">
        <v>131</v>
      </c>
      <c r="M54" s="122"/>
      <c r="N54" s="123" t="s">
        <v>132</v>
      </c>
      <c r="O54" s="124"/>
      <c r="Q54" s="122" t="s">
        <v>131</v>
      </c>
      <c r="R54" s="122"/>
      <c r="S54" s="123" t="s">
        <v>132</v>
      </c>
      <c r="T54" s="124"/>
    </row>
    <row r="55" spans="2:20" ht="11.25" x14ac:dyDescent="0.15">
      <c r="B55" s="122" t="s">
        <v>134</v>
      </c>
      <c r="C55" s="122"/>
      <c r="D55" s="128">
        <f>D50+87</f>
        <v>43322</v>
      </c>
      <c r="E55" s="124"/>
      <c r="G55" s="122" t="s">
        <v>134</v>
      </c>
      <c r="H55" s="122"/>
      <c r="I55" s="128">
        <v>43294</v>
      </c>
      <c r="J55" s="124"/>
      <c r="L55" s="122" t="s">
        <v>134</v>
      </c>
      <c r="M55" s="122"/>
      <c r="N55" s="128">
        <f>N50+85</f>
        <v>43322</v>
      </c>
      <c r="O55" s="124"/>
      <c r="Q55" s="122" t="s">
        <v>134</v>
      </c>
      <c r="R55" s="122"/>
      <c r="S55" s="128">
        <f>S50+85</f>
        <v>43322</v>
      </c>
      <c r="T55" s="124"/>
    </row>
    <row r="56" spans="2:20" ht="11.25" x14ac:dyDescent="0.15">
      <c r="B56" s="122" t="s">
        <v>136</v>
      </c>
      <c r="C56" s="122"/>
      <c r="D56" s="123">
        <v>14825</v>
      </c>
      <c r="E56" s="124"/>
      <c r="G56" s="122" t="s">
        <v>136</v>
      </c>
      <c r="H56" s="131"/>
      <c r="I56" s="123">
        <v>14700</v>
      </c>
      <c r="J56" s="124"/>
      <c r="L56" s="122" t="s">
        <v>136</v>
      </c>
      <c r="M56" s="122"/>
      <c r="N56" s="123">
        <v>482</v>
      </c>
      <c r="O56" s="124"/>
      <c r="Q56" s="122" t="s">
        <v>136</v>
      </c>
      <c r="R56" s="122"/>
      <c r="S56" s="123">
        <v>482.5</v>
      </c>
      <c r="T56" s="124"/>
    </row>
    <row r="57" spans="2:20" ht="11.25" x14ac:dyDescent="0.15">
      <c r="B57" s="122" t="s">
        <v>138</v>
      </c>
      <c r="C57" s="122"/>
      <c r="D57" s="123">
        <v>14100</v>
      </c>
      <c r="E57" s="124"/>
      <c r="G57" s="122" t="s">
        <v>138</v>
      </c>
      <c r="H57" s="122"/>
      <c r="I57" s="123">
        <v>14500</v>
      </c>
      <c r="J57" s="124"/>
      <c r="L57" s="122" t="s">
        <v>138</v>
      </c>
      <c r="M57" s="122"/>
      <c r="N57" s="123">
        <v>480</v>
      </c>
      <c r="O57" s="124"/>
      <c r="Q57" s="122" t="s">
        <v>138</v>
      </c>
      <c r="R57" s="122"/>
      <c r="S57" s="123">
        <v>430</v>
      </c>
      <c r="T57" s="124"/>
    </row>
    <row r="58" spans="2:20" ht="11.25" x14ac:dyDescent="0.15">
      <c r="B58" s="122" t="s">
        <v>140</v>
      </c>
      <c r="C58" s="122"/>
      <c r="D58" s="123">
        <v>140</v>
      </c>
      <c r="E58" s="124"/>
      <c r="G58" s="122" t="s">
        <v>140</v>
      </c>
      <c r="H58" s="122"/>
      <c r="I58" s="123">
        <v>126</v>
      </c>
      <c r="J58" s="124"/>
      <c r="L58" s="122" t="s">
        <v>140</v>
      </c>
      <c r="M58" s="122"/>
      <c r="N58" s="123">
        <v>31.8</v>
      </c>
      <c r="O58" s="124"/>
      <c r="Q58" s="122" t="s">
        <v>140</v>
      </c>
      <c r="R58" s="122"/>
      <c r="S58" s="123">
        <v>12.3</v>
      </c>
      <c r="T58" s="124"/>
    </row>
    <row r="59" spans="2:20" ht="11.25" x14ac:dyDescent="0.15">
      <c r="B59" s="122" t="s">
        <v>142</v>
      </c>
      <c r="C59" s="122"/>
      <c r="D59" s="123" t="s">
        <v>229</v>
      </c>
      <c r="E59" s="124"/>
      <c r="G59" s="122" t="s">
        <v>142</v>
      </c>
      <c r="H59" s="122"/>
      <c r="I59" s="123" t="s">
        <v>231</v>
      </c>
      <c r="J59" s="124"/>
      <c r="L59" s="122" t="s">
        <v>142</v>
      </c>
      <c r="M59" s="122"/>
      <c r="N59" s="123" t="s">
        <v>200</v>
      </c>
      <c r="O59" s="124"/>
      <c r="Q59" s="122" t="s">
        <v>142</v>
      </c>
      <c r="R59" s="122"/>
      <c r="S59" s="123" t="s">
        <v>200</v>
      </c>
      <c r="T59" s="124"/>
    </row>
    <row r="60" spans="2:20" ht="11.25" x14ac:dyDescent="0.15">
      <c r="B60" s="122" t="s">
        <v>145</v>
      </c>
      <c r="C60" s="122"/>
      <c r="D60" s="123">
        <v>2000</v>
      </c>
      <c r="E60" s="124"/>
      <c r="G60" s="122" t="s">
        <v>145</v>
      </c>
      <c r="H60" s="122"/>
      <c r="I60" s="123">
        <v>2000</v>
      </c>
      <c r="J60" s="124"/>
      <c r="L60" s="122" t="s">
        <v>145</v>
      </c>
      <c r="M60" s="122"/>
      <c r="N60" s="123">
        <v>40000</v>
      </c>
      <c r="O60" s="124"/>
      <c r="Q60" s="122" t="s">
        <v>145</v>
      </c>
      <c r="R60" s="122"/>
      <c r="S60" s="123">
        <v>100000</v>
      </c>
      <c r="T60" s="124"/>
    </row>
    <row r="61" spans="2:20" ht="12" thickBot="1" x14ac:dyDescent="0.2">
      <c r="B61" s="125" t="s">
        <v>147</v>
      </c>
      <c r="C61" s="125"/>
      <c r="D61" s="126" t="s">
        <v>205</v>
      </c>
      <c r="E61" s="127"/>
      <c r="G61" s="125" t="s">
        <v>147</v>
      </c>
      <c r="H61" s="125"/>
      <c r="I61" s="126" t="s">
        <v>203</v>
      </c>
      <c r="J61" s="127"/>
      <c r="L61" s="125" t="s">
        <v>147</v>
      </c>
      <c r="M61" s="125"/>
      <c r="N61" s="126" t="s">
        <v>205</v>
      </c>
      <c r="O61" s="127"/>
      <c r="Q61" s="125" t="s">
        <v>147</v>
      </c>
      <c r="R61" s="125"/>
      <c r="S61" s="126" t="s">
        <v>205</v>
      </c>
      <c r="T61" s="127"/>
    </row>
    <row r="62" spans="2:20" ht="11.25" thickTop="1" x14ac:dyDescent="0.15"/>
    <row r="63" spans="2:20" ht="12" thickBot="1" x14ac:dyDescent="0.2">
      <c r="G63" s="129" t="s">
        <v>236</v>
      </c>
      <c r="H63" s="129"/>
      <c r="I63" s="129"/>
      <c r="J63" s="129"/>
      <c r="L63" s="129" t="s">
        <v>237</v>
      </c>
      <c r="M63" s="129"/>
      <c r="N63" s="129"/>
      <c r="O63" s="129"/>
      <c r="Q63" s="129" t="s">
        <v>249</v>
      </c>
      <c r="R63" s="129"/>
      <c r="S63" s="129"/>
      <c r="T63" s="129"/>
    </row>
    <row r="64" spans="2:20" ht="12" thickTop="1" x14ac:dyDescent="0.15">
      <c r="G64" s="122" t="s">
        <v>122</v>
      </c>
      <c r="H64" s="122"/>
      <c r="I64" s="128">
        <v>43248</v>
      </c>
      <c r="J64" s="130"/>
      <c r="L64" s="122" t="s">
        <v>122</v>
      </c>
      <c r="M64" s="122"/>
      <c r="N64" s="128">
        <v>43248</v>
      </c>
      <c r="O64" s="130"/>
      <c r="Q64" s="122" t="s">
        <v>122</v>
      </c>
      <c r="R64" s="122"/>
      <c r="S64" s="128">
        <v>43264</v>
      </c>
      <c r="T64" s="130"/>
    </row>
    <row r="65" spans="7:20" ht="11.25" x14ac:dyDescent="0.15">
      <c r="G65" s="122" t="s">
        <v>124</v>
      </c>
      <c r="H65" s="122"/>
      <c r="I65" s="123" t="s">
        <v>234</v>
      </c>
      <c r="J65" s="124"/>
      <c r="L65" s="122" t="s">
        <v>124</v>
      </c>
      <c r="M65" s="122"/>
      <c r="N65" s="123" t="s">
        <v>234</v>
      </c>
      <c r="O65" s="124"/>
      <c r="Q65" s="122" t="s">
        <v>124</v>
      </c>
      <c r="R65" s="122"/>
      <c r="S65" s="123" t="s">
        <v>250</v>
      </c>
      <c r="T65" s="124"/>
    </row>
    <row r="66" spans="7:20" ht="11.25" x14ac:dyDescent="0.15">
      <c r="G66" s="122" t="s">
        <v>127</v>
      </c>
      <c r="H66" s="122"/>
      <c r="I66" s="123" t="s">
        <v>36</v>
      </c>
      <c r="J66" s="124"/>
      <c r="L66" s="122" t="s">
        <v>127</v>
      </c>
      <c r="M66" s="122"/>
      <c r="N66" s="123" t="s">
        <v>36</v>
      </c>
      <c r="O66" s="124"/>
      <c r="Q66" s="122" t="s">
        <v>127</v>
      </c>
      <c r="R66" s="122"/>
      <c r="S66" s="123" t="s">
        <v>36</v>
      </c>
      <c r="T66" s="124"/>
    </row>
    <row r="67" spans="7:20" ht="11.25" x14ac:dyDescent="0.15">
      <c r="G67" s="122" t="s">
        <v>179</v>
      </c>
      <c r="H67" s="122"/>
      <c r="I67" s="123">
        <f>I72*I74</f>
        <v>244200.00000000003</v>
      </c>
      <c r="J67" s="124"/>
      <c r="L67" s="122" t="s">
        <v>179</v>
      </c>
      <c r="M67" s="122"/>
      <c r="N67" s="123">
        <f>N72*N74</f>
        <v>244200.00000000003</v>
      </c>
      <c r="O67" s="124"/>
      <c r="Q67" s="122" t="s">
        <v>129</v>
      </c>
      <c r="R67" s="122"/>
      <c r="S67" s="123">
        <f>S72*S74</f>
        <v>35120</v>
      </c>
      <c r="T67" s="124"/>
    </row>
    <row r="68" spans="7:20" ht="11.25" x14ac:dyDescent="0.15">
      <c r="G68" s="122" t="s">
        <v>131</v>
      </c>
      <c r="H68" s="122"/>
      <c r="I68" s="123" t="s">
        <v>132</v>
      </c>
      <c r="J68" s="124"/>
      <c r="L68" s="122" t="s">
        <v>131</v>
      </c>
      <c r="M68" s="122"/>
      <c r="N68" s="123" t="s">
        <v>235</v>
      </c>
      <c r="O68" s="124"/>
      <c r="Q68" s="122" t="s">
        <v>131</v>
      </c>
      <c r="R68" s="122"/>
      <c r="S68" s="123" t="s">
        <v>190</v>
      </c>
      <c r="T68" s="124"/>
    </row>
    <row r="69" spans="7:20" ht="11.25" x14ac:dyDescent="0.15">
      <c r="G69" s="122" t="s">
        <v>134</v>
      </c>
      <c r="H69" s="122"/>
      <c r="I69" s="128">
        <f>I64+79</f>
        <v>43327</v>
      </c>
      <c r="J69" s="124"/>
      <c r="L69" s="122" t="s">
        <v>134</v>
      </c>
      <c r="M69" s="122"/>
      <c r="N69" s="128">
        <f>N64+79</f>
        <v>43327</v>
      </c>
      <c r="O69" s="124"/>
      <c r="Q69" s="122" t="s">
        <v>134</v>
      </c>
      <c r="R69" s="122"/>
      <c r="S69" s="128">
        <f>S64+30</f>
        <v>43294</v>
      </c>
      <c r="T69" s="124"/>
    </row>
    <row r="70" spans="7:20" ht="11.25" x14ac:dyDescent="0.15">
      <c r="G70" s="122" t="s">
        <v>136</v>
      </c>
      <c r="H70" s="122"/>
      <c r="I70" s="123">
        <v>456.5</v>
      </c>
      <c r="J70" s="124"/>
      <c r="L70" s="122" t="s">
        <v>136</v>
      </c>
      <c r="M70" s="122"/>
      <c r="N70" s="123">
        <v>456.5</v>
      </c>
      <c r="O70" s="124"/>
      <c r="Q70" s="122" t="s">
        <v>136</v>
      </c>
      <c r="R70" s="122"/>
      <c r="S70" s="123">
        <v>18280</v>
      </c>
      <c r="T70" s="124"/>
    </row>
    <row r="71" spans="7:20" ht="11.25" x14ac:dyDescent="0.15">
      <c r="G71" s="122" t="s">
        <v>138</v>
      </c>
      <c r="H71" s="122"/>
      <c r="I71" s="123">
        <v>456.5</v>
      </c>
      <c r="J71" s="124"/>
      <c r="L71" s="122" t="s">
        <v>138</v>
      </c>
      <c r="M71" s="122"/>
      <c r="N71" s="123">
        <v>456.5</v>
      </c>
      <c r="O71" s="124"/>
      <c r="Q71" s="122" t="s">
        <v>138</v>
      </c>
      <c r="R71" s="122"/>
      <c r="S71" s="123">
        <v>19000</v>
      </c>
      <c r="T71" s="124"/>
    </row>
    <row r="72" spans="7:20" ht="11.25" x14ac:dyDescent="0.15">
      <c r="G72" s="122" t="s">
        <v>140</v>
      </c>
      <c r="H72" s="122"/>
      <c r="I72" s="123">
        <v>24.42</v>
      </c>
      <c r="J72" s="124"/>
      <c r="L72" s="122" t="s">
        <v>140</v>
      </c>
      <c r="M72" s="122"/>
      <c r="N72" s="123">
        <v>24.42</v>
      </c>
      <c r="O72" s="124"/>
      <c r="Q72" s="122" t="s">
        <v>140</v>
      </c>
      <c r="R72" s="122"/>
      <c r="S72" s="123">
        <v>439</v>
      </c>
      <c r="T72" s="124"/>
    </row>
    <row r="73" spans="7:20" ht="11.25" x14ac:dyDescent="0.15">
      <c r="G73" s="122" t="s">
        <v>142</v>
      </c>
      <c r="H73" s="122"/>
      <c r="I73" s="123" t="s">
        <v>200</v>
      </c>
      <c r="J73" s="124"/>
      <c r="L73" s="122" t="s">
        <v>142</v>
      </c>
      <c r="M73" s="122"/>
      <c r="N73" s="123" t="s">
        <v>200</v>
      </c>
      <c r="O73" s="124"/>
      <c r="Q73" s="122" t="s">
        <v>142</v>
      </c>
      <c r="R73" s="122"/>
      <c r="S73" s="123" t="s">
        <v>248</v>
      </c>
      <c r="T73" s="124"/>
    </row>
    <row r="74" spans="7:20" ht="11.25" x14ac:dyDescent="0.15">
      <c r="G74" s="122" t="s">
        <v>145</v>
      </c>
      <c r="H74" s="122"/>
      <c r="I74" s="123">
        <v>10000</v>
      </c>
      <c r="J74" s="124"/>
      <c r="L74" s="122" t="s">
        <v>145</v>
      </c>
      <c r="M74" s="122"/>
      <c r="N74" s="123">
        <v>10000</v>
      </c>
      <c r="O74" s="124"/>
      <c r="Q74" s="122" t="s">
        <v>145</v>
      </c>
      <c r="R74" s="122"/>
      <c r="S74" s="123">
        <v>80</v>
      </c>
      <c r="T74" s="124"/>
    </row>
    <row r="75" spans="7:20" ht="12" thickBot="1" x14ac:dyDescent="0.2">
      <c r="G75" s="125" t="s">
        <v>147</v>
      </c>
      <c r="H75" s="125"/>
      <c r="I75" s="126" t="s">
        <v>205</v>
      </c>
      <c r="J75" s="127"/>
      <c r="L75" s="125" t="s">
        <v>147</v>
      </c>
      <c r="M75" s="125"/>
      <c r="N75" s="126" t="s">
        <v>205</v>
      </c>
      <c r="O75" s="127"/>
      <c r="Q75" s="125" t="s">
        <v>147</v>
      </c>
      <c r="R75" s="125"/>
      <c r="S75" s="126" t="s">
        <v>205</v>
      </c>
      <c r="T75" s="127"/>
    </row>
    <row r="76" spans="7:20" ht="11.25" thickTop="1" x14ac:dyDescent="0.15"/>
    <row r="77" spans="7:20" ht="12" thickBot="1" x14ac:dyDescent="0.2">
      <c r="G77" s="129" t="s">
        <v>236</v>
      </c>
      <c r="H77" s="129"/>
      <c r="I77" s="129"/>
      <c r="J77" s="129"/>
      <c r="L77" s="129" t="s">
        <v>251</v>
      </c>
      <c r="M77" s="129"/>
      <c r="N77" s="129"/>
      <c r="O77" s="129"/>
      <c r="Q77" s="129" t="s">
        <v>204</v>
      </c>
      <c r="R77" s="129"/>
      <c r="S77" s="129"/>
      <c r="T77" s="129"/>
    </row>
    <row r="78" spans="7:20" ht="12" thickTop="1" x14ac:dyDescent="0.15">
      <c r="G78" s="122" t="s">
        <v>122</v>
      </c>
      <c r="H78" s="122"/>
      <c r="I78" s="128">
        <v>43248</v>
      </c>
      <c r="J78" s="130"/>
      <c r="L78" s="122" t="s">
        <v>122</v>
      </c>
      <c r="M78" s="122"/>
      <c r="N78" s="128">
        <v>43265</v>
      </c>
      <c r="O78" s="130"/>
      <c r="Q78" s="122" t="s">
        <v>122</v>
      </c>
      <c r="R78" s="122"/>
      <c r="S78" s="128">
        <v>43276</v>
      </c>
      <c r="T78" s="130"/>
    </row>
    <row r="79" spans="7:20" ht="11.25" x14ac:dyDescent="0.15">
      <c r="G79" s="122" t="s">
        <v>124</v>
      </c>
      <c r="H79" s="122"/>
      <c r="I79" s="123" t="s">
        <v>234</v>
      </c>
      <c r="J79" s="124"/>
      <c r="L79" s="122" t="s">
        <v>124</v>
      </c>
      <c r="M79" s="122"/>
      <c r="N79" s="123" t="s">
        <v>234</v>
      </c>
      <c r="O79" s="124"/>
      <c r="Q79" s="122" t="s">
        <v>124</v>
      </c>
      <c r="R79" s="122"/>
      <c r="S79" s="123" t="s">
        <v>202</v>
      </c>
      <c r="T79" s="124"/>
    </row>
    <row r="80" spans="7:20" ht="11.25" x14ac:dyDescent="0.15">
      <c r="G80" s="122" t="s">
        <v>127</v>
      </c>
      <c r="H80" s="122"/>
      <c r="I80" s="123" t="s">
        <v>36</v>
      </c>
      <c r="J80" s="124"/>
      <c r="L80" s="122" t="s">
        <v>127</v>
      </c>
      <c r="M80" s="122"/>
      <c r="N80" s="123" t="s">
        <v>36</v>
      </c>
      <c r="O80" s="124"/>
      <c r="Q80" s="122" t="s">
        <v>127</v>
      </c>
      <c r="R80" s="122"/>
      <c r="S80" s="123" t="s">
        <v>4</v>
      </c>
      <c r="T80" s="124"/>
    </row>
    <row r="81" spans="7:20" ht="11.25" x14ac:dyDescent="0.15">
      <c r="G81" s="122" t="s">
        <v>179</v>
      </c>
      <c r="H81" s="122"/>
      <c r="I81" s="123">
        <f>I86*I88</f>
        <v>244200.00000000003</v>
      </c>
      <c r="J81" s="124"/>
      <c r="L81" s="122" t="s">
        <v>179</v>
      </c>
      <c r="M81" s="122"/>
      <c r="N81" s="144">
        <f>N86*N88</f>
        <v>784480</v>
      </c>
      <c r="O81" s="145"/>
      <c r="Q81" s="122" t="s">
        <v>129</v>
      </c>
      <c r="R81" s="122"/>
      <c r="S81" s="144">
        <f>S86*S88</f>
        <v>1009200</v>
      </c>
      <c r="T81" s="145"/>
    </row>
    <row r="82" spans="7:20" ht="11.25" x14ac:dyDescent="0.15">
      <c r="G82" s="122" t="s">
        <v>131</v>
      </c>
      <c r="H82" s="122"/>
      <c r="I82" s="123" t="s">
        <v>132</v>
      </c>
      <c r="J82" s="124"/>
      <c r="L82" s="122" t="s">
        <v>131</v>
      </c>
      <c r="M82" s="122"/>
      <c r="N82" s="123" t="s">
        <v>252</v>
      </c>
      <c r="O82" s="124"/>
      <c r="Q82" s="122" t="s">
        <v>131</v>
      </c>
      <c r="R82" s="122"/>
      <c r="S82" s="123" t="s">
        <v>206</v>
      </c>
      <c r="T82" s="124"/>
    </row>
    <row r="83" spans="7:20" ht="11.25" x14ac:dyDescent="0.15">
      <c r="G83" s="122" t="s">
        <v>134</v>
      </c>
      <c r="H83" s="122"/>
      <c r="I83" s="128">
        <f>I78+31</f>
        <v>43279</v>
      </c>
      <c r="J83" s="124"/>
      <c r="L83" s="122" t="s">
        <v>134</v>
      </c>
      <c r="M83" s="122"/>
      <c r="N83" s="128">
        <v>43404</v>
      </c>
      <c r="O83" s="124"/>
      <c r="Q83" s="122" t="s">
        <v>134</v>
      </c>
      <c r="R83" s="122"/>
      <c r="S83" s="128">
        <v>43322</v>
      </c>
      <c r="T83" s="124"/>
    </row>
    <row r="84" spans="7:20" ht="11.25" x14ac:dyDescent="0.15">
      <c r="G84" s="122" t="s">
        <v>136</v>
      </c>
      <c r="H84" s="122"/>
      <c r="I84" s="123">
        <v>456.5</v>
      </c>
      <c r="J84" s="124"/>
      <c r="L84" s="122" t="s">
        <v>136</v>
      </c>
      <c r="M84" s="122"/>
      <c r="N84" s="123">
        <v>1817</v>
      </c>
      <c r="O84" s="124"/>
      <c r="P84" s="100">
        <f>N84*3.5/100</f>
        <v>63.594999999999999</v>
      </c>
      <c r="Q84" s="122" t="s">
        <v>136</v>
      </c>
      <c r="R84" s="131"/>
      <c r="S84" s="123">
        <v>466</v>
      </c>
      <c r="T84" s="124"/>
    </row>
    <row r="85" spans="7:20" ht="11.25" x14ac:dyDescent="0.15">
      <c r="G85" s="122" t="s">
        <v>138</v>
      </c>
      <c r="H85" s="122"/>
      <c r="I85" s="123">
        <v>456.5</v>
      </c>
      <c r="J85" s="124"/>
      <c r="L85" s="122" t="s">
        <v>138</v>
      </c>
      <c r="M85" s="122"/>
      <c r="N85" s="123">
        <v>1805</v>
      </c>
      <c r="O85" s="124"/>
      <c r="Q85" s="122" t="s">
        <v>138</v>
      </c>
      <c r="R85" s="122"/>
      <c r="S85" s="123">
        <v>480</v>
      </c>
      <c r="T85" s="124"/>
    </row>
    <row r="86" spans="7:20" ht="11.25" x14ac:dyDescent="0.15">
      <c r="G86" s="122" t="s">
        <v>140</v>
      </c>
      <c r="H86" s="122"/>
      <c r="I86" s="123">
        <v>24.42</v>
      </c>
      <c r="J86" s="124"/>
      <c r="L86" s="122" t="s">
        <v>140</v>
      </c>
      <c r="M86" s="122"/>
      <c r="N86" s="123">
        <v>49.03</v>
      </c>
      <c r="O86" s="124"/>
      <c r="Q86" s="122" t="s">
        <v>140</v>
      </c>
      <c r="R86" s="122"/>
      <c r="S86" s="123">
        <v>25.23</v>
      </c>
      <c r="T86" s="124"/>
    </row>
    <row r="87" spans="7:20" ht="11.25" x14ac:dyDescent="0.15">
      <c r="G87" s="122" t="s">
        <v>142</v>
      </c>
      <c r="H87" s="122"/>
      <c r="I87" s="123" t="s">
        <v>200</v>
      </c>
      <c r="J87" s="124"/>
      <c r="L87" s="122" t="s">
        <v>142</v>
      </c>
      <c r="M87" s="122"/>
      <c r="N87" s="123" t="s">
        <v>253</v>
      </c>
      <c r="O87" s="124"/>
      <c r="Q87" s="122" t="s">
        <v>142</v>
      </c>
      <c r="R87" s="122"/>
      <c r="S87" s="123" t="s">
        <v>200</v>
      </c>
      <c r="T87" s="124"/>
    </row>
    <row r="88" spans="7:20" ht="11.25" x14ac:dyDescent="0.15">
      <c r="G88" s="122" t="s">
        <v>145</v>
      </c>
      <c r="H88" s="122"/>
      <c r="I88" s="123">
        <v>10000</v>
      </c>
      <c r="J88" s="124"/>
      <c r="L88" s="122" t="s">
        <v>145</v>
      </c>
      <c r="M88" s="122"/>
      <c r="N88" s="123">
        <v>16000</v>
      </c>
      <c r="O88" s="124"/>
      <c r="Q88" s="122" t="s">
        <v>145</v>
      </c>
      <c r="R88" s="122"/>
      <c r="S88" s="123">
        <v>40000</v>
      </c>
      <c r="T88" s="124"/>
    </row>
    <row r="89" spans="7:20" ht="12" thickBot="1" x14ac:dyDescent="0.2">
      <c r="G89" s="125" t="s">
        <v>147</v>
      </c>
      <c r="H89" s="125"/>
      <c r="I89" s="126" t="s">
        <v>205</v>
      </c>
      <c r="J89" s="127"/>
      <c r="L89" s="125" t="s">
        <v>147</v>
      </c>
      <c r="M89" s="125"/>
      <c r="N89" s="126" t="s">
        <v>205</v>
      </c>
      <c r="O89" s="127"/>
      <c r="Q89" s="125" t="s">
        <v>147</v>
      </c>
      <c r="R89" s="125"/>
      <c r="S89" s="126" t="s">
        <v>203</v>
      </c>
      <c r="T89" s="127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opLeftCell="C1" zoomScaleNormal="100" workbookViewId="0">
      <pane ySplit="10" topLeftCell="A32" activePane="bottomLeft" state="frozen"/>
      <selection pane="bottomLeft" activeCell="C50" sqref="C50:S5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6" t="s">
        <v>37</v>
      </c>
      <c r="C1" s="146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43277</v>
      </c>
      <c r="F8" s="8">
        <f t="shared" ref="F8" ca="1" si="1">E8+H8</f>
        <v>43368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-14.644073917751484</v>
      </c>
      <c r="M8" s="15"/>
      <c r="N8" s="13">
        <f t="shared" ref="N8" si="2">M8/10000*I8*P8</f>
        <v>0</v>
      </c>
      <c r="O8" s="13">
        <f>IF(L8&lt;=0,ABS(L8)+N8,L8-N8)</f>
        <v>14.644073917751484</v>
      </c>
      <c r="P8" s="11">
        <f>RTD("wdf.rtq",,D8,"LastPrice")</f>
        <v>14035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1.0433967878697174E-3</v>
      </c>
      <c r="U8" s="13">
        <f>_xll.dnetGBlackScholesNGreeks("delta",$Q8,$P8,$G8,$I8,$C$3,$J8,$K8,$C$4)*R8</f>
        <v>2.5328042903538517E-2</v>
      </c>
      <c r="V8" s="13">
        <f>_xll.dnetGBlackScholesNGreeks("vega",$Q8,$P8,$G8,$I8,$C$3,$J8,$K8,$C$4)*R8</f>
        <v>-4.1408209121197217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43277</v>
      </c>
      <c r="F9" s="8">
        <f t="shared" ref="F9" ca="1" si="5">E9+H9</f>
        <v>43824.5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55" ca="1" si="9">TODAY()</f>
        <v>43277</v>
      </c>
      <c r="F15" s="8">
        <f t="shared" ref="F15" ca="1" si="10">E15+H15</f>
        <v>43336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43277</v>
      </c>
      <c r="F16" s="8">
        <f t="shared" ref="F16" ca="1" si="17">E16+H16</f>
        <v>43336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43277</v>
      </c>
      <c r="F18" s="8">
        <f t="shared" ref="F18:F23" ca="1" si="24">E18+H18</f>
        <v>43328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136.68905170399648</v>
      </c>
      <c r="M18" s="15">
        <v>30</v>
      </c>
      <c r="N18" s="13">
        <f t="shared" ref="N18:N23" si="26">M18/10000*I18*P18</f>
        <v>5.9104109589041105</v>
      </c>
      <c r="O18" s="13">
        <f t="shared" ref="O18:O23" si="27">IF(L18&lt;=0,ABS(L18)+N18,L18-N18)</f>
        <v>130.77864074509236</v>
      </c>
      <c r="P18" s="13">
        <f>RTD("wdf.rtq",,D18,"LastPrice")</f>
        <v>14100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9.2750809039072596E-3</v>
      </c>
      <c r="U18" s="13">
        <f>_xll.dnetGBlackScholesNGreeks("delta",$Q18,$P18,$G18,$I18,$C$3,$J18,$K18,$C$4)*R18</f>
        <v>-0.31344528974841523</v>
      </c>
      <c r="V18" s="13">
        <f>_xll.dnetGBlackScholesNGreeks("vega",$Q18,$P18,$G18,$I18,$C$3,$J18,$K18,$C$4)*R18</f>
        <v>18.641778127084763</v>
      </c>
      <c r="W18" s="114"/>
      <c r="X18" s="115">
        <v>400</v>
      </c>
      <c r="Y18" s="6">
        <f t="shared" ref="Y18:Y23" si="30">X18*U18</f>
        <v>-125.37811589936609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43277</v>
      </c>
      <c r="F19" s="8">
        <f t="shared" ca="1" si="24"/>
        <v>43364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179.87823843414117</v>
      </c>
      <c r="M19" s="15">
        <v>30</v>
      </c>
      <c r="N19" s="13">
        <f t="shared" si="26"/>
        <v>10.132520547945205</v>
      </c>
      <c r="O19" s="13">
        <f t="shared" si="27"/>
        <v>169.74571788619596</v>
      </c>
      <c r="P19" s="13">
        <f>RTD("wdf.rtq",,D19,"LastPrice")</f>
        <v>14170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1.1979232031488776E-2</v>
      </c>
      <c r="U19" s="13">
        <f>_xll.dnetGBlackScholesNGreeks("delta",$Q19,$P19,$G19,$I19,$C$3,$J19,$K19,$C$4)*R19</f>
        <v>-0.31684105929343787</v>
      </c>
      <c r="V19" s="13">
        <f>_xll.dnetGBlackScholesNGreeks("vega",$Q19,$P19,$G19,$I19,$C$3,$J19,$K19,$C$4)*R19</f>
        <v>24.553688238252107</v>
      </c>
      <c r="W19" s="114"/>
      <c r="X19" s="115">
        <v>400</v>
      </c>
      <c r="Y19" s="6">
        <f t="shared" si="30"/>
        <v>-126.73642371737515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43277</v>
      </c>
      <c r="F20" s="8">
        <f t="shared" ca="1" si="24"/>
        <v>43392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186.76125351501742</v>
      </c>
      <c r="M20" s="15">
        <v>30</v>
      </c>
      <c r="N20" s="13">
        <f t="shared" si="26"/>
        <v>12.879041095890411</v>
      </c>
      <c r="O20" s="13">
        <f t="shared" si="27"/>
        <v>173.882212419127</v>
      </c>
      <c r="P20" s="13">
        <f>RTD("wdf.rtq",,D20,"LastPrice")</f>
        <v>14245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1.2206543518366234E-2</v>
      </c>
      <c r="U20" s="13">
        <f>_xll.dnetGBlackScholesNGreeks("delta",$Q20,$P20,$G20,$I20,$C$3,$J20,$K20,$C$4)*R20</f>
        <v>-0.30155531385389622</v>
      </c>
      <c r="V20" s="13">
        <f>_xll.dnetGBlackScholesNGreeks("vega",$Q20,$P20,$G20,$I20,$C$3,$J20,$K20,$C$4)*R20</f>
        <v>27.142601334981691</v>
      </c>
      <c r="W20" s="114"/>
      <c r="X20" s="115">
        <v>400</v>
      </c>
      <c r="Y20" s="6">
        <f t="shared" si="30"/>
        <v>-120.62212554155849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43277</v>
      </c>
      <c r="F21" s="8">
        <f t="shared" ca="1" si="24"/>
        <v>43328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214.30797822226396</v>
      </c>
      <c r="M21" s="15">
        <v>30</v>
      </c>
      <c r="N21" s="13">
        <f t="shared" si="26"/>
        <v>5.9104109589041105</v>
      </c>
      <c r="O21" s="13">
        <f t="shared" si="27"/>
        <v>208.39756726335983</v>
      </c>
      <c r="P21" s="13">
        <f>RTD("wdf.rtq",,D21,"LastPrice")</f>
        <v>14100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1.4779969309458144E-2</v>
      </c>
      <c r="U21" s="13">
        <f>_xll.dnetGBlackScholesNGreeks("delta",$Q21,$P21,$G21,$I21,$C$3,$J21,$K21,$C$4)*R21</f>
        <v>-0.42906824573947233</v>
      </c>
      <c r="V21" s="13">
        <f>_xll.dnetGBlackScholesNGreeks("vega",$Q21,$P21,$G21,$I21,$C$3,$J21,$K21,$C$4)*R21</f>
        <v>20.64519969133471</v>
      </c>
      <c r="W21" s="114"/>
      <c r="X21" s="115">
        <v>400</v>
      </c>
      <c r="Y21" s="6">
        <f t="shared" si="30"/>
        <v>-171.62729829578893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43277</v>
      </c>
      <c r="F22" s="8">
        <f t="shared" ca="1" si="24"/>
        <v>43364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256.60055194273173</v>
      </c>
      <c r="M22" s="15">
        <v>30</v>
      </c>
      <c r="N22" s="13">
        <f t="shared" si="26"/>
        <v>10.132520547945205</v>
      </c>
      <c r="O22" s="13">
        <f t="shared" si="27"/>
        <v>246.46803139478652</v>
      </c>
      <c r="P22" s="13">
        <f>RTD("wdf.rtq",,D22,"LastPrice")</f>
        <v>14170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1.7393650768862845E-2</v>
      </c>
      <c r="U22" s="13">
        <f>_xll.dnetGBlackScholesNGreeks("delta",$Q22,$P22,$G22,$I22,$C$3,$J22,$K22,$C$4)*R22</f>
        <v>-0.40643721354172158</v>
      </c>
      <c r="V22" s="13">
        <f>_xll.dnetGBlackScholesNGreeks("vega",$Q22,$P22,$G22,$I22,$C$3,$J22,$K22,$C$4)*R22</f>
        <v>26.736507547102065</v>
      </c>
      <c r="W22" s="114"/>
      <c r="X22" s="115">
        <v>400</v>
      </c>
      <c r="Y22" s="6">
        <f t="shared" si="30"/>
        <v>-162.57488541668863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43277</v>
      </c>
      <c r="F23" s="8">
        <f t="shared" ca="1" si="24"/>
        <v>43392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43277</v>
      </c>
      <c r="F25" s="8">
        <f t="shared" ref="F25" ca="1" si="32">E25+H25</f>
        <v>43307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43277</v>
      </c>
      <c r="F27" s="8">
        <f t="shared" ref="F27" ca="1" si="39">E27+H27</f>
        <v>43327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144.61137470263566</v>
      </c>
      <c r="M27" s="15">
        <v>30</v>
      </c>
      <c r="N27" s="13">
        <f t="shared" ref="N27" si="41">M27/10000*I27*P27</f>
        <v>8.036301369863013</v>
      </c>
      <c r="O27" s="13">
        <f t="shared" ref="O27" si="42">IF(L27&lt;=0,ABS(L27)+N27,L27-N27)</f>
        <v>136.57507333277263</v>
      </c>
      <c r="P27" s="11">
        <f>RTD("wdf.rtq",,D27,"LastPrice")</f>
        <v>19555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6.9841510269891402E-3</v>
      </c>
      <c r="U27" s="13">
        <f>_xll.dnetGBlackScholesNGreeks("delta",$Q27,$P27,$G27,$I27,$C$3,$J27,$K27,$C$4)*R27</f>
        <v>-0.25860298196676013</v>
      </c>
      <c r="V27" s="13">
        <f>_xll.dnetGBlackScholesNGreeks("vega",$Q27,$P27,$G27,$I27,$C$3,$J27,$K27,$C$4)*R27</f>
        <v>23.354781578519123</v>
      </c>
      <c r="W27" s="114"/>
      <c r="X27" s="115">
        <v>400</v>
      </c>
      <c r="Y27" s="6">
        <f t="shared" ref="Y27" si="45">X27*U27</f>
        <v>-103.44119278670405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43277</v>
      </c>
      <c r="F29" s="8">
        <f t="shared" ref="F29" ca="1" si="46">E29+H29</f>
        <v>43368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-22.520180334618203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22.520180334618203</v>
      </c>
      <c r="P29" s="11">
        <f>RTD("wdf.rtq",,D29,"LastPrice")</f>
        <v>14245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1.5809182404084383E-3</v>
      </c>
      <c r="U29" s="13">
        <f>_xll.dnetGBlackScholesNGreeks("delta",$Q29,$P29,$G29,$I29,$C$3,$J29,$K29,$C$4)*R29</f>
        <v>3.2270937396106092E-2</v>
      </c>
      <c r="V29" s="13">
        <f>_xll.dnetGBlackScholesNGreeks("vega",$Q29,$P29,$G29,$I29,$C$3,$J29,$K29,$C$4)*R29</f>
        <v>-5.1371979123639449</v>
      </c>
      <c r="W29" s="114"/>
      <c r="X29" s="115">
        <v>400</v>
      </c>
      <c r="Y29" s="6">
        <f t="shared" ref="Y29" si="52">X29*U29</f>
        <v>12.908374958442437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43277</v>
      </c>
      <c r="F31" s="8">
        <f t="shared" ref="F31:F32" ca="1" si="53">E31+H31</f>
        <v>43368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-418.61124563190424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418.61124563190424</v>
      </c>
      <c r="P31" s="11">
        <f>RTD("wdf.rtq",,D31,"LastPrice")</f>
        <v>14245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2.9386538829898508E-2</v>
      </c>
      <c r="U31" s="13">
        <f>_xll.dnetGBlackScholesNGreeks("delta",$Q31,$P31,$G31,$I31,$C$3,$J31,$K31,$C$4)*R31</f>
        <v>0.4068942751018767</v>
      </c>
      <c r="V31" s="13">
        <f>_xll.dnetGBlackScholesNGreeks("vega",$Q31,$P31,$G31,$I31,$C$3,$J31,$K31,$C$4)*R31</f>
        <v>-27.494351405319321</v>
      </c>
      <c r="W31" s="114"/>
      <c r="X31" s="115">
        <v>400</v>
      </c>
      <c r="Y31" s="6">
        <f t="shared" ref="Y31:Y32" si="59">X31*U31</f>
        <v>162.75771004075068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43277</v>
      </c>
      <c r="F32" s="8">
        <f t="shared" ca="1" si="53"/>
        <v>43368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-244.78831616779053</v>
      </c>
      <c r="M32" s="15">
        <v>0</v>
      </c>
      <c r="N32" s="13">
        <f t="shared" si="55"/>
        <v>0</v>
      </c>
      <c r="O32" s="13">
        <f t="shared" si="56"/>
        <v>244.78831616779053</v>
      </c>
      <c r="P32" s="11">
        <f>RTD("wdf.rtq",,D32,"LastPrice")</f>
        <v>14245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1.7184156979135876E-2</v>
      </c>
      <c r="U32" s="13">
        <f>_xll.dnetGBlackScholesNGreeks("delta",$Q32,$P32,$G32,$I32,$C$3,$J32,$K32,$C$4)*R32</f>
        <v>0.27276446842279256</v>
      </c>
      <c r="V32" s="13">
        <f>_xll.dnetGBlackScholesNGreeks("vega",$Q32,$P32,$G32,$I32,$C$3,$J32,$K32,$C$4)*R32</f>
        <v>-23.569648489926749</v>
      </c>
      <c r="W32" s="114"/>
      <c r="X32" s="115">
        <v>400</v>
      </c>
      <c r="Y32" s="6">
        <f t="shared" si="59"/>
        <v>109.10578736911702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43277</v>
      </c>
      <c r="F34" s="8">
        <f t="shared" ref="F34" ca="1" si="60">E34+H34</f>
        <v>43327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31.588241929764934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31.588241929764934</v>
      </c>
      <c r="P34" s="11">
        <f>RTD("wdf.rtq",,D34,"LastPrice")</f>
        <v>460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6.8670091151662893E-2</v>
      </c>
      <c r="U34" s="13">
        <f>_xll.dnetGBlackScholesNGreeks("delta",$Q34,$P34,$G34,$I34,$C$3,$J34,$K34,$C$4)*R34</f>
        <v>-0.63240913777633523</v>
      </c>
      <c r="V34" s="13">
        <f>_xll.dnetGBlackScholesNGreeks("vega",$Q34,$P34,$G34,$I34,$C$3,$J34,$K34,$C$4)*R34</f>
        <v>0.63863549072124215</v>
      </c>
      <c r="W34" s="114"/>
      <c r="X34" s="115">
        <v>400</v>
      </c>
      <c r="Y34" s="6">
        <f t="shared" ref="Y34" si="66">X34*U34</f>
        <v>-252.96365511053409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43277</v>
      </c>
      <c r="F35" s="8">
        <f t="shared" ref="F35:F36" ca="1" si="67">E35+H35</f>
        <v>43459</v>
      </c>
      <c r="G35" s="11">
        <f>P35</f>
        <v>12275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1093.2427093024453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1093.2427093024453</v>
      </c>
      <c r="P35" s="11">
        <f>RTD("wdf.rtq",,D35,"LastPrice")</f>
        <v>12275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8.9062542509364184E-2</v>
      </c>
      <c r="U35" s="13">
        <f>_xll.dnetGBlackScholesNGreeks("delta",$Q35,$P35,$G35,$I35,$C$3,$J35,$K35,$C$4)*R35</f>
        <v>-0.45050720809740596</v>
      </c>
      <c r="V35" s="13">
        <f>_xll.dnetGBlackScholesNGreeks("vega",$Q35,$P35,$G35,$I35,$C$3,$J35,$K35,$C$4)*R35</f>
        <v>34.01864581503105</v>
      </c>
      <c r="W35" s="114"/>
      <c r="X35" s="115">
        <v>400</v>
      </c>
      <c r="Y35" s="6">
        <f t="shared" ref="Y35:Y36" si="73">X35*U35</f>
        <v>-180.20288323896239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43277</v>
      </c>
      <c r="F36" s="8">
        <f t="shared" ca="1" si="67"/>
        <v>43459</v>
      </c>
      <c r="G36" s="11">
        <f>P36</f>
        <v>12275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820.69454529994437</v>
      </c>
      <c r="M36" s="15">
        <v>0</v>
      </c>
      <c r="N36" s="13">
        <f t="shared" si="69"/>
        <v>0</v>
      </c>
      <c r="O36" s="13">
        <f t="shared" si="70"/>
        <v>820.69454529994437</v>
      </c>
      <c r="P36" s="11">
        <f>RTD("wdf.rtq",,D36,"LastPrice")</f>
        <v>12275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6.6859026093681828E-2</v>
      </c>
      <c r="U36" s="13">
        <f>_xll.dnetGBlackScholesNGreeks("delta",$Q36,$P36,$G36,$I36,$C$3,$J36,$K36,$C$4)*R36</f>
        <v>-0.46160896636138204</v>
      </c>
      <c r="V36" s="13">
        <f>_xll.dnetGBlackScholesNGreeks("vega",$Q36,$P36,$G36,$I36,$C$3,$J36,$K36,$C$4)*R36</f>
        <v>34.113769409462748</v>
      </c>
      <c r="W36" s="114"/>
      <c r="X36" s="115">
        <v>400</v>
      </c>
      <c r="Y36" s="6">
        <f t="shared" si="73"/>
        <v>-184.64358654455282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43277</v>
      </c>
      <c r="F38" s="8">
        <f t="shared" ref="F38" ca="1" si="74">E38+H38</f>
        <v>43323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43277</v>
      </c>
      <c r="F39" s="8">
        <f t="shared" ref="F39" ca="1" si="81">E39+H39</f>
        <v>43323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43277</v>
      </c>
      <c r="F41" s="8">
        <f t="shared" ref="F41" ca="1" si="88">E41+H41</f>
        <v>43307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43277</v>
      </c>
      <c r="F43" s="8">
        <f t="shared" ref="F43" ca="1" si="95">E43+H43</f>
        <v>43323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43277</v>
      </c>
      <c r="F45" s="8">
        <f t="shared" ref="F45" ca="1" si="101">E45+H45</f>
        <v>43307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43277</v>
      </c>
      <c r="F47" s="8">
        <f t="shared" ref="F47" ca="1" si="106">E47+H47</f>
        <v>43308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69.547750031282703</v>
      </c>
      <c r="M47" s="15">
        <v>30</v>
      </c>
      <c r="N47" s="13">
        <f t="shared" ref="N47" si="108">M47/10000*I47*P47</f>
        <v>0.78425753424657541</v>
      </c>
      <c r="O47" s="13">
        <f t="shared" ref="O47" si="109">IF(L47&lt;=0,ABS(L47)+N47,L47-N47)</f>
        <v>68.763492497036125</v>
      </c>
      <c r="P47" s="120">
        <f>RTD("wdf.rtq",,D47,"LastPrice")</f>
        <v>3078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2.2340315950953905E-2</v>
      </c>
      <c r="U47" s="13">
        <f>_xll.dnetGBlackScholesNGreeks("delta",$Q47,$P47,$G47,$I47,$C$3,$J47,$K47,$C$4)*R47</f>
        <v>0.51044896108578541</v>
      </c>
      <c r="V47" s="13">
        <f>_xll.dnetGBlackScholesNGreeks("vega",$Q47,$P47,$G47,$I47,$C$3,$J47,$K47,$C$4)*R47</f>
        <v>3.5710872027815412</v>
      </c>
      <c r="W47" s="114"/>
      <c r="X47" s="115">
        <v>500</v>
      </c>
      <c r="Y47" s="6">
        <f>X47*U47</f>
        <v>255.22448054289271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43277</v>
      </c>
      <c r="F48" s="8">
        <f t="shared" ref="F48" ca="1" si="112">E48+H48</f>
        <v>43308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43277</v>
      </c>
      <c r="F50" s="8">
        <f t="shared" ref="F50:F52" ca="1" si="118">E50+H50</f>
        <v>43307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3.5741067197728285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3.5741067197728285</v>
      </c>
      <c r="P50" s="11">
        <f>RTD("wdf.rtq",,D50,"LastPrice")</f>
        <v>3673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9.7307561115513985E-4</v>
      </c>
      <c r="U50" s="13">
        <f>_xll.dnetGBlackScholesNGreeks("delta",$Q50,$P50,$G50,$I50,$C$3,$J50,$K50,$C$4)*R50</f>
        <v>-3.8455065494247265E-2</v>
      </c>
      <c r="V50" s="13">
        <f>_xll.dnetGBlackScholesNGreeks("vega",$Q50,$P50,$G50,$I50,$C$3,$J50,$K50,$C$4)*R50</f>
        <v>0.87854699164461181</v>
      </c>
      <c r="W50" s="114"/>
      <c r="X50" s="115">
        <v>500</v>
      </c>
      <c r="Y50" s="6">
        <f>X50*U50</f>
        <v>-19.227532747123632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43277</v>
      </c>
      <c r="F51" s="8">
        <f t="shared" ca="1" si="118"/>
        <v>43307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10.928492139407581</v>
      </c>
      <c r="M51" s="15"/>
      <c r="N51" s="13">
        <f t="shared" si="120"/>
        <v>0</v>
      </c>
      <c r="O51" s="13">
        <f t="shared" si="121"/>
        <v>10.928492139407581</v>
      </c>
      <c r="P51" s="11">
        <f>RTD("wdf.rtq",,D51,"LastPrice")</f>
        <v>3673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2.9753586004376753E-3</v>
      </c>
      <c r="U51" s="13">
        <f>_xll.dnetGBlackScholesNGreeks("delta",$Q51,$P51,$G51,$I51,$C$3,$J51,$K51,$C$4)*R51</f>
        <v>-9.9438464047807429E-2</v>
      </c>
      <c r="V51" s="13">
        <f>_xll.dnetGBlackScholesNGreeks("vega",$Q51,$P51,$G51,$I51,$C$3,$J51,$K51,$C$4)*R51</f>
        <v>1.8381348899900445</v>
      </c>
      <c r="W51" s="114"/>
      <c r="X51" s="115">
        <v>500</v>
      </c>
      <c r="Y51" s="6">
        <f>X51*U51</f>
        <v>-49.719232023903714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43277</v>
      </c>
      <c r="F52" s="8">
        <f t="shared" ca="1" si="118"/>
        <v>43307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27.332138875349756</v>
      </c>
      <c r="M52" s="15"/>
      <c r="N52" s="13">
        <f t="shared" si="120"/>
        <v>0</v>
      </c>
      <c r="O52" s="13">
        <f t="shared" si="121"/>
        <v>27.332138875349756</v>
      </c>
      <c r="P52" s="11">
        <f>RTD("wdf.rtq",,D52,"LastPrice")</f>
        <v>3673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7.441366423999389E-3</v>
      </c>
      <c r="U52" s="13">
        <f>_xll.dnetGBlackScholesNGreeks("delta",$Q52,$P52,$G52,$I52,$C$3,$J52,$K52,$C$4)*R52</f>
        <v>-0.20761268997375737</v>
      </c>
      <c r="V52" s="13">
        <f>_xll.dnetGBlackScholesNGreeks("vega",$Q52,$P52,$G52,$I52,$C$3,$J52,$K52,$C$4)*R52</f>
        <v>3.0108097609834203</v>
      </c>
      <c r="W52" s="114"/>
      <c r="X52" s="115">
        <v>500</v>
      </c>
      <c r="Y52" s="6">
        <f>X52*U52</f>
        <v>-103.80634498687868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43277</v>
      </c>
      <c r="F53" s="8">
        <f t="shared" ref="F53:F55" ca="1" si="124">E53+H53</f>
        <v>43367</v>
      </c>
      <c r="G53" s="120">
        <v>3100</v>
      </c>
      <c r="H53" s="10">
        <v>90</v>
      </c>
      <c r="I53" s="12">
        <f t="shared" ref="I53:I55" si="125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9.5159181737344625</v>
      </c>
      <c r="M53" s="15"/>
      <c r="N53" s="13">
        <f t="shared" ref="N53:N55" si="126">M53/10000*I53*P53</f>
        <v>0</v>
      </c>
      <c r="O53" s="13">
        <f t="shared" ref="O53:O55" si="127">IF(L53&lt;=0,ABS(L53)+N53,L53-N53)</f>
        <v>9.5159181737344625</v>
      </c>
      <c r="P53" s="11">
        <f>RTD("wdf.rtq",,D53,"LastPrice")</f>
        <v>3673</v>
      </c>
      <c r="Q53" s="10" t="s">
        <v>85</v>
      </c>
      <c r="R53" s="10">
        <f t="shared" ref="R53:R55" si="128">IF(S53="中金买入",1,-1)</f>
        <v>1</v>
      </c>
      <c r="S53" s="10" t="s">
        <v>151</v>
      </c>
      <c r="T53" s="14">
        <f t="shared" ref="T53:T55" si="129">O53/P53</f>
        <v>2.5907754352666656E-3</v>
      </c>
      <c r="U53" s="13">
        <f>_xll.dnetGBlackScholesNGreeks("delta",$Q53,$P53,$G53,$I53,$C$3,$J53,$K53,$C$4)*R53</f>
        <v>-5.3742717236104909E-2</v>
      </c>
      <c r="V53" s="13">
        <f>_xll.dnetGBlackScholesNGreeks("vega",$Q53,$P53,$G53,$I53,$C$3,$J53,$K53,$C$4)*R53</f>
        <v>1.9891101865619589</v>
      </c>
      <c r="W53" s="114"/>
      <c r="X53" s="115">
        <v>500</v>
      </c>
      <c r="Y53" s="6">
        <f>X53*U53</f>
        <v>-26.871358618052454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43277</v>
      </c>
      <c r="F54" s="8">
        <f t="shared" ca="1" si="124"/>
        <v>43367</v>
      </c>
      <c r="G54" s="120">
        <v>3300</v>
      </c>
      <c r="H54" s="10">
        <v>90</v>
      </c>
      <c r="I54" s="12">
        <f t="shared" si="125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32.70495968889611</v>
      </c>
      <c r="M54" s="15"/>
      <c r="N54" s="13">
        <f t="shared" si="126"/>
        <v>0</v>
      </c>
      <c r="O54" s="13">
        <f t="shared" si="127"/>
        <v>32.70495968889611</v>
      </c>
      <c r="P54" s="11">
        <f>RTD("wdf.rtq",,D54,"LastPrice")</f>
        <v>3673</v>
      </c>
      <c r="Q54" s="10" t="s">
        <v>85</v>
      </c>
      <c r="R54" s="10">
        <f t="shared" si="128"/>
        <v>1</v>
      </c>
      <c r="S54" s="10" t="s">
        <v>151</v>
      </c>
      <c r="T54" s="14">
        <f t="shared" si="129"/>
        <v>8.9041545572818154E-3</v>
      </c>
      <c r="U54" s="13">
        <f>_xll.dnetGBlackScholesNGreeks("delta",$Q54,$P54,$G54,$I54,$C$3,$J54,$K54,$C$4)*R54</f>
        <v>-0.14962488633045723</v>
      </c>
      <c r="V54" s="13">
        <f>_xll.dnetGBlackScholesNGreeks("vega",$Q54,$P54,$G54,$I54,$C$3,$J54,$K54,$C$4)*R54</f>
        <v>4.2355913155915346</v>
      </c>
      <c r="W54" s="114"/>
      <c r="X54" s="115">
        <v>500</v>
      </c>
      <c r="Y54" s="6">
        <f>X54*U54</f>
        <v>-74.812443165228615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43277</v>
      </c>
      <c r="F55" s="8">
        <f t="shared" ca="1" si="124"/>
        <v>43367</v>
      </c>
      <c r="G55" s="120">
        <v>3500</v>
      </c>
      <c r="H55" s="10">
        <v>90</v>
      </c>
      <c r="I55" s="12">
        <f t="shared" si="125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84.286696973735388</v>
      </c>
      <c r="M55" s="15"/>
      <c r="N55" s="13">
        <f t="shared" si="126"/>
        <v>0</v>
      </c>
      <c r="O55" s="13">
        <f t="shared" si="127"/>
        <v>84.286696973735388</v>
      </c>
      <c r="P55" s="11">
        <f>RTD("wdf.rtq",,D55,"LastPrice")</f>
        <v>3673</v>
      </c>
      <c r="Q55" s="10" t="s">
        <v>85</v>
      </c>
      <c r="R55" s="10">
        <f t="shared" si="128"/>
        <v>1</v>
      </c>
      <c r="S55" s="10" t="s">
        <v>151</v>
      </c>
      <c r="T55" s="14">
        <f t="shared" si="129"/>
        <v>2.2947644152936396E-2</v>
      </c>
      <c r="U55" s="13">
        <f>_xll.dnetGBlackScholesNGreeks("delta",$Q55,$P55,$G55,$I55,$C$3,$J55,$K55,$C$4)*R55</f>
        <v>-0.30833278796080776</v>
      </c>
      <c r="V55" s="13">
        <f>_xll.dnetGBlackScholesNGreeks("vega",$Q55,$P55,$G55,$I55,$C$3,$J55,$K55,$C$4)*R55</f>
        <v>6.4003653769055973</v>
      </c>
      <c r="W55" s="114"/>
      <c r="X55" s="115">
        <v>500</v>
      </c>
      <c r="Y55" s="6">
        <f>X55*U55</f>
        <v>-154.16639398040388</v>
      </c>
    </row>
    <row r="56" spans="1:25" x14ac:dyDescent="0.15">
      <c r="K56" s="6" t="s">
        <v>281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4"/>
  <sheetViews>
    <sheetView topLeftCell="A10" zoomScale="85" zoomScaleNormal="85" workbookViewId="0">
      <selection activeCell="G42" sqref="G4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7" t="s">
        <v>37</v>
      </c>
      <c r="C1" s="146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43277</v>
      </c>
      <c r="F8" s="46">
        <f ca="1">E8+H8</f>
        <v>43307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43277</v>
      </c>
      <c r="F9" s="54">
        <f ca="1">F8</f>
        <v>43307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43277</v>
      </c>
      <c r="F10" s="62">
        <f ca="1">F9</f>
        <v>43307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43277</v>
      </c>
      <c r="F11" s="46">
        <f ca="1">E11+H11</f>
        <v>43292</v>
      </c>
      <c r="G11" s="113">
        <f>P11-20</f>
        <v>440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-3.7046073818564054</v>
      </c>
      <c r="M11" s="49"/>
      <c r="N11" s="43"/>
      <c r="O11" s="43">
        <f t="shared" ref="O11:O13" si="1">IF(L11&lt;=0,ABS(L11)+N11,L11-N11)</f>
        <v>3.7046073818564054</v>
      </c>
      <c r="P11" s="110">
        <f>RTD("wdf.rtq",,D11,"LastPrice")</f>
        <v>460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0.22304779784505513</v>
      </c>
      <c r="V11" s="43">
        <f>_xll.dnetGBlackScholesNGreeks("vega",$Q11,$P11,$G11,$I11,$C$3,$J11,$K11,$C$4)*R11</f>
        <v>-0.2781260611521148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43277</v>
      </c>
      <c r="F12" s="54">
        <f t="shared" ca="1" si="2"/>
        <v>43292</v>
      </c>
      <c r="G12" s="52">
        <f>G11+50</f>
        <v>490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2.0108998856242408</v>
      </c>
      <c r="M12" s="57"/>
      <c r="N12" s="51"/>
      <c r="O12" s="51">
        <f t="shared" si="1"/>
        <v>2.0108998856242408</v>
      </c>
      <c r="P12" s="94">
        <f>P11</f>
        <v>460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0.14782644297497427</v>
      </c>
      <c r="V12" s="51">
        <f>_xll.dnetGBlackScholesNGreeks("vega",$Q12,$P12,$G12,$I12,$C$3,$J12,$K12,$C$4)*R12</f>
        <v>0.21516495078909159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43277</v>
      </c>
      <c r="F13" s="62">
        <f t="shared" ca="1" si="3"/>
        <v>43292</v>
      </c>
      <c r="G13" s="60" t="str">
        <f>G11 &amp; "|" &amp; G12</f>
        <v>440|490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-1.6937074962321645</v>
      </c>
      <c r="M13" s="60">
        <v>0</v>
      </c>
      <c r="N13" s="59">
        <f>M13/10000*I13*P13</f>
        <v>0</v>
      </c>
      <c r="O13" s="59">
        <f t="shared" si="1"/>
        <v>1.6937074962321645</v>
      </c>
      <c r="P13" s="111">
        <f>P12</f>
        <v>460</v>
      </c>
      <c r="Q13" s="60"/>
      <c r="R13" s="60"/>
      <c r="S13" s="56" t="s">
        <v>151</v>
      </c>
      <c r="T13" s="64">
        <f>O13/P13</f>
        <v>3.68197281789601E-3</v>
      </c>
      <c r="U13" s="64">
        <f>U12+U11</f>
        <v>0.3708742408200294</v>
      </c>
      <c r="V13" s="64">
        <f>V12+V11</f>
        <v>-6.2961110363023209E-2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43277</v>
      </c>
      <c r="F14" s="46">
        <f ca="1">E14+H14</f>
        <v>43368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-322.10419747403057</v>
      </c>
      <c r="M14" s="49"/>
      <c r="N14" s="43"/>
      <c r="O14" s="43">
        <f t="shared" ref="O14:O16" si="4">IF(L14&lt;=0,ABS(L14)+N14,L14-N14)</f>
        <v>322.10419747403057</v>
      </c>
      <c r="P14" s="110">
        <f>RTD("wdf.rtq",,D14,"LastPrice")</f>
        <v>3673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-0.66497974403318949</v>
      </c>
      <c r="V14" s="43">
        <f>_xll.dnetGBlackScholesNGreeks("vega",$Q14,$P14,$G14,$I14,$C$3,$J14,$K14,$C$4)*R14</f>
        <v>-6.6217869814586265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43277</v>
      </c>
      <c r="F15" s="54">
        <f t="shared" ca="1" si="5"/>
        <v>43368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57.001003600006925</v>
      </c>
      <c r="M15" s="57"/>
      <c r="N15" s="51"/>
      <c r="O15" s="51">
        <f t="shared" si="4"/>
        <v>57.001003600006925</v>
      </c>
      <c r="P15" s="94">
        <f>P14</f>
        <v>3673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-0.18866605765879285</v>
      </c>
      <c r="V15" s="51">
        <f>_xll.dnetGBlackScholesNGreeks("vega",$Q15,$P15,$G15,$I15,$C$3,$J15,$K15,$C$4)*R15</f>
        <v>4.9441431488494914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43277</v>
      </c>
      <c r="F16" s="62">
        <f t="shared" ca="1" si="6"/>
        <v>43368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-265.10319387402365</v>
      </c>
      <c r="M16" s="60">
        <v>0</v>
      </c>
      <c r="N16" s="59">
        <f>M16/10000*I16*P16</f>
        <v>0</v>
      </c>
      <c r="O16" s="59">
        <f t="shared" si="4"/>
        <v>265.10319387402365</v>
      </c>
      <c r="P16" s="111">
        <f>P15</f>
        <v>3673</v>
      </c>
      <c r="Q16" s="60"/>
      <c r="R16" s="60"/>
      <c r="S16" s="56" t="s">
        <v>151</v>
      </c>
      <c r="T16" s="64">
        <f>O16/P16</f>
        <v>7.2176203069431982E-2</v>
      </c>
      <c r="U16" s="64">
        <f>U15+U14</f>
        <v>-0.85364580169198234</v>
      </c>
      <c r="V16" s="64">
        <f>V15+V14</f>
        <v>-1.6776438326091352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43277</v>
      </c>
      <c r="F18" s="46">
        <f ca="1">E18+H18</f>
        <v>43308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28.780528890084611</v>
      </c>
      <c r="M18" s="49"/>
      <c r="N18" s="43"/>
      <c r="O18" s="43">
        <f t="shared" ref="O18:O20" si="7">IF(L18&lt;=0,ABS(L18)+N18,L18-N18)</f>
        <v>28.780528890084611</v>
      </c>
      <c r="P18" s="110">
        <f>RTD("wdf.rtq",,D18,"LastPrice")</f>
        <v>3068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-0.30661097700885875</v>
      </c>
      <c r="V18" s="43">
        <f>_xll.dnetGBlackScholesNGreeks("vega",$Q18,$P18,$G18,$I18,$C$3,$J18,$K18,$C$4)*R18</f>
        <v>3.1348914547416484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43277</v>
      </c>
      <c r="F19" s="54">
        <f t="shared" ca="1" si="8"/>
        <v>43308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-7.9934999758708045</v>
      </c>
      <c r="M19" s="57"/>
      <c r="N19" s="51"/>
      <c r="O19" s="51">
        <f t="shared" si="7"/>
        <v>7.9934999758708045</v>
      </c>
      <c r="P19" s="94">
        <f>P18</f>
        <v>3068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-0.10592347659326151</v>
      </c>
      <c r="V19" s="51">
        <f>_xll.dnetGBlackScholesNGreeks("vega",$Q19,$P19,$G19,$I19,$C$3,$J19,$K19,$C$4)*R19</f>
        <v>-1.6334869208621399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43277</v>
      </c>
      <c r="F20" s="62">
        <f t="shared" ca="1" si="9"/>
        <v>43308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20.787028914213806</v>
      </c>
      <c r="M20" s="60">
        <v>0</v>
      </c>
      <c r="N20" s="59">
        <f>M20/10000*I20*P20</f>
        <v>0</v>
      </c>
      <c r="O20" s="59">
        <f t="shared" si="7"/>
        <v>20.787028914213806</v>
      </c>
      <c r="P20" s="111">
        <f>P19</f>
        <v>3068</v>
      </c>
      <c r="Q20" s="60"/>
      <c r="R20" s="60"/>
      <c r="S20" s="56"/>
      <c r="T20" s="64">
        <f>O20/P20</f>
        <v>6.7754331532639527E-3</v>
      </c>
      <c r="U20" s="64">
        <f>U19+U18</f>
        <v>-0.41253445360212027</v>
      </c>
      <c r="V20" s="64">
        <f>V19+V18</f>
        <v>1.5014045338795086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43277</v>
      </c>
      <c r="F21" s="46">
        <f ca="1">E21+H21</f>
        <v>43369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66.622835914211464</v>
      </c>
      <c r="M21" s="49"/>
      <c r="N21" s="43"/>
      <c r="O21" s="43">
        <f t="shared" ref="O21:O23" si="10">IF(L21&lt;=0,ABS(L21)+N21,L21-N21)</f>
        <v>66.622835914211464</v>
      </c>
      <c r="P21" s="110">
        <f>RTD("wdf.rtq",,D21,"LastPrice")</f>
        <v>3068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-0.37290674807763935</v>
      </c>
      <c r="V21" s="43">
        <f>_xll.dnetGBlackScholesNGreeks("vega",$Q21,$P21,$G21,$I21,$C$3,$J21,$K21,$C$4)*R21</f>
        <v>5.8094509497542504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43277</v>
      </c>
      <c r="F22" s="54">
        <f t="shared" ca="1" si="11"/>
        <v>43369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-38.081414106601528</v>
      </c>
      <c r="M22" s="57"/>
      <c r="N22" s="51"/>
      <c r="O22" s="51">
        <f t="shared" si="10"/>
        <v>38.081414106601528</v>
      </c>
      <c r="P22" s="94">
        <f>P21</f>
        <v>3068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-0.24255251715885606</v>
      </c>
      <c r="V22" s="51">
        <f>_xll.dnetGBlackScholesNGreeks("vega",$Q22,$P22,$G22,$I22,$C$3,$J22,$K22,$C$4)*R22</f>
        <v>-4.8014914882163566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43277</v>
      </c>
      <c r="F23" s="62">
        <f t="shared" ca="1" si="12"/>
        <v>43369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28.541421807609936</v>
      </c>
      <c r="M23" s="60">
        <v>0</v>
      </c>
      <c r="N23" s="59">
        <f>M23/10000*I23*P23</f>
        <v>0</v>
      </c>
      <c r="O23" s="59">
        <f t="shared" si="10"/>
        <v>28.541421807609936</v>
      </c>
      <c r="P23" s="111">
        <f>P22</f>
        <v>3068</v>
      </c>
      <c r="Q23" s="60"/>
      <c r="R23" s="60"/>
      <c r="S23" s="56"/>
      <c r="T23" s="64">
        <f>O23/P23</f>
        <v>9.302940615257476E-3</v>
      </c>
      <c r="U23" s="64">
        <f>U22+U21</f>
        <v>-0.61545926523649541</v>
      </c>
      <c r="V23" s="64">
        <f>V22+V21</f>
        <v>1.0079594615378937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43277</v>
      </c>
      <c r="F26" s="46">
        <f ca="1">E26+H26</f>
        <v>43307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39.977772526084436</v>
      </c>
      <c r="M26" s="49"/>
      <c r="N26" s="43"/>
      <c r="O26" s="43">
        <f t="shared" ref="O26:O31" si="13">IF(L26&lt;=0,ABS(L26)+N26,L26-N26)</f>
        <v>39.977772526084436</v>
      </c>
      <c r="P26" s="110">
        <f>RTD("wdf.rtq",,D26,"LastPrice")</f>
        <v>3673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-0.24266049383072641</v>
      </c>
      <c r="V26" s="43">
        <f>_xll.dnetGBlackScholesNGreeks("vega",$Q26,$P26,$G26,$I26,$C$3,$J26,$K26,$C$4)*R26</f>
        <v>3.289785126705226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43277</v>
      </c>
      <c r="F27" s="54">
        <f t="shared" ca="1" si="14"/>
        <v>43307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-41.61199982733865</v>
      </c>
      <c r="M27" s="57"/>
      <c r="N27" s="51"/>
      <c r="O27" s="51">
        <f t="shared" si="13"/>
        <v>41.61199982733865</v>
      </c>
      <c r="P27" s="94">
        <f>RTD("wdf.rtq",,D27,"LastPrice")</f>
        <v>3673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-0.24372749700773966</v>
      </c>
      <c r="V27" s="51">
        <f>_xll.dnetGBlackScholesNGreeks("vega",$Q27,$P27,$G27,$I27,$C$3,$J27,$K27,$C$4)*R27</f>
        <v>-3.2976363238268505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43277</v>
      </c>
      <c r="F28" s="62">
        <f t="shared" ca="1" si="15"/>
        <v>43307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-1.6342273012542137</v>
      </c>
      <c r="M28" s="60">
        <v>0</v>
      </c>
      <c r="N28" s="59">
        <f>M28/10000*I28*P28</f>
        <v>0</v>
      </c>
      <c r="O28" s="59">
        <f t="shared" si="13"/>
        <v>1.6342273012542137</v>
      </c>
      <c r="P28" s="111">
        <f>RTD("wdf.rtq",,D28,"LastPrice")</f>
        <v>3673</v>
      </c>
      <c r="Q28" s="60"/>
      <c r="R28" s="60"/>
      <c r="S28" s="56"/>
      <c r="T28" s="64">
        <f>O28/P28</f>
        <v>4.4492983970983221E-4</v>
      </c>
      <c r="U28" s="64">
        <f>U27+U26</f>
        <v>-0.48638799083846607</v>
      </c>
      <c r="V28" s="64">
        <f>V27+V26</f>
        <v>-7.8511971216244092E-3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43277</v>
      </c>
      <c r="F29" s="46">
        <f ca="1">E29+H29</f>
        <v>43307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19.26812104542438</v>
      </c>
      <c r="M29" s="49"/>
      <c r="N29" s="43"/>
      <c r="O29" s="43">
        <f t="shared" si="13"/>
        <v>19.26812104542438</v>
      </c>
      <c r="P29" s="110">
        <f>RTD("wdf.rtq",,D29,"LastPrice")</f>
        <v>3673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-0.13697009164843621</v>
      </c>
      <c r="V29" s="43">
        <f>_xll.dnetGBlackScholesNGreeks("vega",$Q29,$P29,$G29,$I29,$C$3,$J29,$K29,$C$4)*R29</f>
        <v>2.3066346118096703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43277</v>
      </c>
      <c r="F30" s="54">
        <f t="shared" ca="1" si="16"/>
        <v>43307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-68.530497548172434</v>
      </c>
      <c r="M30" s="57"/>
      <c r="N30" s="51"/>
      <c r="O30" s="51">
        <f t="shared" si="13"/>
        <v>68.530497548172434</v>
      </c>
      <c r="P30" s="94">
        <f>RTD("wdf.rtq",,D30,"LastPrice")</f>
        <v>3673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-0.35318466433409412</v>
      </c>
      <c r="V30" s="51">
        <f>_xll.dnetGBlackScholesNGreeks("vega",$Q30,$P30,$G30,$I30,$C$3,$J30,$K30,$C$4)*R30</f>
        <v>-3.9086144972700367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43277</v>
      </c>
      <c r="F31" s="62">
        <f t="shared" ca="1" si="17"/>
        <v>43307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-49.262376502748054</v>
      </c>
      <c r="M31" s="60">
        <v>0</v>
      </c>
      <c r="N31" s="59">
        <f>M31/10000*I31*P31</f>
        <v>0</v>
      </c>
      <c r="O31" s="59">
        <f t="shared" si="13"/>
        <v>49.262376502748054</v>
      </c>
      <c r="P31" s="111">
        <f>RTD("wdf.rtq",,D31,"LastPrice")</f>
        <v>3673</v>
      </c>
      <c r="Q31" s="60"/>
      <c r="R31" s="60"/>
      <c r="S31" s="56"/>
      <c r="T31" s="64">
        <f>O31/P31</f>
        <v>1.3412027362577744E-2</v>
      </c>
      <c r="U31" s="64">
        <f>U30+U29</f>
        <v>-0.49015475598253033</v>
      </c>
      <c r="V31" s="64">
        <f>V30+V29</f>
        <v>-1.6019798854603664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43277</v>
      </c>
      <c r="F32" s="46">
        <f ca="1">E32+H32</f>
        <v>43307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8.0612712426960229</v>
      </c>
      <c r="M32" s="49"/>
      <c r="N32" s="43"/>
      <c r="O32" s="43">
        <f t="shared" ref="O32:O34" si="18">IF(L32&lt;=0,ABS(L32)+N32,L32-N32)</f>
        <v>8.0612712426960229</v>
      </c>
      <c r="P32" s="110">
        <f>RTD("wdf.rtq",,D32,"LastPrice")</f>
        <v>3673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-6.652216255673693E-2</v>
      </c>
      <c r="V32" s="43">
        <f>_xll.dnetGBlackScholesNGreeks("vega",$Q32,$P32,$G32,$I32,$C$3,$J32,$K32,$C$4)*R32</f>
        <v>1.358191791416786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43277</v>
      </c>
      <c r="F33" s="54">
        <f t="shared" ca="1" si="19"/>
        <v>43307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-23.936164217394889</v>
      </c>
      <c r="M33" s="57"/>
      <c r="N33" s="51"/>
      <c r="O33" s="51">
        <f t="shared" si="18"/>
        <v>23.936164217394889</v>
      </c>
      <c r="P33" s="94">
        <f>RTD("wdf.rtq",,D33,"LastPrice")</f>
        <v>3673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-0.15768429973945786</v>
      </c>
      <c r="V33" s="51">
        <f>_xll.dnetGBlackScholesNGreeks("vega",$Q33,$P33,$G33,$I33,$C$3,$J33,$K33,$C$4)*R33</f>
        <v>-2.5352290564575242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43277</v>
      </c>
      <c r="F34" s="62">
        <f t="shared" ca="1" si="20"/>
        <v>43307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-15.874892974698867</v>
      </c>
      <c r="M34" s="60">
        <v>50</v>
      </c>
      <c r="N34" s="59">
        <f>M34/10000*I34*P34</f>
        <v>1.5094520547945205</v>
      </c>
      <c r="O34" s="59">
        <f t="shared" si="18"/>
        <v>17.384345029493389</v>
      </c>
      <c r="P34" s="111">
        <f>RTD("wdf.rtq",,D34,"LastPrice")</f>
        <v>3673</v>
      </c>
      <c r="Q34" s="60"/>
      <c r="R34" s="60"/>
      <c r="S34" s="56"/>
      <c r="T34" s="64">
        <f>O34/P34</f>
        <v>4.7330098092821637E-3</v>
      </c>
      <c r="U34" s="64">
        <f>U33+U32</f>
        <v>-0.22420646229619479</v>
      </c>
      <c r="V34" s="64">
        <f>V33+V32</f>
        <v>-1.1770372650407381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192</v>
      </c>
      <c r="E36" s="46">
        <f ca="1">TODAY()</f>
        <v>43277</v>
      </c>
      <c r="F36" s="46">
        <f ca="1">E36+H36</f>
        <v>43367</v>
      </c>
      <c r="G36" s="118">
        <v>3500</v>
      </c>
      <c r="H36" s="44">
        <v>90</v>
      </c>
      <c r="I36" s="47">
        <f>H36/365</f>
        <v>0.24657534246575341</v>
      </c>
      <c r="J36" s="47">
        <v>0</v>
      </c>
      <c r="K36" s="48">
        <f>K37-0.03</f>
        <v>0.25</v>
      </c>
      <c r="L36" s="43">
        <f>_xll.dnetGBlackScholesNGreeks("price",$Q36,$P36,$G36,$I36,$C$3,$J36,$K36,$C$4)*R36</f>
        <v>103.71374941948511</v>
      </c>
      <c r="M36" s="49"/>
      <c r="N36" s="43"/>
      <c r="O36" s="43">
        <f t="shared" ref="O36:O44" si="21">IF(L36&lt;=0,ABS(L36)+N36,L36-N36)</f>
        <v>103.71374941948511</v>
      </c>
      <c r="P36" s="110">
        <f>RTD("wdf.rtq",,D36,"LastPrice")</f>
        <v>3673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-0.32449583535480997</v>
      </c>
      <c r="V36" s="43">
        <f>_xll.dnetGBlackScholesNGreeks("vega",$Q36,$P36,$G36,$I36,$C$3,$J36,$K36,$C$4)*R36</f>
        <v>6.540377738383313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tr">
        <f>D36</f>
        <v>rb1810</v>
      </c>
      <c r="E37" s="54">
        <f t="shared" ref="E37:F37" ca="1" si="22">E36</f>
        <v>43277</v>
      </c>
      <c r="F37" s="54">
        <f t="shared" ca="1" si="22"/>
        <v>43367</v>
      </c>
      <c r="G37" s="119">
        <v>3900</v>
      </c>
      <c r="H37" s="52">
        <f>H36</f>
        <v>90</v>
      </c>
      <c r="I37" s="55">
        <f>H37/365</f>
        <v>0.24657534246575341</v>
      </c>
      <c r="J37" s="55">
        <f>J36</f>
        <v>0</v>
      </c>
      <c r="K37" s="56">
        <v>0.28000000000000003</v>
      </c>
      <c r="L37" s="51">
        <f>_xll.dnetGBlackScholesNGreeks("price",$Q37,$P37,$G37,$I37,$C$3,$J37,$K37,$C$4)*R37</f>
        <v>-114.97676972332761</v>
      </c>
      <c r="M37" s="57"/>
      <c r="N37" s="51"/>
      <c r="O37" s="51">
        <f t="shared" si="21"/>
        <v>114.97676972332761</v>
      </c>
      <c r="P37" s="94">
        <f>RTD("wdf.rtq",,D37,"LastPrice")</f>
        <v>3673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-0.3569908383838083</v>
      </c>
      <c r="V37" s="51">
        <f>_xll.dnetGBlackScholesNGreeks("vega",$Q37,$P37,$G37,$I37,$C$3,$J37,$K37,$C$4)*R37</f>
        <v>-6.7809847412783029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tr">
        <f>D37</f>
        <v>rb1810</v>
      </c>
      <c r="E38" s="62">
        <f t="shared" ref="E38:F38" ca="1" si="23">E37</f>
        <v>43277</v>
      </c>
      <c r="F38" s="62">
        <f t="shared" ca="1" si="23"/>
        <v>43367</v>
      </c>
      <c r="G38" s="60" t="str">
        <f>G36 &amp; "|" &amp; G37</f>
        <v>3500|3900</v>
      </c>
      <c r="H38" s="60">
        <f>H37</f>
        <v>90</v>
      </c>
      <c r="I38" s="63">
        <f>I37</f>
        <v>0.24657534246575341</v>
      </c>
      <c r="J38" s="63"/>
      <c r="K38" s="60"/>
      <c r="L38" s="59">
        <f>L37+L36</f>
        <v>-11.263020303842495</v>
      </c>
      <c r="M38" s="60">
        <v>0</v>
      </c>
      <c r="N38" s="59">
        <f>M38/10000*I38*P38</f>
        <v>0</v>
      </c>
      <c r="O38" s="59">
        <f t="shared" si="21"/>
        <v>11.263020303842495</v>
      </c>
      <c r="P38" s="111">
        <f>RTD("wdf.rtq",,D38,"LastPrice")</f>
        <v>3673</v>
      </c>
      <c r="Q38" s="60"/>
      <c r="R38" s="60"/>
      <c r="S38" s="56"/>
      <c r="T38" s="64">
        <f>O38/P38</f>
        <v>3.0664362384542595E-3</v>
      </c>
      <c r="U38" s="64">
        <f>U37+U36</f>
        <v>-0.68148667373861826</v>
      </c>
      <c r="V38" s="64">
        <f>V37+V36</f>
        <v>-0.24060700289498982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192</v>
      </c>
      <c r="E39" s="46">
        <f ca="1">TODAY()</f>
        <v>43277</v>
      </c>
      <c r="F39" s="46">
        <f ca="1">E39+H39</f>
        <v>43367</v>
      </c>
      <c r="G39" s="118">
        <v>3400</v>
      </c>
      <c r="H39" s="44">
        <v>90</v>
      </c>
      <c r="I39" s="47">
        <f>H39/365</f>
        <v>0.24657534246575341</v>
      </c>
      <c r="J39" s="47">
        <v>0</v>
      </c>
      <c r="K39" s="48">
        <f>K40-0.03</f>
        <v>0.255</v>
      </c>
      <c r="L39" s="43">
        <f>_xll.dnetGBlackScholesNGreeks("price",$Q39,$P39,$G39,$I39,$C$3,$J39,$K39,$C$4)*R39</f>
        <v>73.817780560299866</v>
      </c>
      <c r="M39" s="49"/>
      <c r="N39" s="43"/>
      <c r="O39" s="43">
        <f t="shared" si="21"/>
        <v>73.817780560299866</v>
      </c>
      <c r="P39" s="110">
        <f>RTD("wdf.rtq",,D39,"LastPrice")</f>
        <v>3673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-0.24916057471955355</v>
      </c>
      <c r="V39" s="43">
        <f>_xll.dnetGBlackScholesNGreeks("vega",$Q39,$P39,$G39,$I39,$C$3,$J39,$K39,$C$4)*R39</f>
        <v>5.7706848158121602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tr">
        <f>D39</f>
        <v>rb1810</v>
      </c>
      <c r="E40" s="54">
        <f t="shared" ref="E40:F40" ca="1" si="24">E39</f>
        <v>43277</v>
      </c>
      <c r="F40" s="54">
        <f t="shared" ca="1" si="24"/>
        <v>43367</v>
      </c>
      <c r="G40" s="119">
        <v>3800</v>
      </c>
      <c r="H40" s="52">
        <f>H39</f>
        <v>90</v>
      </c>
      <c r="I40" s="55">
        <f>H40/365</f>
        <v>0.24657534246575341</v>
      </c>
      <c r="J40" s="55">
        <f>J39</f>
        <v>0</v>
      </c>
      <c r="K40" s="56">
        <v>0.28499999999999998</v>
      </c>
      <c r="L40" s="51">
        <f>_xll.dnetGBlackScholesNGreeks("price",$Q40,$P40,$G40,$I40,$C$3,$J40,$K40,$C$4)*R40</f>
        <v>-152.56763094874646</v>
      </c>
      <c r="M40" s="57"/>
      <c r="N40" s="51"/>
      <c r="O40" s="51">
        <f t="shared" si="21"/>
        <v>152.56763094874646</v>
      </c>
      <c r="P40" s="94">
        <f>RTD("wdf.rtq",,D40,"LastPrice")</f>
        <v>3673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-0.43059929236051175</v>
      </c>
      <c r="V40" s="51">
        <f>_xll.dnetGBlackScholesNGreeks("vega",$Q40,$P40,$G40,$I40,$C$3,$J40,$K40,$C$4)*R40</f>
        <v>-7.1369834180005682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tr">
        <f>D40</f>
        <v>rb1810</v>
      </c>
      <c r="E41" s="62">
        <f t="shared" ref="E41:F41" ca="1" si="25">E40</f>
        <v>43277</v>
      </c>
      <c r="F41" s="62">
        <f t="shared" ca="1" si="25"/>
        <v>43367</v>
      </c>
      <c r="G41" s="60" t="str">
        <f>G39 &amp; "|" &amp; G40</f>
        <v>3400|3800</v>
      </c>
      <c r="H41" s="60">
        <f>H40</f>
        <v>90</v>
      </c>
      <c r="I41" s="63">
        <f>I40</f>
        <v>0.24657534246575341</v>
      </c>
      <c r="J41" s="63"/>
      <c r="K41" s="60"/>
      <c r="L41" s="59">
        <f>L40+L39</f>
        <v>-78.749850388446589</v>
      </c>
      <c r="M41" s="60">
        <v>0</v>
      </c>
      <c r="N41" s="59">
        <f>M41/10000*I41*P41</f>
        <v>0</v>
      </c>
      <c r="O41" s="59">
        <f t="shared" si="21"/>
        <v>78.749850388446589</v>
      </c>
      <c r="P41" s="111">
        <f>RTD("wdf.rtq",,D41,"LastPrice")</f>
        <v>3673</v>
      </c>
      <c r="Q41" s="60"/>
      <c r="R41" s="60"/>
      <c r="S41" s="56"/>
      <c r="T41" s="64">
        <f>O41/P41</f>
        <v>2.1440198853375059E-2</v>
      </c>
      <c r="U41" s="64">
        <f>U40+U39</f>
        <v>-0.67975986708006531</v>
      </c>
      <c r="V41" s="64">
        <f>V40+V39</f>
        <v>-1.366298602188408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192</v>
      </c>
      <c r="E42" s="46">
        <f ca="1">TODAY()</f>
        <v>43277</v>
      </c>
      <c r="F42" s="46">
        <f ca="1">E42+H42</f>
        <v>43367</v>
      </c>
      <c r="G42" s="118">
        <v>3300</v>
      </c>
      <c r="H42" s="44">
        <v>90</v>
      </c>
      <c r="I42" s="47">
        <f>H42/365</f>
        <v>0.24657534246575341</v>
      </c>
      <c r="J42" s="47">
        <v>0</v>
      </c>
      <c r="K42" s="48">
        <f>K43-0.03</f>
        <v>0.25</v>
      </c>
      <c r="L42" s="43">
        <f>_xll.dnetGBlackScholesNGreeks("price",$Q42,$P42,$G42,$I42,$C$3,$J42,$K42,$C$4)*R42</f>
        <v>46.178621433027956</v>
      </c>
      <c r="M42" s="49"/>
      <c r="N42" s="43"/>
      <c r="O42" s="43">
        <f t="shared" si="21"/>
        <v>46.178621433027956</v>
      </c>
      <c r="P42" s="110">
        <f>RTD("wdf.rtq",,D42,"LastPrice")</f>
        <v>3673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-0.17669020670041391</v>
      </c>
      <c r="V42" s="43">
        <f>_xll.dnetGBlackScholesNGreeks("vega",$Q42,$P42,$G42,$I42,$C$3,$J42,$K42,$C$4)*R42</f>
        <v>4.7195057778788509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tr">
        <f>D42</f>
        <v>rb1810</v>
      </c>
      <c r="E43" s="54">
        <f t="shared" ref="E43:F43" ca="1" si="26">E42</f>
        <v>43277</v>
      </c>
      <c r="F43" s="54">
        <f t="shared" ca="1" si="26"/>
        <v>43367</v>
      </c>
      <c r="G43" s="119">
        <v>4000</v>
      </c>
      <c r="H43" s="52">
        <f>H42</f>
        <v>90</v>
      </c>
      <c r="I43" s="55">
        <f>H43/365</f>
        <v>0.24657534246575341</v>
      </c>
      <c r="J43" s="55">
        <f>J42</f>
        <v>0</v>
      </c>
      <c r="K43" s="56">
        <v>0.28000000000000003</v>
      </c>
      <c r="L43" s="51">
        <f>_xll.dnetGBlackScholesNGreeks("price",$Q43,$P43,$G43,$I43,$C$3,$J43,$K43,$C$4)*R43</f>
        <v>-87.401751123587019</v>
      </c>
      <c r="M43" s="57"/>
      <c r="N43" s="51"/>
      <c r="O43" s="51">
        <f t="shared" si="21"/>
        <v>87.401751123587019</v>
      </c>
      <c r="P43" s="94">
        <f>RTD("wdf.rtq",,D43,"LastPrice")</f>
        <v>3673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-0.29181944159972772</v>
      </c>
      <c r="V43" s="51">
        <f>_xll.dnetGBlackScholesNGreeks("vega",$Q43,$P43,$G43,$I43,$C$3,$J43,$K43,$C$4)*R43</f>
        <v>-6.243653562699933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tr">
        <f>D43</f>
        <v>rb1810</v>
      </c>
      <c r="E44" s="62">
        <f t="shared" ref="E44:F44" ca="1" si="27">E43</f>
        <v>43277</v>
      </c>
      <c r="F44" s="62">
        <f t="shared" ca="1" si="27"/>
        <v>43367</v>
      </c>
      <c r="G44" s="60" t="str">
        <f>G42 &amp; "|" &amp; G43</f>
        <v>3300|4000</v>
      </c>
      <c r="H44" s="60">
        <f>H43</f>
        <v>90</v>
      </c>
      <c r="I44" s="63">
        <f>I43</f>
        <v>0.24657534246575341</v>
      </c>
      <c r="J44" s="63"/>
      <c r="K44" s="60"/>
      <c r="L44" s="59">
        <f>L43+L42</f>
        <v>-41.223129690559063</v>
      </c>
      <c r="M44" s="60">
        <v>50</v>
      </c>
      <c r="N44" s="59">
        <f>M44/10000*I44*P44</f>
        <v>4.5283561643835615</v>
      </c>
      <c r="O44" s="59">
        <f t="shared" si="21"/>
        <v>45.751485854942622</v>
      </c>
      <c r="P44" s="111">
        <f>RTD("wdf.rtq",,D44,"LastPrice")</f>
        <v>3673</v>
      </c>
      <c r="Q44" s="60"/>
      <c r="R44" s="60"/>
      <c r="S44" s="56"/>
      <c r="T44" s="64">
        <f>O44/P44</f>
        <v>1.2456162770199461E-2</v>
      </c>
      <c r="U44" s="64">
        <f>U43+U42</f>
        <v>-0.46850964830014163</v>
      </c>
      <c r="V44" s="64">
        <f>V43+V42</f>
        <v>-1.524147784821082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topLeftCell="B1" workbookViewId="0">
      <selection activeCell="F25" sqref="F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43277</v>
      </c>
      <c r="L10" s="38">
        <f ca="1">pricer_sf!N11</f>
        <v>43368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43277</v>
      </c>
      <c r="L11" s="38">
        <f ca="1">pricer_sf!N12</f>
        <v>43368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43277</v>
      </c>
      <c r="L12" s="38">
        <f ca="1">pricer_sf!N13</f>
        <v>43368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43277</v>
      </c>
      <c r="L13" s="38">
        <f ca="1">pricer_sf!N14</f>
        <v>43460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43277</v>
      </c>
      <c r="L14" s="38">
        <f ca="1">pricer_sf!N15</f>
        <v>43460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119.94725557967286</v>
      </c>
      <c r="J15" s="10">
        <v>5</v>
      </c>
      <c r="K15" s="38">
        <f ca="1">pricer_sf!M16</f>
        <v>43277</v>
      </c>
      <c r="L15" s="38">
        <f ca="1">pricer_sf!N16</f>
        <v>43307</v>
      </c>
      <c r="M15" s="10">
        <v>30</v>
      </c>
      <c r="N15" s="10">
        <f>pricer_sf!P16</f>
        <v>8.2191780821917804E-2</v>
      </c>
      <c r="O15" s="10">
        <f>pricer_sf!Q16</f>
        <v>0</v>
      </c>
      <c r="P15" s="10">
        <f>pricer_sf!R16</f>
        <v>0.26</v>
      </c>
      <c r="Q15" s="10">
        <f>pricer_sf!S16</f>
        <v>-2.7681807157093039</v>
      </c>
      <c r="R15" s="10">
        <f>pricer_sf!T16</f>
        <v>0</v>
      </c>
      <c r="S15" s="10">
        <f>pricer_sf!U16</f>
        <v>0</v>
      </c>
      <c r="T15" s="13">
        <f>pricer_sf!V16</f>
        <v>2.7681807157093039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G31" sqref="G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6" t="s">
        <v>38</v>
      </c>
      <c r="C1" s="146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43277</v>
      </c>
      <c r="N8" s="21">
        <f ca="1">M8+O8</f>
        <v>43307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43277</v>
      </c>
      <c r="N9" s="8">
        <f ca="1">M9+O9</f>
        <v>43457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43277</v>
      </c>
      <c r="N11" s="8">
        <f t="shared" ref="N11:N16" ca="1" si="2">M11+O11</f>
        <v>43368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43277</v>
      </c>
      <c r="N12" s="8">
        <f t="shared" ca="1" si="2"/>
        <v>43368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43277</v>
      </c>
      <c r="N13" s="8">
        <f t="shared" ca="1" si="2"/>
        <v>43368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43277</v>
      </c>
      <c r="N14" s="8">
        <f t="shared" ca="1" si="2"/>
        <v>43460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43277</v>
      </c>
      <c r="N15" s="8">
        <f t="shared" ca="1" si="2"/>
        <v>43460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119</v>
      </c>
      <c r="K16" s="10">
        <f>_xll.dnetDiscreteAdjustedBarrier($H16,$J16,$R16,1/365)</f>
        <v>119.94725557967286</v>
      </c>
      <c r="L16" s="37">
        <v>0.05</v>
      </c>
      <c r="M16" s="8">
        <f t="shared" ca="1" si="1"/>
        <v>43277</v>
      </c>
      <c r="N16" s="8">
        <f t="shared" ca="1" si="2"/>
        <v>43307</v>
      </c>
      <c r="O16" s="10">
        <v>30</v>
      </c>
      <c r="P16" s="12">
        <f t="shared" si="3"/>
        <v>8.2191780821917804E-2</v>
      </c>
      <c r="Q16" s="12">
        <v>0</v>
      </c>
      <c r="R16" s="9">
        <v>0.26</v>
      </c>
      <c r="S16" s="13">
        <f>_xll.dnetStandardBarrierNGreeks("price",G16,H16,I16,K16,L16*H16,P16,$C$3,Q16,R16,$C$4)*E16</f>
        <v>-2.7681807157093039</v>
      </c>
      <c r="T16" s="15">
        <v>0</v>
      </c>
      <c r="U16" s="13">
        <f t="shared" si="4"/>
        <v>0</v>
      </c>
      <c r="V16" s="13">
        <f t="shared" si="5"/>
        <v>2.7681807157093039</v>
      </c>
      <c r="W16" s="14">
        <f t="shared" si="6"/>
        <v>2.7681807157093039E-2</v>
      </c>
      <c r="X16" s="13">
        <f>_xll.dnetStandardBarrierNGreeks("delta",G16,H16,I16,K16,L16*H16,P16,$C$3,Q16,R16,$C$4)</f>
        <v>0.43876192984053652</v>
      </c>
      <c r="Y16" s="13">
        <f>_xll.dnetStandardBarrierNGreeks("vega",G16,H16,I16,K16,L16*H16,P16,$C$3,Q16,R16,$C$4)</f>
        <v>6.2170358668116155E-2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2018-06-26T05:51:34Z</dcterms:modified>
</cp:coreProperties>
</file>