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tabRatio="602" activeTab="2"/>
  </bookViews>
  <sheets>
    <sheet name="quate_van" sheetId="6" r:id="rId1"/>
    <sheet name="recap" sheetId="2" r:id="rId2"/>
    <sheet name="pricer_van" sheetId="1" r:id="rId3"/>
    <sheet name="Sheet1" sheetId="11" r:id="rId4"/>
    <sheet name="pricer_combo" sheetId="9" r:id="rId5"/>
    <sheet name="quote_sf" sheetId="10" r:id="rId6"/>
    <sheet name="ref_vol_table" sheetId="4" r:id="rId7"/>
    <sheet name="pricer_sf" sheetId="8" r:id="rId8"/>
    <sheet name="configs" sheetId="5" r:id="rId9"/>
    <sheet name="pricer_digit" sheetId="7" r:id="rId10"/>
  </sheets>
  <calcPr calcId="152511" calcMode="manual"/>
</workbook>
</file>

<file path=xl/calcChain.xml><?xml version="1.0" encoding="utf-8"?>
<calcChain xmlns="http://schemas.openxmlformats.org/spreadsheetml/2006/main">
  <c r="R40" i="1" l="1"/>
  <c r="I40" i="1"/>
  <c r="N40" i="1" s="1"/>
  <c r="E40" i="1"/>
  <c r="F40" i="1" s="1"/>
  <c r="R39" i="1"/>
  <c r="I39" i="1"/>
  <c r="E39" i="1"/>
  <c r="F39" i="1" s="1"/>
  <c r="R38" i="1"/>
  <c r="I38" i="1"/>
  <c r="E38" i="1"/>
  <c r="F38" i="1" s="1"/>
  <c r="R37" i="1"/>
  <c r="I37" i="1"/>
  <c r="E37" i="1"/>
  <c r="F37" i="1" s="1"/>
  <c r="R36" i="1"/>
  <c r="I36" i="1"/>
  <c r="E36" i="1"/>
  <c r="F36" i="1" s="1"/>
  <c r="R34" i="1"/>
  <c r="I34" i="1"/>
  <c r="N34" i="1" s="1"/>
  <c r="E34" i="1"/>
  <c r="F34" i="1" s="1"/>
  <c r="R33" i="1"/>
  <c r="I33" i="1"/>
  <c r="E33" i="1"/>
  <c r="F33" i="1" s="1"/>
  <c r="R32" i="1"/>
  <c r="I32" i="1"/>
  <c r="E32" i="1"/>
  <c r="F32" i="1" s="1"/>
  <c r="R31" i="1"/>
  <c r="I31" i="1"/>
  <c r="E31" i="1"/>
  <c r="F31" i="1" s="1"/>
  <c r="R30" i="1"/>
  <c r="I30" i="1"/>
  <c r="E30" i="1"/>
  <c r="F30" i="1" s="1"/>
  <c r="P39" i="1"/>
  <c r="P37" i="1"/>
  <c r="P33" i="1"/>
  <c r="P31" i="1"/>
  <c r="L33" i="1"/>
  <c r="V33" i="1"/>
  <c r="V31" i="1"/>
  <c r="U33" i="1"/>
  <c r="P38" i="1"/>
  <c r="P36" i="1"/>
  <c r="L40" i="1"/>
  <c r="L36" i="1"/>
  <c r="P32" i="1"/>
  <c r="P30" i="1"/>
  <c r="V36" i="1"/>
  <c r="L32" i="1"/>
  <c r="L34" i="1"/>
  <c r="L39" i="1"/>
  <c r="U38" i="1"/>
  <c r="L30" i="1"/>
  <c r="L37" i="1"/>
  <c r="U36" i="1"/>
  <c r="V40" i="1"/>
  <c r="U31" i="1"/>
  <c r="L31" i="1"/>
  <c r="V38" i="1"/>
  <c r="L38" i="1"/>
  <c r="Y31" i="1" l="1"/>
  <c r="Y36" i="1"/>
  <c r="Y38" i="1"/>
  <c r="O34" i="1"/>
  <c r="T34" i="1" s="1"/>
  <c r="O40" i="1"/>
  <c r="T40" i="1" s="1"/>
  <c r="Y33" i="1"/>
  <c r="N36" i="1"/>
  <c r="O36" i="1" s="1"/>
  <c r="T36" i="1" s="1"/>
  <c r="N31" i="1"/>
  <c r="O31" i="1" s="1"/>
  <c r="T31" i="1" s="1"/>
  <c r="N39" i="1"/>
  <c r="O39" i="1" s="1"/>
  <c r="T39" i="1" s="1"/>
  <c r="N37" i="1"/>
  <c r="O37" i="1" s="1"/>
  <c r="T37" i="1" s="1"/>
  <c r="N38" i="1"/>
  <c r="O38" i="1" s="1"/>
  <c r="T38" i="1" s="1"/>
  <c r="N33" i="1"/>
  <c r="O33" i="1" s="1"/>
  <c r="T33" i="1" s="1"/>
  <c r="N32" i="1"/>
  <c r="O32" i="1" s="1"/>
  <c r="T32" i="1" s="1"/>
  <c r="N30" i="1"/>
  <c r="O30" i="1" s="1"/>
  <c r="T30" i="1" s="1"/>
  <c r="U30" i="1"/>
  <c r="U40" i="1"/>
  <c r="V34" i="1"/>
  <c r="U32" i="1"/>
  <c r="U34" i="1"/>
  <c r="U39" i="1"/>
  <c r="V32" i="1"/>
  <c r="V37" i="1"/>
  <c r="V39" i="1"/>
  <c r="U37" i="1"/>
  <c r="V30" i="1"/>
  <c r="Y37" i="1" l="1"/>
  <c r="Y39" i="1"/>
  <c r="Y34" i="1"/>
  <c r="Y32" i="1"/>
  <c r="Y40" i="1"/>
  <c r="Y30" i="1"/>
  <c r="R24" i="1" l="1"/>
  <c r="I24" i="1"/>
  <c r="N24" i="1" s="1"/>
  <c r="G24" i="1"/>
  <c r="E24" i="1"/>
  <c r="F24" i="1" s="1"/>
  <c r="R23" i="1"/>
  <c r="I23" i="1"/>
  <c r="N23" i="1" s="1"/>
  <c r="G23" i="1"/>
  <c r="E23" i="1"/>
  <c r="F23" i="1" s="1"/>
  <c r="R28" i="1"/>
  <c r="I28" i="1"/>
  <c r="N28" i="1" s="1"/>
  <c r="G28" i="1"/>
  <c r="E28" i="1"/>
  <c r="F28" i="1" s="1"/>
  <c r="R27" i="1"/>
  <c r="I27" i="1"/>
  <c r="N27" i="1" s="1"/>
  <c r="G27" i="1"/>
  <c r="E27" i="1"/>
  <c r="F27" i="1" s="1"/>
  <c r="R26" i="1"/>
  <c r="I26" i="1"/>
  <c r="N26" i="1" s="1"/>
  <c r="G26" i="1"/>
  <c r="E26" i="1"/>
  <c r="F26" i="1" s="1"/>
  <c r="R25" i="1"/>
  <c r="I25" i="1"/>
  <c r="N25" i="1" s="1"/>
  <c r="G25" i="1"/>
  <c r="E25" i="1"/>
  <c r="F25" i="1" s="1"/>
  <c r="L26" i="1"/>
  <c r="L28" i="1"/>
  <c r="L24" i="1"/>
  <c r="V24" i="1"/>
  <c r="V28" i="1"/>
  <c r="V26" i="1"/>
  <c r="L27" i="1"/>
  <c r="L25" i="1"/>
  <c r="L23" i="1"/>
  <c r="O23" i="1" l="1"/>
  <c r="T23" i="1" s="1"/>
  <c r="O25" i="1"/>
  <c r="T25" i="1" s="1"/>
  <c r="O27" i="1"/>
  <c r="T27" i="1" s="1"/>
  <c r="O24" i="1"/>
  <c r="T24" i="1" s="1"/>
  <c r="O28" i="1"/>
  <c r="T28" i="1" s="1"/>
  <c r="O26" i="1"/>
  <c r="T26" i="1" s="1"/>
  <c r="H9" i="1"/>
  <c r="U23" i="1"/>
  <c r="V27" i="1"/>
  <c r="U27" i="1"/>
  <c r="V25" i="1"/>
  <c r="U26" i="1"/>
  <c r="U28" i="1"/>
  <c r="U24" i="1"/>
  <c r="V23" i="1"/>
  <c r="U25" i="1"/>
  <c r="Y25" i="1" l="1"/>
  <c r="Y24" i="1"/>
  <c r="Y28" i="1"/>
  <c r="Y26" i="1"/>
  <c r="Y27" i="1"/>
  <c r="Y23" i="1"/>
  <c r="R21" i="1"/>
  <c r="I21" i="1"/>
  <c r="N21" i="1" s="1"/>
  <c r="E21" i="1"/>
  <c r="F21" i="1" s="1"/>
  <c r="V21" i="1"/>
  <c r="R20" i="1" l="1"/>
  <c r="I20" i="1"/>
  <c r="E20" i="1"/>
  <c r="F20" i="1" s="1"/>
  <c r="R19" i="1"/>
  <c r="I19" i="1"/>
  <c r="E19" i="1"/>
  <c r="F19" i="1" s="1"/>
  <c r="R18" i="1"/>
  <c r="I18" i="1"/>
  <c r="E18" i="1"/>
  <c r="F18" i="1" s="1"/>
  <c r="R17" i="1"/>
  <c r="I17" i="1"/>
  <c r="E17" i="1"/>
  <c r="F17" i="1" s="1"/>
  <c r="U21" i="1"/>
  <c r="L21" i="1"/>
  <c r="P20" i="1"/>
  <c r="L20" i="1"/>
  <c r="V20" i="1"/>
  <c r="P17" i="1"/>
  <c r="P18" i="1"/>
  <c r="P19" i="1"/>
  <c r="L19" i="1"/>
  <c r="L18" i="1"/>
  <c r="O21" i="1" l="1"/>
  <c r="T21" i="1" s="1"/>
  <c r="Y21" i="1"/>
  <c r="N17" i="1"/>
  <c r="N20" i="1"/>
  <c r="O20" i="1" s="1"/>
  <c r="T20" i="1" s="1"/>
  <c r="N18" i="1"/>
  <c r="O18" i="1" s="1"/>
  <c r="T18" i="1" s="1"/>
  <c r="N19" i="1"/>
  <c r="O19" i="1" s="1"/>
  <c r="T19" i="1" s="1"/>
  <c r="L17" i="1"/>
  <c r="U20" i="1"/>
  <c r="U19" i="1"/>
  <c r="V19" i="1"/>
  <c r="V17" i="1"/>
  <c r="U17" i="1"/>
  <c r="V18" i="1"/>
  <c r="U18" i="1"/>
  <c r="O17" i="1" l="1"/>
  <c r="T17" i="1" s="1"/>
  <c r="Y18" i="1"/>
  <c r="Y17" i="1"/>
  <c r="Y19" i="1"/>
  <c r="Y20" i="1"/>
  <c r="X14" i="1" l="1"/>
  <c r="R14" i="1"/>
  <c r="I14" i="1"/>
  <c r="E14" i="1"/>
  <c r="F14" i="1" s="1"/>
  <c r="P14" i="1"/>
  <c r="V14" i="1"/>
  <c r="Z14" i="1" l="1"/>
  <c r="N14" i="1"/>
  <c r="I69" i="2"/>
  <c r="I67" i="2"/>
  <c r="P13" i="1"/>
  <c r="U14" i="1"/>
  <c r="P12" i="1"/>
  <c r="L14" i="1"/>
  <c r="Y14" i="1" l="1"/>
  <c r="O14" i="1"/>
  <c r="T14" i="1" s="1"/>
  <c r="S55" i="2"/>
  <c r="S53" i="2"/>
  <c r="N55" i="2" l="1"/>
  <c r="N53" i="2"/>
  <c r="X13" i="1"/>
  <c r="R13" i="1"/>
  <c r="I13" i="1"/>
  <c r="E13" i="1"/>
  <c r="F13" i="1" s="1"/>
  <c r="V123" i="6"/>
  <c r="L13" i="1"/>
  <c r="Z13" i="1" l="1"/>
  <c r="N13" i="1"/>
  <c r="I53" i="2"/>
  <c r="U13" i="1"/>
  <c r="V13" i="1"/>
  <c r="O13" i="1" l="1"/>
  <c r="T13" i="1" s="1"/>
  <c r="Y13" i="1"/>
  <c r="D55" i="2"/>
  <c r="D30" i="9" l="1"/>
  <c r="D31" i="9" s="1"/>
  <c r="D27" i="9"/>
  <c r="D28" i="9" s="1"/>
  <c r="D22" i="9"/>
  <c r="D23" i="9" s="1"/>
  <c r="D19" i="9"/>
  <c r="D20" i="9" s="1"/>
  <c r="G31" i="9"/>
  <c r="R30" i="9"/>
  <c r="J30" i="9"/>
  <c r="H30" i="9"/>
  <c r="H31" i="9" s="1"/>
  <c r="R29" i="9"/>
  <c r="I29" i="9"/>
  <c r="E29" i="9"/>
  <c r="F29" i="9" s="1"/>
  <c r="F30" i="9" s="1"/>
  <c r="F31" i="9" s="1"/>
  <c r="R27" i="9"/>
  <c r="J27" i="9"/>
  <c r="H27" i="9"/>
  <c r="I27" i="9" s="1"/>
  <c r="I28" i="9" s="1"/>
  <c r="R26" i="9"/>
  <c r="I26" i="9"/>
  <c r="E26" i="9"/>
  <c r="E27" i="9" s="1"/>
  <c r="E28" i="9" s="1"/>
  <c r="P26" i="9"/>
  <c r="P29" i="9"/>
  <c r="E30" i="9" l="1"/>
  <c r="E31" i="9" s="1"/>
  <c r="P30" i="9"/>
  <c r="P27" i="9"/>
  <c r="F26" i="9"/>
  <c r="F27" i="9" s="1"/>
  <c r="F28" i="9" s="1"/>
  <c r="H28" i="9"/>
  <c r="I30" i="9"/>
  <c r="I31" i="9" s="1"/>
  <c r="L27" i="9"/>
  <c r="L30" i="9"/>
  <c r="U30" i="9"/>
  <c r="V26" i="9"/>
  <c r="U29" i="9"/>
  <c r="V27" i="9"/>
  <c r="U26" i="9"/>
  <c r="L26" i="9"/>
  <c r="U27" i="9"/>
  <c r="V30" i="9"/>
  <c r="V29" i="9"/>
  <c r="L29" i="9"/>
  <c r="O29" i="9" l="1"/>
  <c r="O26" i="9"/>
  <c r="U31" i="9"/>
  <c r="U28" i="9"/>
  <c r="V28" i="9"/>
  <c r="L28" i="9"/>
  <c r="O27" i="9"/>
  <c r="L31" i="9"/>
  <c r="O30" i="9"/>
  <c r="V31" i="9"/>
  <c r="G28" i="9"/>
  <c r="P28" i="9"/>
  <c r="N28" i="9" s="1"/>
  <c r="P31" i="9"/>
  <c r="N31" i="9" s="1"/>
  <c r="X12" i="1"/>
  <c r="R12" i="1"/>
  <c r="I12" i="1"/>
  <c r="E12" i="1"/>
  <c r="F12" i="1" s="1"/>
  <c r="O28" i="9" l="1"/>
  <c r="T28" i="9" s="1"/>
  <c r="O31" i="9"/>
  <c r="T31" i="9" s="1"/>
  <c r="Z12" i="1"/>
  <c r="N12" i="1"/>
  <c r="L12" i="1"/>
  <c r="U12" i="1"/>
  <c r="V12" i="1"/>
  <c r="O12" i="1" l="1"/>
  <c r="T12" i="1" s="1"/>
  <c r="Y12" i="1"/>
  <c r="V49" i="6" l="1"/>
  <c r="V50" i="6" s="1"/>
  <c r="D53" i="2" l="1"/>
  <c r="I42" i="2"/>
  <c r="D42" i="2"/>
  <c r="D40" i="2" l="1"/>
  <c r="F44" i="2"/>
  <c r="R8" i="1" l="1"/>
  <c r="I8" i="1"/>
  <c r="E8" i="1"/>
  <c r="F8" i="1" s="1"/>
  <c r="P8" i="1"/>
  <c r="N8" i="1" l="1"/>
  <c r="L8" i="1"/>
  <c r="V8" i="1"/>
  <c r="U8" i="1"/>
  <c r="O8" i="1" l="1"/>
  <c r="T8" i="1" s="1"/>
  <c r="F27" i="2"/>
  <c r="S40" i="2" l="1"/>
  <c r="R22" i="9" l="1"/>
  <c r="J22" i="9"/>
  <c r="H22" i="9"/>
  <c r="H23" i="9" s="1"/>
  <c r="R21" i="9"/>
  <c r="I21" i="9"/>
  <c r="E21" i="9"/>
  <c r="F21" i="9" s="1"/>
  <c r="F22" i="9" s="1"/>
  <c r="F23" i="9" s="1"/>
  <c r="R19" i="9"/>
  <c r="J19" i="9"/>
  <c r="H19" i="9"/>
  <c r="H20" i="9" s="1"/>
  <c r="R18" i="9"/>
  <c r="I18" i="9"/>
  <c r="E18" i="9"/>
  <c r="F18" i="9" s="1"/>
  <c r="F19" i="9" s="1"/>
  <c r="F20" i="9" s="1"/>
  <c r="P21" i="9"/>
  <c r="P18" i="9"/>
  <c r="E22" i="9" l="1"/>
  <c r="E23" i="9" s="1"/>
  <c r="P22" i="9"/>
  <c r="I22" i="9"/>
  <c r="I23" i="9" s="1"/>
  <c r="I19" i="9"/>
  <c r="I20" i="9" s="1"/>
  <c r="E19" i="9"/>
  <c r="E20" i="9" s="1"/>
  <c r="P19" i="9"/>
  <c r="V19" i="9"/>
  <c r="V18" i="9"/>
  <c r="L18" i="9"/>
  <c r="U22" i="9"/>
  <c r="U18" i="9"/>
  <c r="U19" i="9"/>
  <c r="V21" i="9"/>
  <c r="U21" i="9"/>
  <c r="V22" i="9"/>
  <c r="L21" i="9"/>
  <c r="L22" i="9"/>
  <c r="L19" i="9"/>
  <c r="O21" i="9" l="1"/>
  <c r="U23" i="9"/>
  <c r="L23" i="9"/>
  <c r="O22" i="9"/>
  <c r="V23" i="9"/>
  <c r="P23" i="9"/>
  <c r="N23" i="9" s="1"/>
  <c r="G23" i="9"/>
  <c r="G20" i="9"/>
  <c r="U20" i="9"/>
  <c r="V20" i="9"/>
  <c r="O18" i="9"/>
  <c r="O19" i="9"/>
  <c r="L20" i="9"/>
  <c r="P20" i="9"/>
  <c r="N20" i="9" s="1"/>
  <c r="O23" i="9" l="1"/>
  <c r="T23" i="9" s="1"/>
  <c r="O20" i="9"/>
  <c r="T20" i="9" s="1"/>
  <c r="A10" i="10" l="1"/>
  <c r="B10" i="10"/>
  <c r="E10" i="10"/>
  <c r="F10" i="10"/>
  <c r="G10" i="10"/>
  <c r="H10" i="10"/>
  <c r="J10" i="10"/>
  <c r="M10" i="10"/>
  <c r="O10" i="10"/>
  <c r="P10" i="10"/>
  <c r="A11" i="10"/>
  <c r="B11" i="10"/>
  <c r="E11" i="10"/>
  <c r="F11" i="10"/>
  <c r="G11" i="10"/>
  <c r="H11" i="10"/>
  <c r="J11" i="10"/>
  <c r="M11" i="10"/>
  <c r="O11" i="10"/>
  <c r="P11" i="10"/>
  <c r="A12" i="10"/>
  <c r="B12" i="10"/>
  <c r="E12" i="10"/>
  <c r="F12" i="10"/>
  <c r="G12" i="10"/>
  <c r="H12" i="10"/>
  <c r="J12" i="10"/>
  <c r="M12" i="10"/>
  <c r="O12" i="10"/>
  <c r="P12" i="10"/>
  <c r="A13" i="10"/>
  <c r="B13" i="10"/>
  <c r="E13" i="10"/>
  <c r="F13" i="10"/>
  <c r="G13" i="10"/>
  <c r="H13" i="10"/>
  <c r="J13" i="10"/>
  <c r="M13" i="10"/>
  <c r="O13" i="10"/>
  <c r="P13" i="10"/>
  <c r="A14" i="10"/>
  <c r="B14" i="10"/>
  <c r="E14" i="10"/>
  <c r="F14" i="10"/>
  <c r="G14" i="10"/>
  <c r="H14" i="10"/>
  <c r="J14" i="10"/>
  <c r="M14" i="10"/>
  <c r="O14" i="10"/>
  <c r="P14" i="10"/>
  <c r="A15" i="10"/>
  <c r="B15" i="10"/>
  <c r="E15" i="10"/>
  <c r="F15" i="10"/>
  <c r="G15" i="10"/>
  <c r="H15" i="10"/>
  <c r="J15" i="10"/>
  <c r="M15" i="10"/>
  <c r="O15" i="10"/>
  <c r="P15" i="10"/>
  <c r="T12" i="8"/>
  <c r="R11" i="10" s="1"/>
  <c r="T13" i="8"/>
  <c r="R12" i="10" s="1"/>
  <c r="T14" i="8"/>
  <c r="R13" i="10" s="1"/>
  <c r="T15" i="8"/>
  <c r="R14" i="10" s="1"/>
  <c r="T16" i="8"/>
  <c r="R15" i="10" s="1"/>
  <c r="T11" i="8"/>
  <c r="R10" i="10" s="1"/>
  <c r="P16" i="8" l="1"/>
  <c r="M16" i="8"/>
  <c r="E16" i="8"/>
  <c r="C15" i="10" s="1"/>
  <c r="P15" i="8"/>
  <c r="M15" i="8"/>
  <c r="E15" i="8"/>
  <c r="C14" i="10" s="1"/>
  <c r="P14" i="8"/>
  <c r="M14" i="8"/>
  <c r="E14" i="8"/>
  <c r="C13" i="10" s="1"/>
  <c r="P13" i="8"/>
  <c r="M13" i="8"/>
  <c r="E13" i="8"/>
  <c r="C12" i="10" s="1"/>
  <c r="P12" i="8"/>
  <c r="M12" i="8"/>
  <c r="E12" i="8"/>
  <c r="C11" i="10" s="1"/>
  <c r="P11" i="8"/>
  <c r="M11" i="8"/>
  <c r="E11" i="8"/>
  <c r="C10" i="10" s="1"/>
  <c r="K14" i="9"/>
  <c r="D15" i="9"/>
  <c r="D16" i="9" s="1"/>
  <c r="R15" i="9"/>
  <c r="J15" i="9"/>
  <c r="H15" i="9"/>
  <c r="H16" i="9" s="1"/>
  <c r="R14" i="9"/>
  <c r="I14" i="9"/>
  <c r="E14" i="9"/>
  <c r="F14" i="9" s="1"/>
  <c r="F15" i="9" s="1"/>
  <c r="F16" i="9" s="1"/>
  <c r="P14" i="9"/>
  <c r="K15" i="8"/>
  <c r="K14" i="8"/>
  <c r="K12" i="8"/>
  <c r="K11" i="8"/>
  <c r="K13" i="8"/>
  <c r="K16" i="8"/>
  <c r="I12" i="10" l="1"/>
  <c r="I15" i="10"/>
  <c r="I10" i="10"/>
  <c r="I11" i="10"/>
  <c r="I14" i="10"/>
  <c r="I13" i="10"/>
  <c r="U14" i="8"/>
  <c r="S13" i="10" s="1"/>
  <c r="N13" i="10"/>
  <c r="U12" i="8"/>
  <c r="S11" i="10" s="1"/>
  <c r="N11" i="10"/>
  <c r="U15" i="8"/>
  <c r="S14" i="10" s="1"/>
  <c r="N14" i="10"/>
  <c r="U13" i="8"/>
  <c r="S12" i="10" s="1"/>
  <c r="N12" i="10"/>
  <c r="U16" i="8"/>
  <c r="S15" i="10" s="1"/>
  <c r="N15" i="10"/>
  <c r="U11" i="8"/>
  <c r="S10" i="10" s="1"/>
  <c r="N10" i="10"/>
  <c r="N12" i="8"/>
  <c r="L11" i="10" s="1"/>
  <c r="K11" i="10"/>
  <c r="N15" i="8"/>
  <c r="L14" i="10" s="1"/>
  <c r="K14" i="10"/>
  <c r="N13" i="8"/>
  <c r="L12" i="10" s="1"/>
  <c r="K12" i="10"/>
  <c r="N16" i="8"/>
  <c r="L15" i="10" s="1"/>
  <c r="K15" i="10"/>
  <c r="N11" i="8"/>
  <c r="L10" i="10" s="1"/>
  <c r="K10" i="10"/>
  <c r="N14" i="8"/>
  <c r="L13" i="10" s="1"/>
  <c r="K13" i="10"/>
  <c r="E15" i="9"/>
  <c r="E16" i="9" s="1"/>
  <c r="P15" i="9"/>
  <c r="I15" i="9"/>
  <c r="I16" i="9" s="1"/>
  <c r="X11" i="8"/>
  <c r="V14" i="9"/>
  <c r="Y11" i="8"/>
  <c r="X14" i="8"/>
  <c r="U14" i="9"/>
  <c r="X13" i="8"/>
  <c r="S12" i="8"/>
  <c r="X15" i="8"/>
  <c r="X16" i="8"/>
  <c r="Y14" i="8"/>
  <c r="Y12" i="8"/>
  <c r="Y16" i="8"/>
  <c r="L14" i="9"/>
  <c r="S14" i="8"/>
  <c r="S16" i="8"/>
  <c r="S11" i="8"/>
  <c r="Y13" i="8"/>
  <c r="X12" i="8"/>
  <c r="S13" i="8"/>
  <c r="Y15" i="8"/>
  <c r="S15" i="8"/>
  <c r="Q13" i="10" l="1"/>
  <c r="Q10" i="10"/>
  <c r="Q14" i="10"/>
  <c r="Q12" i="10"/>
  <c r="Q11" i="10"/>
  <c r="Q15" i="10"/>
  <c r="V11" i="8"/>
  <c r="W11" i="8" s="1"/>
  <c r="V14" i="8"/>
  <c r="W14" i="8" s="1"/>
  <c r="V16" i="8"/>
  <c r="T15" i="10" s="1"/>
  <c r="V12" i="8"/>
  <c r="T11" i="10" s="1"/>
  <c r="V13" i="8"/>
  <c r="V15" i="8"/>
  <c r="O14" i="9"/>
  <c r="P16" i="9"/>
  <c r="N16" i="9" s="1"/>
  <c r="G16" i="9"/>
  <c r="N40" i="2"/>
  <c r="U15" i="9"/>
  <c r="L15" i="9"/>
  <c r="V15" i="9"/>
  <c r="T10" i="10" l="1"/>
  <c r="W16" i="8"/>
  <c r="T13" i="10"/>
  <c r="W12" i="8"/>
  <c r="W13" i="8"/>
  <c r="T12" i="10"/>
  <c r="W15" i="8"/>
  <c r="T14" i="10"/>
  <c r="O15" i="9"/>
  <c r="L16" i="9"/>
  <c r="O16" i="9" s="1"/>
  <c r="T16" i="9" s="1"/>
  <c r="U16" i="9"/>
  <c r="V16" i="9"/>
  <c r="D13" i="9"/>
  <c r="R12" i="9"/>
  <c r="J12" i="9"/>
  <c r="H12" i="9"/>
  <c r="H13" i="9" s="1"/>
  <c r="R11" i="9"/>
  <c r="I11" i="9"/>
  <c r="E11" i="9"/>
  <c r="E12" i="9" s="1"/>
  <c r="E13" i="9" s="1"/>
  <c r="P11" i="9"/>
  <c r="G11" i="9" l="1"/>
  <c r="P12" i="9"/>
  <c r="I12" i="9"/>
  <c r="I13" i="9" s="1"/>
  <c r="F11" i="9"/>
  <c r="F12" i="9" s="1"/>
  <c r="F13" i="9" s="1"/>
  <c r="P13" i="9" l="1"/>
  <c r="N13" i="9" s="1"/>
  <c r="I40" i="2" l="1"/>
  <c r="N10" i="1" l="1"/>
  <c r="I9" i="1" l="1"/>
  <c r="R9" i="1"/>
  <c r="E9" i="1"/>
  <c r="F9" i="1" s="1"/>
  <c r="N9" i="1" l="1"/>
  <c r="V9" i="1"/>
  <c r="L9" i="1"/>
  <c r="U9" i="1"/>
  <c r="O9" i="1" l="1"/>
  <c r="T9" i="1" s="1"/>
  <c r="I26" i="2" l="1"/>
  <c r="I23" i="2"/>
  <c r="X23" i="2" l="1"/>
  <c r="S23" i="2"/>
  <c r="X26" i="2"/>
  <c r="S26" i="2"/>
  <c r="N26" i="2" l="1"/>
  <c r="N23" i="2"/>
  <c r="D26" i="2" l="1"/>
  <c r="D10" i="9" l="1"/>
  <c r="J9" i="9" l="1"/>
  <c r="N8" i="2" l="1"/>
  <c r="G10" i="9" l="1"/>
  <c r="P10" i="9"/>
  <c r="H9" i="9"/>
  <c r="I9" i="9" s="1"/>
  <c r="I10" i="9" s="1"/>
  <c r="R9" i="9"/>
  <c r="I8" i="9"/>
  <c r="E8" i="9"/>
  <c r="F8" i="9" s="1"/>
  <c r="F9" i="9" s="1"/>
  <c r="F10" i="9" s="1"/>
  <c r="R8" i="9"/>
  <c r="U9" i="9"/>
  <c r="V8" i="9"/>
  <c r="N10" i="9" l="1"/>
  <c r="H10" i="9"/>
  <c r="E9" i="9"/>
  <c r="E10" i="9" s="1"/>
  <c r="V9" i="9"/>
  <c r="U8" i="9"/>
  <c r="L8" i="9"/>
  <c r="L9" i="9"/>
  <c r="O9" i="9" l="1"/>
  <c r="O8" i="9"/>
  <c r="U10" i="9"/>
  <c r="L10" i="9"/>
  <c r="V10" i="9"/>
  <c r="O10" i="9" l="1"/>
  <c r="T10" i="9" s="1"/>
  <c r="D8" i="2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H8" i="8"/>
  <c r="O9" i="7"/>
  <c r="T10" i="7"/>
  <c r="H8" i="7"/>
  <c r="U10" i="7"/>
  <c r="U9" i="7"/>
  <c r="K9" i="8"/>
  <c r="T9" i="7"/>
  <c r="O10" i="7"/>
  <c r="U8" i="8" l="1"/>
  <c r="Q9" i="7"/>
  <c r="R9" i="7" s="1"/>
  <c r="S9" i="7" s="1"/>
  <c r="Q10" i="7"/>
  <c r="R10" i="7" s="1"/>
  <c r="S10" i="7" s="1"/>
  <c r="Q8" i="7"/>
  <c r="Y9" i="8"/>
  <c r="U8" i="7"/>
  <c r="K8" i="8"/>
  <c r="S9" i="8"/>
  <c r="X9" i="8"/>
  <c r="T8" i="7"/>
  <c r="O8" i="7"/>
  <c r="V9" i="8" l="1"/>
  <c r="W9" i="8" s="1"/>
  <c r="R8" i="7"/>
  <c r="S8" i="7" s="1"/>
  <c r="S8" i="8"/>
  <c r="Y8" i="8"/>
  <c r="X8" i="8"/>
  <c r="V8" i="8" l="1"/>
  <c r="W8" i="8" s="1"/>
  <c r="G12" i="9" l="1"/>
  <c r="G13" i="9" s="1"/>
  <c r="V11" i="9"/>
  <c r="U12" i="9"/>
  <c r="V12" i="9"/>
  <c r="U11" i="9"/>
  <c r="L12" i="9"/>
  <c r="L11" i="9"/>
  <c r="O11" i="9" l="1"/>
  <c r="V13" i="9"/>
  <c r="U13" i="9"/>
  <c r="L13" i="9"/>
  <c r="O13" i="9" s="1"/>
  <c r="T13" i="9" s="1"/>
  <c r="O12" i="9"/>
</calcChain>
</file>

<file path=xl/sharedStrings.xml><?xml version="1.0" encoding="utf-8"?>
<sst xmlns="http://schemas.openxmlformats.org/spreadsheetml/2006/main" count="1810" uniqueCount="264">
  <si>
    <t>日期</t>
    <phoneticPr fontId="2" type="noConversion"/>
  </si>
  <si>
    <t>利率</t>
    <phoneticPr fontId="2" type="noConversion"/>
  </si>
  <si>
    <t>交易对手</t>
    <phoneticPr fontId="2" type="noConversion"/>
  </si>
  <si>
    <t>Notes</t>
  </si>
  <si>
    <t>中信寰球</t>
    <phoneticPr fontId="2" type="noConversion"/>
  </si>
  <si>
    <t>中友信德</t>
    <phoneticPr fontId="2" type="noConversion"/>
  </si>
  <si>
    <t>杭州昊广</t>
    <phoneticPr fontId="2" type="noConversion"/>
  </si>
  <si>
    <t>执行价</t>
    <phoneticPr fontId="2" type="noConversion"/>
  </si>
  <si>
    <t>入场价</t>
    <phoneticPr fontId="2" type="noConversion"/>
  </si>
  <si>
    <t>交易日</t>
    <phoneticPr fontId="2" type="noConversion"/>
  </si>
  <si>
    <t>到期日</t>
    <phoneticPr fontId="2" type="noConversion"/>
  </si>
  <si>
    <t>天数</t>
    <phoneticPr fontId="2" type="noConversion"/>
  </si>
  <si>
    <t>天数(y)</t>
    <phoneticPr fontId="2" type="noConversion"/>
  </si>
  <si>
    <t>波动率</t>
    <phoneticPr fontId="2" type="noConversion"/>
  </si>
  <si>
    <t>成本价</t>
    <phoneticPr fontId="2" type="noConversion"/>
  </si>
  <si>
    <t>报价</t>
    <phoneticPr fontId="2" type="noConversion"/>
  </si>
  <si>
    <t xml:space="preserve">delta </t>
    <phoneticPr fontId="2" type="noConversion"/>
  </si>
  <si>
    <t>vega</t>
    <phoneticPr fontId="2" type="noConversion"/>
  </si>
  <si>
    <t>delta差分</t>
    <phoneticPr fontId="2" type="noConversion"/>
  </si>
  <si>
    <t>中金买入</t>
    <phoneticPr fontId="2" type="noConversion"/>
  </si>
  <si>
    <t>中金卖出</t>
  </si>
  <si>
    <t>中金卖出</t>
    <phoneticPr fontId="2" type="noConversion"/>
  </si>
  <si>
    <t>RB1805</t>
    <phoneticPr fontId="2" type="noConversion"/>
  </si>
  <si>
    <t>C/P</t>
    <phoneticPr fontId="2" type="noConversion"/>
  </si>
  <si>
    <t>c</t>
    <phoneticPr fontId="2" type="noConversion"/>
  </si>
  <si>
    <t>p</t>
    <phoneticPr fontId="2" type="noConversion"/>
  </si>
  <si>
    <t>加点(bp)</t>
    <phoneticPr fontId="2" type="noConversion"/>
  </si>
  <si>
    <t>c</t>
    <phoneticPr fontId="2" type="noConversion"/>
  </si>
  <si>
    <t>加点(绝对值)</t>
    <phoneticPr fontId="2" type="noConversion"/>
  </si>
  <si>
    <t>备注</t>
    <phoneticPr fontId="2" type="noConversion"/>
  </si>
  <si>
    <t>交易方向</t>
    <phoneticPr fontId="2" type="noConversion"/>
  </si>
  <si>
    <t>中金卖出</t>
    <phoneticPr fontId="2" type="noConversion"/>
  </si>
  <si>
    <t>期权标的</t>
    <phoneticPr fontId="2" type="noConversion"/>
  </si>
  <si>
    <t>报价(%)</t>
    <phoneticPr fontId="2" type="noConversion"/>
  </si>
  <si>
    <t>Recap</t>
    <phoneticPr fontId="2" type="noConversion"/>
  </si>
  <si>
    <t>深万智富</t>
    <phoneticPr fontId="2" type="noConversion"/>
  </si>
  <si>
    <t>中金公司</t>
    <phoneticPr fontId="2" type="noConversion"/>
  </si>
  <si>
    <t>期权定价_VAN</t>
    <phoneticPr fontId="2" type="noConversion"/>
  </si>
  <si>
    <t>期权定价_SF</t>
    <phoneticPr fontId="2" type="noConversion"/>
  </si>
  <si>
    <t>c</t>
  </si>
  <si>
    <t>RB1805</t>
    <phoneticPr fontId="2" type="noConversion"/>
  </si>
  <si>
    <t>中信寰球</t>
  </si>
  <si>
    <t>WM</t>
    <phoneticPr fontId="2" type="noConversion"/>
  </si>
  <si>
    <t>中投期货</t>
    <phoneticPr fontId="2" type="noConversion"/>
  </si>
  <si>
    <t>敲出价</t>
    <phoneticPr fontId="2" type="noConversion"/>
  </si>
  <si>
    <t xml:space="preserve">敲出价(adj) </t>
    <phoneticPr fontId="2" type="noConversion"/>
  </si>
  <si>
    <t>敲出收益</t>
    <phoneticPr fontId="2" type="noConversion"/>
  </si>
  <si>
    <t>Carry</t>
    <phoneticPr fontId="2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</si>
  <si>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</si>
  <si>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</si>
  <si>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</si>
  <si>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</si>
  <si>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</si>
  <si>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</si>
  <si>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</si>
  <si>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</si>
  <si>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</si>
  <si>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</si>
  <si>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</si>
  <si>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</si>
  <si>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</si>
  <si>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</si>
  <si>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</si>
  <si>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</si>
  <si>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</si>
  <si>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</si>
  <si>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</si>
  <si>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</si>
  <si>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</si>
  <si>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</si>
  <si>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</si>
  <si>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</si>
  <si>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</si>
  <si>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</si>
  <si>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</si>
  <si>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</si>
  <si>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</si>
  <si>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</si>
  <si>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</si>
  <si>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</si>
  <si>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</si>
  <si>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</si>
  <si>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</si>
  <si>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</si>
  <si>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</si>
  <si>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</si>
  <si>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</si>
  <si>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</si>
  <si>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</si>
  <si>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</si>
  <si>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</si>
  <si>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</si>
  <si>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</si>
  <si>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</si>
  <si>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</si>
  <si>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</si>
  <si>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</si>
  <si>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</si>
  <si>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</si>
  <si>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</si>
  <si>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</si>
  <si>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</si>
  <si>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</si>
  <si>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</si>
  <si>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</si>
  <si>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</si>
  <si>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</si>
  <si>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</si>
  <si>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</si>
  <si>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</si>
  <si>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</si>
  <si>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</si>
  <si>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</si>
  <si>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</si>
  <si>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</si>
  <si>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</si>
  <si>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</si>
  <si>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</si>
  <si>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2" type="noConversion"/>
  </si>
  <si>
    <t>中文版 Temp</t>
    <phoneticPr fontId="2" type="noConversion"/>
  </si>
  <si>
    <t>English Version Temp</t>
    <phoneticPr fontId="2" type="noConversion"/>
  </si>
  <si>
    <t>成交回报</t>
    <phoneticPr fontId="2" type="noConversion"/>
  </si>
  <si>
    <t>交易日：</t>
    <phoneticPr fontId="2" type="noConversion"/>
  </si>
  <si>
    <t>Trade Date:</t>
    <phoneticPr fontId="2" type="noConversion"/>
  </si>
  <si>
    <t>买方：</t>
    <phoneticPr fontId="2" type="noConversion"/>
  </si>
  <si>
    <t>XXXX</t>
    <phoneticPr fontId="2" type="noConversion"/>
  </si>
  <si>
    <t>Seller:</t>
    <phoneticPr fontId="2" type="noConversion"/>
  </si>
  <si>
    <t>卖方:</t>
    <phoneticPr fontId="2" type="noConversion"/>
  </si>
  <si>
    <t>Buyer:</t>
    <phoneticPr fontId="2" type="noConversion"/>
  </si>
  <si>
    <t>权利金总额（元）：</t>
    <phoneticPr fontId="2" type="noConversion"/>
  </si>
  <si>
    <t>Option Type:</t>
    <phoneticPr fontId="2" type="noConversion"/>
  </si>
  <si>
    <t>结构:</t>
    <phoneticPr fontId="2" type="noConversion"/>
  </si>
  <si>
    <t>看跌期权</t>
    <phoneticPr fontId="2" type="noConversion"/>
  </si>
  <si>
    <t>Commodity:</t>
    <phoneticPr fontId="2" type="noConversion"/>
  </si>
  <si>
    <t>到期日:</t>
    <phoneticPr fontId="2" type="noConversion"/>
  </si>
  <si>
    <t>Contract Month:</t>
    <phoneticPr fontId="2" type="noConversion"/>
  </si>
  <si>
    <t>期初价格:</t>
    <phoneticPr fontId="2" type="noConversion"/>
  </si>
  <si>
    <t>Quantity(t):</t>
    <phoneticPr fontId="2" type="noConversion"/>
  </si>
  <si>
    <t>行权价:</t>
    <phoneticPr fontId="2" type="noConversion"/>
  </si>
  <si>
    <t>Strike:</t>
    <phoneticPr fontId="2" type="noConversion"/>
  </si>
  <si>
    <t>权利金（每吨）：</t>
    <phoneticPr fontId="2" type="noConversion"/>
  </si>
  <si>
    <t>Price:</t>
    <phoneticPr fontId="2" type="noConversion"/>
  </si>
  <si>
    <t>标的:</t>
    <phoneticPr fontId="2" type="noConversion"/>
  </si>
  <si>
    <t>rb1801</t>
    <phoneticPr fontId="2" type="noConversion"/>
  </si>
  <si>
    <t>Premium:</t>
    <phoneticPr fontId="2" type="noConversion"/>
  </si>
  <si>
    <t>交易量（吨）：</t>
    <phoneticPr fontId="2" type="noConversion"/>
  </si>
  <si>
    <t>Expiration Date:</t>
    <phoneticPr fontId="2" type="noConversion"/>
  </si>
  <si>
    <t>结算货币:</t>
    <phoneticPr fontId="2" type="noConversion"/>
  </si>
  <si>
    <t>人民币</t>
    <phoneticPr fontId="2" type="noConversion"/>
  </si>
  <si>
    <t>Currency:</t>
    <phoneticPr fontId="2" type="noConversion"/>
  </si>
  <si>
    <t>Real Trades</t>
    <phoneticPr fontId="2" type="noConversion"/>
  </si>
  <si>
    <t>中金买入</t>
  </si>
  <si>
    <t>1st virsion</t>
    <phoneticPr fontId="2" type="noConversion"/>
  </si>
  <si>
    <t>cuo</t>
    <phoneticPr fontId="2" type="noConversion"/>
  </si>
  <si>
    <t>pdo</t>
    <phoneticPr fontId="2" type="noConversion"/>
  </si>
  <si>
    <t>v1:</t>
    <phoneticPr fontId="2" type="noConversion"/>
  </si>
  <si>
    <t>v2:</t>
    <phoneticPr fontId="2" type="noConversion"/>
  </si>
  <si>
    <t>1 add combo model; 2 modify markup algos</t>
    <phoneticPr fontId="2" type="noConversion"/>
  </si>
  <si>
    <t>期权报价表</t>
    <phoneticPr fontId="2" type="noConversion"/>
  </si>
  <si>
    <t>RB1805</t>
  </si>
  <si>
    <t>Example</t>
  </si>
  <si>
    <t>Example</t>
    <phoneticPr fontId="2" type="noConversion"/>
  </si>
  <si>
    <t>Example</t>
    <phoneticPr fontId="2" type="noConversion"/>
  </si>
  <si>
    <t>行权价1:</t>
    <phoneticPr fontId="2" type="noConversion"/>
  </si>
  <si>
    <t>行权价2:</t>
    <phoneticPr fontId="2" type="noConversion"/>
  </si>
  <si>
    <t>中文版 Temp 2</t>
    <phoneticPr fontId="2" type="noConversion"/>
  </si>
  <si>
    <t>English Version Temp 2</t>
    <phoneticPr fontId="2" type="noConversion"/>
  </si>
  <si>
    <t>Strike 1:</t>
    <phoneticPr fontId="2" type="noConversion"/>
  </si>
  <si>
    <t>Strike 2:</t>
    <phoneticPr fontId="2" type="noConversion"/>
  </si>
  <si>
    <t>厦门利青弘</t>
  </si>
  <si>
    <t>备注</t>
    <phoneticPr fontId="2" type="noConversion"/>
  </si>
  <si>
    <t>Temp1</t>
  </si>
  <si>
    <t>Temp2(per)</t>
  </si>
  <si>
    <t>Leg1</t>
  </si>
  <si>
    <t>Leg2</t>
  </si>
  <si>
    <t>Combo</t>
  </si>
  <si>
    <t>ZKHM</t>
    <phoneticPr fontId="2" type="noConversion"/>
  </si>
  <si>
    <t>ZHGJ</t>
    <phoneticPr fontId="2" type="noConversion"/>
  </si>
  <si>
    <t>TZ</t>
    <phoneticPr fontId="2" type="noConversion"/>
  </si>
  <si>
    <t>权利金总额（元）：</t>
    <phoneticPr fontId="2" type="noConversion"/>
  </si>
  <si>
    <t>起始日期</t>
    <phoneticPr fontId="2" type="noConversion"/>
  </si>
  <si>
    <t>标的</t>
    <phoneticPr fontId="2" type="noConversion"/>
  </si>
  <si>
    <t>期权价格</t>
    <phoneticPr fontId="2" type="noConversion"/>
  </si>
  <si>
    <t>起始日</t>
    <phoneticPr fontId="2" type="noConversion"/>
  </si>
  <si>
    <t>行权价</t>
    <phoneticPr fontId="2" type="noConversion"/>
  </si>
  <si>
    <t>rb1810</t>
  </si>
  <si>
    <t>中金公司</t>
    <phoneticPr fontId="2" type="noConversion"/>
  </si>
  <si>
    <t>华泰长城</t>
    <phoneticPr fontId="2" type="noConversion"/>
  </si>
  <si>
    <t>成交回报1</t>
    <phoneticPr fontId="2" type="noConversion"/>
  </si>
  <si>
    <t>成交回报2</t>
    <phoneticPr fontId="2" type="noConversion"/>
  </si>
  <si>
    <t>看跌期权</t>
    <phoneticPr fontId="2" type="noConversion"/>
  </si>
  <si>
    <t>看涨期权</t>
    <phoneticPr fontId="2" type="noConversion"/>
  </si>
  <si>
    <t>i1805</t>
    <phoneticPr fontId="2" type="noConversion"/>
  </si>
  <si>
    <t>LME20180122-CICC-MRJH-NI-SWP-4</t>
    <phoneticPr fontId="19" type="noConversion"/>
  </si>
  <si>
    <t>rb1810</t>
    <phoneticPr fontId="2" type="noConversion"/>
  </si>
  <si>
    <t>天物国际</t>
    <phoneticPr fontId="2" type="noConversion"/>
  </si>
  <si>
    <t>rb1805</t>
    <phoneticPr fontId="2" type="noConversion"/>
  </si>
  <si>
    <t>看涨期权</t>
    <phoneticPr fontId="2" type="noConversion"/>
  </si>
  <si>
    <t>权利金（每吨）：</t>
    <phoneticPr fontId="2" type="noConversion"/>
  </si>
  <si>
    <t>标的:</t>
    <phoneticPr fontId="2" type="noConversion"/>
  </si>
  <si>
    <t>交易量（吨）：</t>
    <phoneticPr fontId="2" type="noConversion"/>
  </si>
  <si>
    <t>last_trd_date</t>
    <phoneticPr fontId="8" type="noConversion"/>
  </si>
  <si>
    <t>i1809</t>
    <phoneticPr fontId="2" type="noConversion"/>
  </si>
  <si>
    <t>al1808</t>
    <phoneticPr fontId="2" type="noConversion"/>
  </si>
  <si>
    <t>中金公司</t>
  </si>
  <si>
    <t>RMB</t>
    <phoneticPr fontId="2" type="noConversion"/>
  </si>
  <si>
    <t>成交回报(平仓交易)</t>
    <phoneticPr fontId="2" type="noConversion"/>
  </si>
  <si>
    <t>RMB</t>
  </si>
  <si>
    <t xml:space="preserve">    看跌期权 </t>
    <phoneticPr fontId="2" type="noConversion"/>
  </si>
  <si>
    <t>ni1809</t>
    <phoneticPr fontId="2" type="noConversion"/>
  </si>
  <si>
    <t>al1807</t>
    <phoneticPr fontId="2" type="noConversion"/>
  </si>
  <si>
    <t>rb1810</t>
    <phoneticPr fontId="2" type="noConversion"/>
  </si>
  <si>
    <t>i1809</t>
    <phoneticPr fontId="2" type="noConversion"/>
  </si>
  <si>
    <t>ru1809</t>
    <phoneticPr fontId="2" type="noConversion"/>
  </si>
  <si>
    <t>sc1809</t>
    <phoneticPr fontId="2" type="noConversion"/>
  </si>
  <si>
    <t>i</t>
    <phoneticPr fontId="2" type="noConversion"/>
  </si>
  <si>
    <t>ru</t>
    <phoneticPr fontId="2" type="noConversion"/>
  </si>
  <si>
    <t>sc</t>
    <phoneticPr fontId="2" type="noConversion"/>
  </si>
  <si>
    <t>中信寰球</t>
    <phoneticPr fontId="2" type="noConversion"/>
  </si>
  <si>
    <t>看跌期权</t>
    <phoneticPr fontId="2" type="noConversion"/>
  </si>
  <si>
    <t>al1807</t>
    <phoneticPr fontId="2" type="noConversion"/>
  </si>
  <si>
    <t xml:space="preserve">成交回报(平仓) </t>
    <phoneticPr fontId="2" type="noConversion"/>
  </si>
  <si>
    <t>江铜国贸</t>
    <phoneticPr fontId="2" type="noConversion"/>
  </si>
  <si>
    <t>p1809</t>
  </si>
  <si>
    <t>RB1810</t>
  </si>
  <si>
    <t>中金公司</t>
    <phoneticPr fontId="2" type="noConversion"/>
  </si>
  <si>
    <t>看涨期权</t>
    <phoneticPr fontId="2" type="noConversion"/>
  </si>
  <si>
    <t>RMB</t>
    <phoneticPr fontId="2" type="noConversion"/>
  </si>
  <si>
    <t>cu1807</t>
  </si>
  <si>
    <t>sc1809</t>
  </si>
  <si>
    <t>ta809</t>
  </si>
  <si>
    <t>zc809</t>
  </si>
  <si>
    <t>pp1809</t>
  </si>
  <si>
    <t>v1809</t>
  </si>
  <si>
    <t>i1809</t>
  </si>
  <si>
    <t>j1809</t>
  </si>
  <si>
    <t>成交回报 l</t>
    <phoneticPr fontId="2" type="noConversion"/>
  </si>
  <si>
    <t>成交回报 2</t>
    <phoneticPr fontId="2" type="noConversion"/>
  </si>
  <si>
    <t>ru1809</t>
  </si>
  <si>
    <t>cf809</t>
  </si>
  <si>
    <t>m1809</t>
  </si>
  <si>
    <t>m1809</t>
    <phoneticPr fontId="2" type="noConversion"/>
  </si>
  <si>
    <t>m1901</t>
  </si>
  <si>
    <t>3000|3280</t>
  </si>
  <si>
    <t>2950|3350</t>
  </si>
  <si>
    <t>al1808</t>
  </si>
  <si>
    <t>zn1808</t>
  </si>
  <si>
    <t>cu1808</t>
  </si>
  <si>
    <t>cf901</t>
  </si>
  <si>
    <t>al1809</t>
    <phoneticPr fontId="2" type="noConversion"/>
  </si>
  <si>
    <t>中天科技</t>
    <phoneticPr fontId="2" type="noConversion"/>
  </si>
  <si>
    <t>al1808</t>
    <phoneticPr fontId="2" type="noConversion"/>
  </si>
  <si>
    <t>hc1810</t>
  </si>
  <si>
    <t>sr901</t>
  </si>
  <si>
    <t>Example</t>
    <phoneticPr fontId="2" type="noConversion"/>
  </si>
  <si>
    <t>成交回报3</t>
    <phoneticPr fontId="2" type="noConversion"/>
  </si>
  <si>
    <t>成交回报4</t>
    <phoneticPr fontId="2" type="noConversion"/>
  </si>
  <si>
    <t>jm1809</t>
  </si>
  <si>
    <t>.</t>
    <phoneticPr fontId="2" type="noConversion"/>
  </si>
  <si>
    <t>al1809</t>
  </si>
  <si>
    <t>al1809</t>
    <phoneticPr fontId="2" type="noConversion"/>
  </si>
  <si>
    <t>cf</t>
    <phoneticPr fontId="2" type="noConversion"/>
  </si>
  <si>
    <t>oi</t>
  </si>
  <si>
    <t>oi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</si>
</sst>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76" formatCode="###,###,##0.0000"/>
    <numFmt numFmtId="177" formatCode="0.0000"/>
    <numFmt numFmtId="178" formatCode="###,###,##0"/>
    <numFmt numFmtId="179" formatCode="###,###,##0.0"/>
    <numFmt numFmtId="180" formatCode="#,##0.0_ "/>
    <numFmt numFmtId="181" formatCode="#,##0_ "/>
    <numFmt numFmtId="182" formatCode="_ * #,##0_ ;_ * \-#,##0_ ;_ * &quot;-&quot;??_ ;_ @_ "/>
  </numFmts>
  <fonts count="3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6" tint="-0.499984740745262"/>
      <name val="宋体"/>
      <family val="2"/>
      <scheme val="minor"/>
    </font>
    <font>
      <sz val="11"/>
      <color theme="1"/>
      <name val="宋体"/>
      <family val="2"/>
      <charset val="136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5" fillId="0" borderId="0"/>
    <xf numFmtId="9" fontId="35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</cellStyleXfs>
  <cellXfs count="148">
    <xf numFmtId="0" fontId="0" fillId="0" borderId="0" xfId="0"/>
    <xf numFmtId="0" fontId="4" fillId="0" borderId="0" xfId="0" applyFont="1"/>
    <xf numFmtId="0" fontId="4" fillId="2" borderId="0" xfId="0" applyFont="1" applyFill="1"/>
    <xf numFmtId="0" fontId="6" fillId="0" borderId="0" xfId="0" applyFont="1" applyBorder="1"/>
    <xf numFmtId="14" fontId="5" fillId="0" borderId="0" xfId="0" applyNumberFormat="1" applyFont="1" applyBorder="1"/>
    <xf numFmtId="0" fontId="6" fillId="0" borderId="1" xfId="0" applyFont="1" applyBorder="1"/>
    <xf numFmtId="0" fontId="6" fillId="6" borderId="0" xfId="0" applyFont="1" applyFill="1"/>
    <xf numFmtId="0" fontId="6" fillId="6" borderId="1" xfId="0" applyFont="1" applyFill="1" applyBorder="1"/>
    <xf numFmtId="14" fontId="6" fillId="5" borderId="2" xfId="0" applyNumberFormat="1" applyFont="1" applyFill="1" applyBorder="1"/>
    <xf numFmtId="0" fontId="6" fillId="4" borderId="2" xfId="0" applyFont="1" applyFill="1" applyBorder="1"/>
    <xf numFmtId="0" fontId="6" fillId="9" borderId="2" xfId="0" applyFont="1" applyFill="1" applyBorder="1"/>
    <xf numFmtId="178" fontId="6" fillId="9" borderId="2" xfId="0" applyNumberFormat="1" applyFont="1" applyFill="1" applyBorder="1"/>
    <xf numFmtId="177" fontId="6" fillId="9" borderId="2" xfId="0" applyNumberFormat="1" applyFont="1" applyFill="1" applyBorder="1"/>
    <xf numFmtId="2" fontId="6" fillId="9" borderId="2" xfId="0" applyNumberFormat="1" applyFont="1" applyFill="1" applyBorder="1"/>
    <xf numFmtId="10" fontId="6" fillId="9" borderId="2" xfId="1" applyNumberFormat="1" applyFont="1" applyFill="1" applyBorder="1" applyAlignment="1"/>
    <xf numFmtId="0" fontId="6" fillId="8" borderId="2" xfId="0" applyFont="1" applyFill="1" applyBorder="1"/>
    <xf numFmtId="0" fontId="8" fillId="11" borderId="0" xfId="0" applyFont="1" applyFill="1"/>
    <xf numFmtId="0" fontId="6" fillId="7" borderId="1" xfId="0" applyFont="1" applyFill="1" applyBorder="1"/>
    <xf numFmtId="0" fontId="6" fillId="3" borderId="1" xfId="0" applyFont="1" applyFill="1" applyBorder="1"/>
    <xf numFmtId="0" fontId="6" fillId="9" borderId="6" xfId="0" applyFont="1" applyFill="1" applyBorder="1"/>
    <xf numFmtId="176" fontId="6" fillId="9" borderId="6" xfId="0" applyNumberFormat="1" applyFont="1" applyFill="1" applyBorder="1"/>
    <xf numFmtId="14" fontId="6" fillId="5" borderId="6" xfId="0" applyNumberFormat="1" applyFont="1" applyFill="1" applyBorder="1"/>
    <xf numFmtId="177" fontId="6" fillId="9" borderId="6" xfId="0" applyNumberFormat="1" applyFont="1" applyFill="1" applyBorder="1"/>
    <xf numFmtId="0" fontId="6" fillId="4" borderId="6" xfId="0" applyFont="1" applyFill="1" applyBorder="1"/>
    <xf numFmtId="2" fontId="6" fillId="9" borderId="6" xfId="0" applyNumberFormat="1" applyFont="1" applyFill="1" applyBorder="1"/>
    <xf numFmtId="0" fontId="6" fillId="8" borderId="6" xfId="0" applyFont="1" applyFill="1" applyBorder="1"/>
    <xf numFmtId="10" fontId="6" fillId="9" borderId="6" xfId="1" applyNumberFormat="1" applyFont="1" applyFill="1" applyBorder="1" applyAlignment="1"/>
    <xf numFmtId="0" fontId="5" fillId="6" borderId="0" xfId="0" applyFont="1" applyFill="1"/>
    <xf numFmtId="0" fontId="6" fillId="6" borderId="2" xfId="0" applyFont="1" applyFill="1" applyBorder="1"/>
    <xf numFmtId="0" fontId="5" fillId="0" borderId="0" xfId="0" applyFont="1" applyBorder="1"/>
    <xf numFmtId="0" fontId="5" fillId="0" borderId="1" xfId="0" applyFont="1" applyBorder="1"/>
    <xf numFmtId="0" fontId="5" fillId="6" borderId="1" xfId="0" applyFont="1" applyFill="1" applyBorder="1"/>
    <xf numFmtId="0" fontId="0" fillId="5" borderId="0" xfId="0" applyFill="1"/>
    <xf numFmtId="0" fontId="6" fillId="7" borderId="2" xfId="0" applyFont="1" applyFill="1" applyBorder="1" applyAlignment="1">
      <alignment horizontal="center"/>
    </xf>
    <xf numFmtId="0" fontId="11" fillId="6" borderId="0" xfId="0" applyFont="1" applyFill="1"/>
    <xf numFmtId="0" fontId="12" fillId="6" borderId="0" xfId="0" applyFont="1" applyFill="1"/>
    <xf numFmtId="9" fontId="6" fillId="9" borderId="6" xfId="1" applyFont="1" applyFill="1" applyBorder="1" applyAlignment="1"/>
    <xf numFmtId="9" fontId="6" fillId="9" borderId="2" xfId="1" applyFont="1" applyFill="1" applyBorder="1" applyAlignment="1"/>
    <xf numFmtId="14" fontId="6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3" fillId="7" borderId="1" xfId="0" applyFont="1" applyFill="1" applyBorder="1"/>
    <xf numFmtId="0" fontId="14" fillId="6" borderId="0" xfId="0" applyFont="1" applyFill="1"/>
    <xf numFmtId="2" fontId="13" fillId="9" borderId="6" xfId="0" applyNumberFormat="1" applyFont="1" applyFill="1" applyBorder="1"/>
    <xf numFmtId="0" fontId="13" fillId="9" borderId="6" xfId="0" applyFont="1" applyFill="1" applyBorder="1"/>
    <xf numFmtId="176" fontId="13" fillId="9" borderId="6" xfId="0" applyNumberFormat="1" applyFont="1" applyFill="1" applyBorder="1"/>
    <xf numFmtId="14" fontId="13" fillId="5" borderId="6" xfId="0" applyNumberFormat="1" applyFont="1" applyFill="1" applyBorder="1"/>
    <xf numFmtId="177" fontId="13" fillId="9" borderId="6" xfId="0" applyNumberFormat="1" applyFont="1" applyFill="1" applyBorder="1"/>
    <xf numFmtId="0" fontId="13" fillId="4" borderId="6" xfId="0" applyFont="1" applyFill="1" applyBorder="1"/>
    <xf numFmtId="0" fontId="13" fillId="8" borderId="6" xfId="0" applyFont="1" applyFill="1" applyBorder="1"/>
    <xf numFmtId="10" fontId="13" fillId="9" borderId="6" xfId="1" applyNumberFormat="1" applyFont="1" applyFill="1" applyBorder="1" applyAlignment="1"/>
    <xf numFmtId="2" fontId="13" fillId="9" borderId="2" xfId="0" applyNumberFormat="1" applyFont="1" applyFill="1" applyBorder="1"/>
    <xf numFmtId="0" fontId="13" fillId="9" borderId="2" xfId="0" applyFont="1" applyFill="1" applyBorder="1"/>
    <xf numFmtId="178" fontId="13" fillId="9" borderId="2" xfId="0" applyNumberFormat="1" applyFont="1" applyFill="1" applyBorder="1"/>
    <xf numFmtId="14" fontId="13" fillId="5" borderId="2" xfId="0" applyNumberFormat="1" applyFont="1" applyFill="1" applyBorder="1"/>
    <xf numFmtId="177" fontId="13" fillId="9" borderId="2" xfId="0" applyNumberFormat="1" applyFont="1" applyFill="1" applyBorder="1"/>
    <xf numFmtId="0" fontId="13" fillId="4" borderId="2" xfId="0" applyFont="1" applyFill="1" applyBorder="1"/>
    <xf numFmtId="0" fontId="13" fillId="8" borderId="2" xfId="0" applyFont="1" applyFill="1" applyBorder="1"/>
    <xf numFmtId="10" fontId="13" fillId="9" borderId="2" xfId="1" applyNumberFormat="1" applyFont="1" applyFill="1" applyBorder="1" applyAlignment="1"/>
    <xf numFmtId="2" fontId="13" fillId="12" borderId="2" xfId="0" applyNumberFormat="1" applyFont="1" applyFill="1" applyBorder="1"/>
    <xf numFmtId="0" fontId="13" fillId="12" borderId="2" xfId="0" applyFont="1" applyFill="1" applyBorder="1"/>
    <xf numFmtId="178" fontId="13" fillId="12" borderId="2" xfId="0" applyNumberFormat="1" applyFont="1" applyFill="1" applyBorder="1"/>
    <xf numFmtId="14" fontId="13" fillId="12" borderId="2" xfId="0" applyNumberFormat="1" applyFont="1" applyFill="1" applyBorder="1"/>
    <xf numFmtId="177" fontId="13" fillId="12" borderId="2" xfId="0" applyNumberFormat="1" applyFont="1" applyFill="1" applyBorder="1"/>
    <xf numFmtId="10" fontId="13" fillId="12" borderId="2" xfId="1" applyNumberFormat="1" applyFont="1" applyFill="1" applyBorder="1" applyAlignment="1"/>
    <xf numFmtId="14" fontId="16" fillId="13" borderId="9" xfId="0" applyNumberFormat="1" applyFont="1" applyFill="1" applyBorder="1" applyAlignment="1">
      <alignment horizontal="right" vertical="center" wrapText="1"/>
    </xf>
    <xf numFmtId="0" fontId="17" fillId="13" borderId="9" xfId="0" applyFont="1" applyFill="1" applyBorder="1" applyAlignment="1">
      <alignment vertical="center" wrapText="1"/>
    </xf>
    <xf numFmtId="0" fontId="16" fillId="13" borderId="9" xfId="0" applyFont="1" applyFill="1" applyBorder="1" applyAlignment="1">
      <alignment vertical="center" wrapText="1"/>
    </xf>
    <xf numFmtId="0" fontId="17" fillId="13" borderId="10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9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18" fillId="0" borderId="11" xfId="0" applyFon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10" fontId="18" fillId="0" borderId="11" xfId="0" applyNumberFormat="1" applyFont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10" fontId="18" fillId="0" borderId="12" xfId="0" applyNumberFormat="1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horizontal="right" vertical="center" wrapText="1"/>
    </xf>
    <xf numFmtId="0" fontId="20" fillId="14" borderId="12" xfId="0" applyFont="1" applyFill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10" fontId="18" fillId="14" borderId="11" xfId="0" applyNumberFormat="1" applyFont="1" applyFill="1" applyBorder="1" applyAlignment="1">
      <alignment horizontal="right" vertical="center" wrapText="1"/>
    </xf>
    <xf numFmtId="10" fontId="18" fillId="14" borderId="12" xfId="0" applyNumberFormat="1" applyFont="1" applyFill="1" applyBorder="1" applyAlignment="1">
      <alignment horizontal="right" vertical="center" wrapText="1"/>
    </xf>
    <xf numFmtId="0" fontId="20" fillId="0" borderId="11" xfId="0" applyFont="1" applyBorder="1" applyAlignment="1">
      <alignment horizontal="right" vertical="center" wrapText="1"/>
    </xf>
    <xf numFmtId="0" fontId="20" fillId="0" borderId="12" xfId="0" applyFont="1" applyBorder="1" applyAlignment="1">
      <alignment horizontal="right" vertical="center" wrapText="1"/>
    </xf>
    <xf numFmtId="0" fontId="21" fillId="14" borderId="11" xfId="0" applyFont="1" applyFill="1" applyBorder="1" applyAlignment="1">
      <alignment vertical="center" wrapText="1"/>
    </xf>
    <xf numFmtId="0" fontId="21" fillId="14" borderId="12" xfId="0" applyFont="1" applyFill="1" applyBorder="1" applyAlignment="1">
      <alignment vertical="center" wrapText="1"/>
    </xf>
    <xf numFmtId="0" fontId="21" fillId="0" borderId="11" xfId="0" applyFont="1" applyBorder="1" applyAlignment="1">
      <alignment vertical="center" wrapText="1"/>
    </xf>
    <xf numFmtId="0" fontId="21" fillId="0" borderId="12" xfId="0" applyFont="1" applyBorder="1" applyAlignment="1">
      <alignment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6" fillId="3" borderId="2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14" fontId="6" fillId="9" borderId="0" xfId="0" applyNumberFormat="1" applyFont="1" applyFill="1" applyAlignment="1">
      <alignment horizontal="center"/>
    </xf>
    <xf numFmtId="179" fontId="13" fillId="9" borderId="2" xfId="0" applyNumberFormat="1" applyFont="1" applyFill="1" applyBorder="1"/>
    <xf numFmtId="0" fontId="6" fillId="6" borderId="0" xfId="0" applyFont="1" applyFill="1" applyBorder="1"/>
    <xf numFmtId="0" fontId="15" fillId="6" borderId="15" xfId="0" applyFont="1" applyFill="1" applyBorder="1"/>
    <xf numFmtId="0" fontId="15" fillId="6" borderId="13" xfId="0" applyFont="1" applyFill="1" applyBorder="1"/>
    <xf numFmtId="0" fontId="6" fillId="6" borderId="14" xfId="0" applyFont="1" applyFill="1" applyBorder="1"/>
    <xf numFmtId="2" fontId="6" fillId="9" borderId="0" xfId="0" applyNumberFormat="1" applyFont="1" applyFill="1" applyAlignment="1">
      <alignment horizontal="center"/>
    </xf>
    <xf numFmtId="0" fontId="23" fillId="6" borderId="0" xfId="0" applyFont="1" applyFill="1"/>
    <xf numFmtId="0" fontId="27" fillId="10" borderId="0" xfId="0" applyFont="1" applyFill="1" applyBorder="1" applyAlignment="1">
      <alignment horizontal="left"/>
    </xf>
    <xf numFmtId="0" fontId="26" fillId="10" borderId="0" xfId="0" applyFont="1" applyFill="1" applyBorder="1" applyAlignment="1">
      <alignment horizontal="center"/>
    </xf>
    <xf numFmtId="0" fontId="26" fillId="10" borderId="7" xfId="0" applyFont="1" applyFill="1" applyBorder="1" applyAlignment="1">
      <alignment horizontal="center"/>
    </xf>
    <xf numFmtId="0" fontId="26" fillId="10" borderId="8" xfId="0" applyFont="1" applyFill="1" applyBorder="1" applyAlignment="1">
      <alignment horizontal="center"/>
    </xf>
    <xf numFmtId="0" fontId="28" fillId="10" borderId="0" xfId="0" applyFont="1" applyFill="1" applyBorder="1" applyAlignment="1">
      <alignment horizontal="left" vertical="center"/>
    </xf>
    <xf numFmtId="0" fontId="29" fillId="10" borderId="3" xfId="0" applyFont="1" applyFill="1" applyBorder="1" applyAlignment="1">
      <alignment horizontal="right" vertical="center"/>
    </xf>
    <xf numFmtId="0" fontId="29" fillId="10" borderId="0" xfId="0" applyFont="1" applyFill="1" applyBorder="1" applyAlignment="1">
      <alignment horizontal="right" vertical="center"/>
    </xf>
    <xf numFmtId="0" fontId="30" fillId="6" borderId="0" xfId="0" applyFont="1" applyFill="1"/>
    <xf numFmtId="0" fontId="23" fillId="6" borderId="1" xfId="0" applyFont="1" applyFill="1" applyBorder="1"/>
    <xf numFmtId="179" fontId="13" fillId="9" borderId="6" xfId="0" applyNumberFormat="1" applyFont="1" applyFill="1" applyBorder="1"/>
    <xf numFmtId="179" fontId="13" fillId="12" borderId="2" xfId="0" applyNumberFormat="1" applyFont="1" applyFill="1" applyBorder="1"/>
    <xf numFmtId="0" fontId="7" fillId="6" borderId="0" xfId="0" applyFont="1" applyFill="1"/>
    <xf numFmtId="180" fontId="13" fillId="9" borderId="6" xfId="0" applyNumberFormat="1" applyFont="1" applyFill="1" applyBorder="1"/>
    <xf numFmtId="178" fontId="6" fillId="6" borderId="0" xfId="0" applyNumberFormat="1" applyFont="1" applyFill="1"/>
    <xf numFmtId="179" fontId="6" fillId="6" borderId="0" xfId="0" applyNumberFormat="1" applyFont="1" applyFill="1"/>
    <xf numFmtId="0" fontId="34" fillId="4" borderId="2" xfId="0" applyFont="1" applyFill="1" applyBorder="1"/>
    <xf numFmtId="10" fontId="6" fillId="6" borderId="0" xfId="0" applyNumberFormat="1" applyFont="1" applyFill="1"/>
    <xf numFmtId="181" fontId="13" fillId="9" borderId="6" xfId="0" applyNumberFormat="1" applyFont="1" applyFill="1" applyBorder="1"/>
    <xf numFmtId="181" fontId="13" fillId="9" borderId="2" xfId="0" applyNumberFormat="1" applyFont="1" applyFill="1" applyBorder="1"/>
    <xf numFmtId="182" fontId="6" fillId="6" borderId="0" xfId="5" applyNumberFormat="1" applyFont="1" applyFill="1" applyAlignment="1"/>
    <xf numFmtId="179" fontId="6" fillId="9" borderId="2" xfId="0" applyNumberFormat="1" applyFont="1" applyFill="1" applyBorder="1"/>
    <xf numFmtId="0" fontId="9" fillId="0" borderId="4" xfId="0" applyFont="1" applyBorder="1" applyAlignment="1">
      <alignment horizontal="center"/>
    </xf>
    <xf numFmtId="0" fontId="32" fillId="10" borderId="0" xfId="0" applyFont="1" applyFill="1" applyBorder="1" applyAlignment="1">
      <alignment horizontal="lef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0" xfId="0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left" vertical="center"/>
    </xf>
    <xf numFmtId="0" fontId="33" fillId="10" borderId="5" xfId="0" applyFont="1" applyFill="1" applyBorder="1" applyAlignment="1">
      <alignment horizontal="right" vertical="center"/>
    </xf>
    <xf numFmtId="0" fontId="33" fillId="10" borderId="1" xfId="0" applyFont="1" applyFill="1" applyBorder="1" applyAlignment="1">
      <alignment horizontal="right" vertical="center"/>
    </xf>
    <xf numFmtId="14" fontId="33" fillId="10" borderId="3" xfId="0" applyNumberFormat="1" applyFont="1" applyFill="1" applyBorder="1" applyAlignment="1">
      <alignment horizontal="right" vertical="center"/>
    </xf>
    <xf numFmtId="0" fontId="31" fillId="10" borderId="1" xfId="0" applyFont="1" applyFill="1" applyBorder="1" applyAlignment="1">
      <alignment horizontal="center"/>
    </xf>
    <xf numFmtId="14" fontId="33" fillId="10" borderId="0" xfId="0" applyNumberFormat="1" applyFont="1" applyFill="1" applyBorder="1" applyAlignment="1">
      <alignment horizontal="right" vertical="center"/>
    </xf>
    <xf numFmtId="0" fontId="28" fillId="10" borderId="1" xfId="0" applyFont="1" applyFill="1" applyBorder="1" applyAlignment="1">
      <alignment horizontal="left" vertical="center"/>
    </xf>
    <xf numFmtId="0" fontId="29" fillId="10" borderId="5" xfId="0" applyFont="1" applyFill="1" applyBorder="1" applyAlignment="1">
      <alignment horizontal="right" vertical="center"/>
    </xf>
    <xf numFmtId="0" fontId="29" fillId="10" borderId="1" xfId="0" applyFont="1" applyFill="1" applyBorder="1" applyAlignment="1">
      <alignment horizontal="right" vertical="center"/>
    </xf>
    <xf numFmtId="0" fontId="29" fillId="10" borderId="3" xfId="0" applyFont="1" applyFill="1" applyBorder="1" applyAlignment="1">
      <alignment horizontal="right" vertical="center"/>
    </xf>
    <xf numFmtId="0" fontId="29" fillId="10" borderId="0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left" vertical="center"/>
    </xf>
    <xf numFmtId="0" fontId="22" fillId="0" borderId="1" xfId="0" applyFont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26" fillId="10" borderId="1" xfId="0" applyFont="1" applyFill="1" applyBorder="1" applyAlignment="1">
      <alignment horizontal="center"/>
    </xf>
    <xf numFmtId="0" fontId="26" fillId="10" borderId="7" xfId="0" applyFont="1" applyFill="1" applyBorder="1" applyAlignment="1">
      <alignment horizontal="center"/>
    </xf>
    <xf numFmtId="0" fontId="26" fillId="10" borderId="8" xfId="0" applyFont="1" applyFill="1" applyBorder="1" applyAlignment="1">
      <alignment horizontal="center"/>
    </xf>
    <xf numFmtId="0" fontId="25" fillId="6" borderId="1" xfId="0" applyFont="1" applyFill="1" applyBorder="1" applyAlignment="1">
      <alignment horizontal="center"/>
    </xf>
    <xf numFmtId="0" fontId="32" fillId="10" borderId="16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6">
    <cellStyle name="百分比" xfId="1" builtinId="5"/>
    <cellStyle name="百分比 2" xfId="4"/>
    <cellStyle name="常规" xfId="0" builtinId="0"/>
    <cellStyle name="常规 2" xfId="3"/>
    <cellStyle name="常规 3" xfId="2"/>
    <cellStyle name="千位分隔" xfId="5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14880</v>
        <stp/>
        <stp>al1809</stp>
        <stp>LastPrice</stp>
        <tr r="P19" s="1"/>
        <tr r="P20" s="1"/>
        <tr r="P32" s="1"/>
        <tr r="P38" s="1"/>
        <tr r="P33" s="1"/>
        <tr r="P39" s="1"/>
      </tp>
      <tp>
        <v>14800</v>
        <stp/>
        <stp>al1808</stp>
        <stp>LastPrice</stp>
        <tr r="P8" s="1"/>
        <tr r="P18" s="1"/>
        <tr r="P17" s="1"/>
        <tr r="P30" s="1"/>
        <tr r="P36" s="1"/>
        <tr r="P31" s="1"/>
        <tr r="P37" s="1"/>
      </tp>
      <tp>
        <v>459.5</v>
        <stp/>
        <stp>i1809</stp>
        <stp>LastPrice</stp>
        <tr r="P11" s="9"/>
        <tr r="P12" s="1"/>
        <tr r="P13" s="1"/>
        <tr r="P14" s="1"/>
      </tp>
      <tp>
        <v>3044</v>
        <stp/>
        <stp>m1809</stp>
        <stp>LastPrice</stp>
        <tr r="P18" s="9"/>
        <tr r="P21" s="9"/>
        <tr r="P29" s="9"/>
        <tr r="P26" s="9"/>
      </tp>
      <tp>
        <v>3583</v>
        <stp/>
        <stp>rb1810</stp>
        <stp>LastPrice</stp>
        <tr r="P14" s="9"/>
      </tp>
      <tp t="e">
        <v>#N/A</v>
        <stp/>
        <stp>RB1805</stp>
        <stp>LastPrice</stp>
        <tr r="H8" s="7"/>
        <tr r="H8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V169"/>
  <sheetViews>
    <sheetView topLeftCell="A152" zoomScaleNormal="100" workbookViewId="0">
      <selection activeCell="B171" sqref="B171:V183"/>
    </sheetView>
  </sheetViews>
  <sheetFormatPr defaultColWidth="9" defaultRowHeight="11.25" x14ac:dyDescent="0.15"/>
  <cols>
    <col min="1" max="1" width="9" style="6"/>
    <col min="2" max="2" width="7.5" style="6" bestFit="1" customWidth="1"/>
    <col min="3" max="3" width="6" style="6" bestFit="1" customWidth="1"/>
    <col min="4" max="5" width="8.25" style="6" bestFit="1" customWidth="1"/>
    <col min="6" max="6" width="8.875" style="6" customWidth="1"/>
    <col min="7" max="7" width="4.5" style="6" hidden="1" customWidth="1"/>
    <col min="8" max="8" width="9.75" style="6" hidden="1" customWidth="1"/>
    <col min="9" max="9" width="17" style="6" hidden="1" customWidth="1"/>
    <col min="10" max="10" width="6" style="6" hidden="1" customWidth="1"/>
    <col min="11" max="11" width="10.5" style="6" hidden="1" customWidth="1"/>
    <col min="12" max="12" width="7.5" style="6" hidden="1" customWidth="1"/>
    <col min="13" max="13" width="1.375" style="6" hidden="1" customWidth="1"/>
    <col min="14" max="14" width="9.75" style="6" bestFit="1" customWidth="1"/>
    <col min="15" max="15" width="6" style="6" bestFit="1" customWidth="1"/>
    <col min="16" max="16" width="3.75" style="6" bestFit="1" customWidth="1"/>
    <col min="17" max="17" width="3" style="6" hidden="1" customWidth="1"/>
    <col min="18" max="18" width="7.5" style="6" bestFit="1" customWidth="1"/>
    <col min="19" max="21" width="9" style="6"/>
    <col min="22" max="22" width="13" style="6" bestFit="1" customWidth="1"/>
    <col min="23" max="16384" width="9" style="6"/>
  </cols>
  <sheetData>
    <row r="1" spans="2:18" ht="14.25" customHeight="1" thickBot="1" x14ac:dyDescent="0.2">
      <c r="B1" s="122" t="s">
        <v>158</v>
      </c>
      <c r="C1" s="122"/>
      <c r="D1" s="122"/>
    </row>
    <row r="2" spans="2:18" ht="12" thickTop="1" x14ac:dyDescent="0.15"/>
    <row r="3" spans="2:18" ht="13.5" x14ac:dyDescent="0.15">
      <c r="I3" s="112" t="s">
        <v>201</v>
      </c>
    </row>
    <row r="5" spans="2:18" x14ac:dyDescent="0.15">
      <c r="B5" s="91" t="s">
        <v>2</v>
      </c>
      <c r="C5" s="33" t="s">
        <v>181</v>
      </c>
      <c r="D5" s="33" t="s">
        <v>180</v>
      </c>
      <c r="E5" s="33" t="s">
        <v>10</v>
      </c>
      <c r="F5" s="33" t="s">
        <v>184</v>
      </c>
      <c r="G5" s="33" t="s">
        <v>11</v>
      </c>
      <c r="H5" s="33" t="s">
        <v>12</v>
      </c>
      <c r="I5" s="33" t="s">
        <v>47</v>
      </c>
      <c r="J5" s="33" t="s">
        <v>13</v>
      </c>
      <c r="K5" s="33" t="s">
        <v>14</v>
      </c>
      <c r="L5" s="33" t="s">
        <v>26</v>
      </c>
      <c r="M5" s="33" t="s">
        <v>28</v>
      </c>
      <c r="N5" s="33" t="s">
        <v>182</v>
      </c>
      <c r="O5" s="33" t="s">
        <v>8</v>
      </c>
      <c r="P5" s="33" t="s">
        <v>23</v>
      </c>
      <c r="Q5" s="33"/>
      <c r="R5" s="33" t="s">
        <v>30</v>
      </c>
    </row>
    <row r="6" spans="2:18" x14ac:dyDescent="0.15">
      <c r="B6" s="92" t="s">
        <v>160</v>
      </c>
      <c r="C6" s="92" t="s">
        <v>159</v>
      </c>
      <c r="D6" s="93">
        <v>43105</v>
      </c>
      <c r="E6" s="93">
        <v>43135</v>
      </c>
      <c r="F6" s="92">
        <v>3800</v>
      </c>
      <c r="G6" s="92">
        <v>30</v>
      </c>
      <c r="H6" s="92">
        <v>8.2191780821917804E-2</v>
      </c>
      <c r="I6" s="92">
        <v>0</v>
      </c>
      <c r="J6" s="92">
        <v>0.3</v>
      </c>
      <c r="K6" s="92" t="e">
        <v>#VALUE!</v>
      </c>
      <c r="L6" s="92">
        <v>80</v>
      </c>
      <c r="M6" s="92" t="e">
        <v>#N/A</v>
      </c>
      <c r="N6" s="92" t="e">
        <v>#VALUE!</v>
      </c>
      <c r="O6" s="92" t="e">
        <v>#N/A</v>
      </c>
      <c r="P6" s="92" t="s">
        <v>39</v>
      </c>
      <c r="Q6" s="92">
        <v>-1</v>
      </c>
      <c r="R6" s="92" t="s">
        <v>20</v>
      </c>
    </row>
    <row r="7" spans="2:18" x14ac:dyDescent="0.15">
      <c r="B7" s="92" t="s">
        <v>160</v>
      </c>
      <c r="C7" s="92" t="s">
        <v>159</v>
      </c>
      <c r="D7" s="93">
        <v>43105</v>
      </c>
      <c r="E7" s="93">
        <v>43470</v>
      </c>
      <c r="F7" s="92">
        <v>100</v>
      </c>
      <c r="G7" s="92">
        <v>365</v>
      </c>
      <c r="H7" s="92">
        <v>1</v>
      </c>
      <c r="I7" s="92">
        <v>0</v>
      </c>
      <c r="J7" s="92">
        <v>0.18</v>
      </c>
      <c r="K7" s="92">
        <v>7.0292776883103798</v>
      </c>
      <c r="L7" s="92">
        <v>80</v>
      </c>
      <c r="M7" s="92">
        <v>0.8</v>
      </c>
      <c r="N7" s="92">
        <v>6.22927768831038</v>
      </c>
      <c r="O7" s="92">
        <v>100</v>
      </c>
      <c r="P7" s="92" t="s">
        <v>39</v>
      </c>
      <c r="Q7" s="92">
        <v>1</v>
      </c>
      <c r="R7" s="92" t="s">
        <v>151</v>
      </c>
    </row>
    <row r="8" spans="2:18" x14ac:dyDescent="0.15">
      <c r="B8" s="91" t="s">
        <v>2</v>
      </c>
      <c r="C8" s="33" t="s">
        <v>181</v>
      </c>
      <c r="D8" s="33" t="s">
        <v>180</v>
      </c>
      <c r="E8" s="33" t="s">
        <v>10</v>
      </c>
      <c r="F8" s="33" t="s">
        <v>184</v>
      </c>
      <c r="G8" s="33" t="s">
        <v>11</v>
      </c>
      <c r="H8" s="33" t="s">
        <v>12</v>
      </c>
      <c r="I8" s="33" t="s">
        <v>47</v>
      </c>
      <c r="J8" s="33" t="s">
        <v>13</v>
      </c>
      <c r="K8" s="33" t="s">
        <v>14</v>
      </c>
      <c r="L8" s="33" t="s">
        <v>26</v>
      </c>
      <c r="M8" s="33" t="s">
        <v>28</v>
      </c>
      <c r="N8" s="33" t="s">
        <v>182</v>
      </c>
      <c r="O8" s="33" t="s">
        <v>8</v>
      </c>
      <c r="P8" s="33" t="s">
        <v>23</v>
      </c>
      <c r="Q8" s="33"/>
      <c r="R8" s="33" t="s">
        <v>30</v>
      </c>
    </row>
    <row r="9" spans="2:18" x14ac:dyDescent="0.15">
      <c r="B9" s="92" t="s">
        <v>160</v>
      </c>
      <c r="C9" s="92" t="s">
        <v>185</v>
      </c>
      <c r="D9" s="93">
        <v>43215</v>
      </c>
      <c r="E9" s="93">
        <v>43245</v>
      </c>
      <c r="F9" s="92">
        <v>3400</v>
      </c>
      <c r="G9" s="92">
        <v>30</v>
      </c>
      <c r="H9" s="92">
        <v>7.6712328767123292E-2</v>
      </c>
      <c r="I9" s="92">
        <v>0</v>
      </c>
      <c r="J9" s="92">
        <v>0.20499999999999999</v>
      </c>
      <c r="K9" s="92">
        <v>24.313302977530157</v>
      </c>
      <c r="L9" s="92">
        <v>0</v>
      </c>
      <c r="M9" s="92">
        <v>0</v>
      </c>
      <c r="N9" s="99">
        <v>24.313302977530157</v>
      </c>
      <c r="O9" s="92">
        <v>3555</v>
      </c>
      <c r="P9" s="92" t="s">
        <v>85</v>
      </c>
      <c r="Q9" s="92">
        <v>1</v>
      </c>
      <c r="R9" s="92" t="s">
        <v>151</v>
      </c>
    </row>
    <row r="10" spans="2:18" x14ac:dyDescent="0.15">
      <c r="B10" s="92" t="s">
        <v>160</v>
      </c>
      <c r="C10" s="92" t="s">
        <v>185</v>
      </c>
      <c r="D10" s="93">
        <v>43215</v>
      </c>
      <c r="E10" s="93">
        <v>43245</v>
      </c>
      <c r="F10" s="92">
        <v>3350</v>
      </c>
      <c r="G10" s="92">
        <v>30</v>
      </c>
      <c r="H10" s="92">
        <v>7.6712328767123292E-2</v>
      </c>
      <c r="I10" s="92">
        <v>0</v>
      </c>
      <c r="J10" s="92">
        <v>0.2</v>
      </c>
      <c r="K10" s="92">
        <v>13.829456332751647</v>
      </c>
      <c r="L10" s="92">
        <v>0</v>
      </c>
      <c r="M10" s="92">
        <v>0</v>
      </c>
      <c r="N10" s="99">
        <v>13.829456332751647</v>
      </c>
      <c r="O10" s="92">
        <v>3555</v>
      </c>
      <c r="P10" s="92" t="s">
        <v>85</v>
      </c>
      <c r="Q10" s="92">
        <v>1</v>
      </c>
      <c r="R10" s="92" t="s">
        <v>151</v>
      </c>
    </row>
    <row r="11" spans="2:18" x14ac:dyDescent="0.15">
      <c r="B11" s="92" t="s">
        <v>160</v>
      </c>
      <c r="C11" s="92" t="s">
        <v>185</v>
      </c>
      <c r="D11" s="93">
        <v>43215</v>
      </c>
      <c r="E11" s="93">
        <v>43245</v>
      </c>
      <c r="F11" s="92">
        <v>3300</v>
      </c>
      <c r="G11" s="92">
        <v>30</v>
      </c>
      <c r="H11" s="92">
        <v>7.6712328767123292E-2</v>
      </c>
      <c r="I11" s="92">
        <v>0</v>
      </c>
      <c r="J11" s="92">
        <v>0.19</v>
      </c>
      <c r="K11" s="92">
        <v>6.390814376368553</v>
      </c>
      <c r="L11" s="92">
        <v>0</v>
      </c>
      <c r="M11" s="92">
        <v>0</v>
      </c>
      <c r="N11" s="99">
        <v>6.390814376368553</v>
      </c>
      <c r="O11" s="92">
        <v>3555</v>
      </c>
      <c r="P11" s="92" t="s">
        <v>85</v>
      </c>
      <c r="Q11" s="92">
        <v>1</v>
      </c>
      <c r="R11" s="92" t="s">
        <v>151</v>
      </c>
    </row>
    <row r="12" spans="2:18" x14ac:dyDescent="0.15">
      <c r="B12" s="91" t="s">
        <v>2</v>
      </c>
      <c r="C12" s="33" t="s">
        <v>181</v>
      </c>
      <c r="D12" s="33" t="s">
        <v>180</v>
      </c>
      <c r="E12" s="33" t="s">
        <v>10</v>
      </c>
      <c r="F12" s="33" t="s">
        <v>184</v>
      </c>
      <c r="G12" s="33" t="s">
        <v>11</v>
      </c>
      <c r="H12" s="33" t="s">
        <v>12</v>
      </c>
      <c r="I12" s="33" t="s">
        <v>47</v>
      </c>
      <c r="J12" s="33" t="s">
        <v>13</v>
      </c>
      <c r="K12" s="33" t="s">
        <v>14</v>
      </c>
      <c r="L12" s="33" t="s">
        <v>26</v>
      </c>
      <c r="M12" s="33" t="s">
        <v>28</v>
      </c>
      <c r="N12" s="33" t="s">
        <v>182</v>
      </c>
      <c r="O12" s="33" t="s">
        <v>8</v>
      </c>
      <c r="P12" s="33" t="s">
        <v>23</v>
      </c>
      <c r="Q12" s="33"/>
      <c r="R12" s="33" t="s">
        <v>30</v>
      </c>
    </row>
    <row r="13" spans="2:18" x14ac:dyDescent="0.15">
      <c r="B13" s="92" t="s">
        <v>160</v>
      </c>
      <c r="C13" s="92" t="s">
        <v>223</v>
      </c>
      <c r="D13" s="93">
        <v>43215</v>
      </c>
      <c r="E13" s="93">
        <v>43306</v>
      </c>
      <c r="F13" s="92">
        <v>4500</v>
      </c>
      <c r="G13" s="92">
        <v>91</v>
      </c>
      <c r="H13" s="92">
        <v>0.24383561643835616</v>
      </c>
      <c r="I13" s="92">
        <v>0</v>
      </c>
      <c r="J13" s="92">
        <v>0.1</v>
      </c>
      <c r="K13" s="92">
        <v>1.4038573266967802</v>
      </c>
      <c r="L13" s="92">
        <v>0</v>
      </c>
      <c r="M13" s="92">
        <v>0</v>
      </c>
      <c r="N13" s="99">
        <v>1.4038573266967802</v>
      </c>
      <c r="O13" s="92">
        <v>4998</v>
      </c>
      <c r="P13" s="92" t="s">
        <v>85</v>
      </c>
      <c r="Q13" s="92">
        <v>1</v>
      </c>
      <c r="R13" s="92" t="s">
        <v>151</v>
      </c>
    </row>
    <row r="14" spans="2:18" x14ac:dyDescent="0.15">
      <c r="B14" s="92" t="s">
        <v>160</v>
      </c>
      <c r="C14" s="92" t="s">
        <v>223</v>
      </c>
      <c r="D14" s="93">
        <v>43215</v>
      </c>
      <c r="E14" s="93">
        <v>43306</v>
      </c>
      <c r="F14" s="92">
        <v>5300</v>
      </c>
      <c r="G14" s="92">
        <v>91</v>
      </c>
      <c r="H14" s="92">
        <v>0.24383561643835616</v>
      </c>
      <c r="I14" s="92">
        <v>0</v>
      </c>
      <c r="J14" s="92">
        <v>0.1</v>
      </c>
      <c r="K14" s="92">
        <v>14.535158539548092</v>
      </c>
      <c r="L14" s="92">
        <v>0</v>
      </c>
      <c r="M14" s="92">
        <v>0</v>
      </c>
      <c r="N14" s="99">
        <v>14.535158539548092</v>
      </c>
      <c r="O14" s="92">
        <v>4998</v>
      </c>
      <c r="P14" s="92" t="s">
        <v>39</v>
      </c>
      <c r="Q14" s="92">
        <v>1</v>
      </c>
      <c r="R14" s="92" t="s">
        <v>151</v>
      </c>
    </row>
    <row r="15" spans="2:18" x14ac:dyDescent="0.15">
      <c r="B15" s="91" t="s">
        <v>2</v>
      </c>
      <c r="C15" s="33" t="s">
        <v>181</v>
      </c>
      <c r="D15" s="33" t="s">
        <v>180</v>
      </c>
      <c r="E15" s="33" t="s">
        <v>10</v>
      </c>
      <c r="F15" s="33" t="s">
        <v>184</v>
      </c>
      <c r="G15" s="33" t="s">
        <v>11</v>
      </c>
      <c r="H15" s="33" t="s">
        <v>12</v>
      </c>
      <c r="I15" s="33" t="s">
        <v>47</v>
      </c>
      <c r="J15" s="33" t="s">
        <v>13</v>
      </c>
      <c r="K15" s="33" t="s">
        <v>14</v>
      </c>
      <c r="L15" s="33" t="s">
        <v>26</v>
      </c>
      <c r="M15" s="33" t="s">
        <v>28</v>
      </c>
      <c r="N15" s="33" t="s">
        <v>182</v>
      </c>
      <c r="O15" s="33" t="s">
        <v>8</v>
      </c>
      <c r="P15" s="33" t="s">
        <v>23</v>
      </c>
      <c r="Q15" s="33"/>
      <c r="R15" s="33" t="s">
        <v>30</v>
      </c>
    </row>
    <row r="16" spans="2:18" x14ac:dyDescent="0.15">
      <c r="B16" s="92" t="s">
        <v>160</v>
      </c>
      <c r="C16" s="92" t="s">
        <v>224</v>
      </c>
      <c r="D16" s="93">
        <v>43215</v>
      </c>
      <c r="E16" s="93">
        <v>43222</v>
      </c>
      <c r="F16" s="92">
        <v>3700</v>
      </c>
      <c r="G16" s="92">
        <v>7</v>
      </c>
      <c r="H16" s="92">
        <v>1.9178082191780823E-2</v>
      </c>
      <c r="I16" s="92">
        <v>0</v>
      </c>
      <c r="J16" s="92">
        <v>0.24</v>
      </c>
      <c r="K16" s="92">
        <v>-77.722369716806043</v>
      </c>
      <c r="L16" s="92"/>
      <c r="M16" s="92">
        <v>0</v>
      </c>
      <c r="N16" s="99">
        <v>80</v>
      </c>
      <c r="O16" s="92">
        <v>3650</v>
      </c>
      <c r="P16" s="92" t="s">
        <v>85</v>
      </c>
      <c r="Q16" s="92">
        <v>-1</v>
      </c>
      <c r="R16" s="92" t="s">
        <v>20</v>
      </c>
    </row>
    <row r="17" spans="2:18" x14ac:dyDescent="0.15">
      <c r="B17" s="91" t="s">
        <v>2</v>
      </c>
      <c r="C17" s="33" t="s">
        <v>181</v>
      </c>
      <c r="D17" s="33" t="s">
        <v>180</v>
      </c>
      <c r="E17" s="33" t="s">
        <v>10</v>
      </c>
      <c r="F17" s="33" t="s">
        <v>184</v>
      </c>
      <c r="G17" s="33" t="s">
        <v>11</v>
      </c>
      <c r="H17" s="33" t="s">
        <v>12</v>
      </c>
      <c r="I17" s="33" t="s">
        <v>47</v>
      </c>
      <c r="J17" s="33" t="s">
        <v>13</v>
      </c>
      <c r="K17" s="33" t="s">
        <v>14</v>
      </c>
      <c r="L17" s="33" t="s">
        <v>26</v>
      </c>
      <c r="M17" s="33" t="s">
        <v>28</v>
      </c>
      <c r="N17" s="33" t="s">
        <v>182</v>
      </c>
      <c r="O17" s="33" t="s">
        <v>8</v>
      </c>
      <c r="P17" s="33" t="s">
        <v>23</v>
      </c>
      <c r="Q17" s="33"/>
      <c r="R17" s="33" t="s">
        <v>30</v>
      </c>
    </row>
    <row r="18" spans="2:18" x14ac:dyDescent="0.15">
      <c r="B18" s="92" t="s">
        <v>160</v>
      </c>
      <c r="C18" s="92" t="s">
        <v>228</v>
      </c>
      <c r="D18" s="93">
        <v>43222</v>
      </c>
      <c r="E18" s="93">
        <v>43251</v>
      </c>
      <c r="F18" s="92">
        <v>53000</v>
      </c>
      <c r="G18" s="92">
        <v>29</v>
      </c>
      <c r="H18" s="92">
        <v>7.9452054794520555E-2</v>
      </c>
      <c r="I18" s="92">
        <v>0</v>
      </c>
      <c r="J18" s="92">
        <v>0.14499999999999999</v>
      </c>
      <c r="K18" s="92">
        <v>235.68111212474469</v>
      </c>
      <c r="L18" s="92">
        <v>30</v>
      </c>
      <c r="M18" s="92">
        <v>12.203835616438358</v>
      </c>
      <c r="N18" s="99">
        <v>223.47727650830632</v>
      </c>
      <c r="O18" s="92">
        <v>51200</v>
      </c>
      <c r="P18" s="92" t="s">
        <v>39</v>
      </c>
      <c r="Q18" s="92">
        <v>1</v>
      </c>
      <c r="R18" s="92" t="s">
        <v>151</v>
      </c>
    </row>
    <row r="19" spans="2:18" x14ac:dyDescent="0.15">
      <c r="B19" s="91" t="s">
        <v>2</v>
      </c>
      <c r="C19" s="33" t="s">
        <v>181</v>
      </c>
      <c r="D19" s="33" t="s">
        <v>180</v>
      </c>
      <c r="E19" s="33" t="s">
        <v>10</v>
      </c>
      <c r="F19" s="33" t="s">
        <v>184</v>
      </c>
      <c r="G19" s="33" t="s">
        <v>11</v>
      </c>
      <c r="H19" s="33" t="s">
        <v>12</v>
      </c>
      <c r="I19" s="33" t="s">
        <v>47</v>
      </c>
      <c r="J19" s="33" t="s">
        <v>13</v>
      </c>
      <c r="K19" s="33" t="s">
        <v>14</v>
      </c>
      <c r="L19" s="33" t="s">
        <v>26</v>
      </c>
      <c r="M19" s="33" t="s">
        <v>28</v>
      </c>
      <c r="N19" s="33" t="s">
        <v>182</v>
      </c>
      <c r="O19" s="33" t="s">
        <v>8</v>
      </c>
      <c r="P19" s="33" t="s">
        <v>23</v>
      </c>
      <c r="Q19" s="33"/>
      <c r="R19" s="33" t="s">
        <v>30</v>
      </c>
    </row>
    <row r="20" spans="2:18" x14ac:dyDescent="0.15">
      <c r="B20" s="92" t="s">
        <v>160</v>
      </c>
      <c r="C20" s="92" t="s">
        <v>228</v>
      </c>
      <c r="D20" s="93">
        <v>43222</v>
      </c>
      <c r="E20" s="93">
        <v>43251</v>
      </c>
      <c r="F20" s="92">
        <v>53000</v>
      </c>
      <c r="G20" s="92">
        <v>29</v>
      </c>
      <c r="H20" s="92">
        <v>7.9452054794520555E-2</v>
      </c>
      <c r="I20" s="92">
        <v>0</v>
      </c>
      <c r="J20" s="92">
        <v>0.14499999999999999</v>
      </c>
      <c r="K20" s="92">
        <v>267.88911782858668</v>
      </c>
      <c r="L20" s="92">
        <v>30</v>
      </c>
      <c r="M20" s="92">
        <v>12.239589041095892</v>
      </c>
      <c r="N20" s="99">
        <v>255.64952878749079</v>
      </c>
      <c r="O20" s="92">
        <v>51350</v>
      </c>
      <c r="P20" s="92" t="s">
        <v>39</v>
      </c>
      <c r="Q20" s="92">
        <v>1</v>
      </c>
      <c r="R20" s="92" t="s">
        <v>151</v>
      </c>
    </row>
    <row r="21" spans="2:18" x14ac:dyDescent="0.15">
      <c r="B21" s="92" t="s">
        <v>160</v>
      </c>
      <c r="C21" s="92" t="s">
        <v>228</v>
      </c>
      <c r="D21" s="93">
        <v>43222</v>
      </c>
      <c r="E21" s="93">
        <v>43251</v>
      </c>
      <c r="F21" s="92">
        <v>53300</v>
      </c>
      <c r="G21" s="92">
        <v>29</v>
      </c>
      <c r="H21" s="92">
        <v>7.9452054794520555E-2</v>
      </c>
      <c r="I21" s="92">
        <v>0</v>
      </c>
      <c r="J21" s="92">
        <v>0.14199999999999999</v>
      </c>
      <c r="K21" s="92">
        <v>198.21203281188355</v>
      </c>
      <c r="L21" s="92">
        <v>30</v>
      </c>
      <c r="M21" s="92">
        <v>12.239589041095892</v>
      </c>
      <c r="N21" s="99">
        <v>185.97244377078766</v>
      </c>
      <c r="O21" s="92">
        <v>51350</v>
      </c>
      <c r="P21" s="92" t="s">
        <v>39</v>
      </c>
      <c r="Q21" s="92">
        <v>1</v>
      </c>
      <c r="R21" s="92" t="s">
        <v>151</v>
      </c>
    </row>
    <row r="22" spans="2:18" x14ac:dyDescent="0.15">
      <c r="B22" s="91" t="s">
        <v>2</v>
      </c>
      <c r="C22" s="33" t="s">
        <v>181</v>
      </c>
      <c r="D22" s="33" t="s">
        <v>180</v>
      </c>
      <c r="E22" s="33" t="s">
        <v>10</v>
      </c>
      <c r="F22" s="33" t="s">
        <v>184</v>
      </c>
      <c r="G22" s="33" t="s">
        <v>11</v>
      </c>
      <c r="H22" s="33" t="s">
        <v>12</v>
      </c>
      <c r="I22" s="33" t="s">
        <v>47</v>
      </c>
      <c r="J22" s="33" t="s">
        <v>13</v>
      </c>
      <c r="K22" s="33" t="s">
        <v>14</v>
      </c>
      <c r="L22" s="33" t="s">
        <v>26</v>
      </c>
      <c r="M22" s="33" t="s">
        <v>28</v>
      </c>
      <c r="N22" s="33" t="s">
        <v>182</v>
      </c>
      <c r="O22" s="33" t="s">
        <v>8</v>
      </c>
      <c r="P22" s="33" t="s">
        <v>23</v>
      </c>
      <c r="Q22" s="33"/>
      <c r="R22" s="33" t="s">
        <v>30</v>
      </c>
    </row>
    <row r="23" spans="2:18" x14ac:dyDescent="0.15">
      <c r="B23" s="92" t="s">
        <v>160</v>
      </c>
      <c r="C23" s="92" t="s">
        <v>228</v>
      </c>
      <c r="D23" s="93">
        <v>43223</v>
      </c>
      <c r="E23" s="93">
        <v>43251</v>
      </c>
      <c r="F23" s="92">
        <v>48000</v>
      </c>
      <c r="G23" s="92">
        <v>28</v>
      </c>
      <c r="H23" s="92">
        <v>7.6712328767123292E-2</v>
      </c>
      <c r="I23" s="92">
        <v>0</v>
      </c>
      <c r="J23" s="92">
        <v>0.14000000000000001</v>
      </c>
      <c r="K23" s="92">
        <v>40.620185749357461</v>
      </c>
      <c r="L23" s="92">
        <v>30</v>
      </c>
      <c r="M23" s="92">
        <v>11.771506849315069</v>
      </c>
      <c r="N23" s="99">
        <v>28.848678900042394</v>
      </c>
      <c r="O23" s="92">
        <v>51150</v>
      </c>
      <c r="P23" s="92" t="s">
        <v>85</v>
      </c>
      <c r="Q23" s="92">
        <v>1</v>
      </c>
      <c r="R23" s="92" t="s">
        <v>151</v>
      </c>
    </row>
    <row r="24" spans="2:18" x14ac:dyDescent="0.15">
      <c r="B24" s="91" t="s">
        <v>2</v>
      </c>
      <c r="C24" s="33" t="s">
        <v>181</v>
      </c>
      <c r="D24" s="33" t="s">
        <v>180</v>
      </c>
      <c r="E24" s="33" t="s">
        <v>10</v>
      </c>
      <c r="F24" s="33" t="s">
        <v>184</v>
      </c>
      <c r="G24" s="33" t="s">
        <v>11</v>
      </c>
      <c r="H24" s="33" t="s">
        <v>12</v>
      </c>
      <c r="I24" s="33" t="s">
        <v>47</v>
      </c>
      <c r="J24" s="33" t="s">
        <v>13</v>
      </c>
      <c r="K24" s="33" t="s">
        <v>14</v>
      </c>
      <c r="L24" s="33" t="s">
        <v>26</v>
      </c>
      <c r="M24" s="33" t="s">
        <v>28</v>
      </c>
      <c r="N24" s="33" t="s">
        <v>182</v>
      </c>
      <c r="O24" s="33" t="s">
        <v>8</v>
      </c>
      <c r="P24" s="33" t="s">
        <v>23</v>
      </c>
      <c r="Q24" s="33"/>
      <c r="R24" s="33" t="s">
        <v>30</v>
      </c>
    </row>
    <row r="25" spans="2:18" x14ac:dyDescent="0.15">
      <c r="B25" s="92" t="s">
        <v>160</v>
      </c>
      <c r="C25" s="92" t="s">
        <v>185</v>
      </c>
      <c r="D25" s="93">
        <v>43223</v>
      </c>
      <c r="E25" s="93">
        <v>43251</v>
      </c>
      <c r="F25" s="92">
        <v>3660</v>
      </c>
      <c r="G25" s="92">
        <v>28</v>
      </c>
      <c r="H25" s="92">
        <v>7.6712328767123292E-2</v>
      </c>
      <c r="I25" s="92">
        <v>0</v>
      </c>
      <c r="J25" s="92">
        <v>0.29499999999999998</v>
      </c>
      <c r="K25" s="92">
        <v>-119.08543433615614</v>
      </c>
      <c r="L25" s="92">
        <v>70</v>
      </c>
      <c r="M25" s="92">
        <v>1.9653698630136986</v>
      </c>
      <c r="N25" s="99">
        <v>121.05080419916985</v>
      </c>
      <c r="O25" s="92">
        <v>3660</v>
      </c>
      <c r="P25" s="92" t="s">
        <v>39</v>
      </c>
      <c r="Q25" s="92">
        <v>-1</v>
      </c>
      <c r="R25" s="92" t="s">
        <v>20</v>
      </c>
    </row>
    <row r="26" spans="2:18" x14ac:dyDescent="0.15">
      <c r="B26" s="91" t="s">
        <v>2</v>
      </c>
      <c r="C26" s="33" t="s">
        <v>181</v>
      </c>
      <c r="D26" s="33" t="s">
        <v>180</v>
      </c>
      <c r="E26" s="33" t="s">
        <v>10</v>
      </c>
      <c r="F26" s="33" t="s">
        <v>184</v>
      </c>
      <c r="G26" s="33" t="s">
        <v>11</v>
      </c>
      <c r="H26" s="33" t="s">
        <v>12</v>
      </c>
      <c r="I26" s="33" t="s">
        <v>47</v>
      </c>
      <c r="J26" s="33" t="s">
        <v>13</v>
      </c>
      <c r="K26" s="33" t="s">
        <v>14</v>
      </c>
      <c r="L26" s="33" t="s">
        <v>26</v>
      </c>
      <c r="M26" s="33" t="s">
        <v>28</v>
      </c>
      <c r="N26" s="33" t="s">
        <v>182</v>
      </c>
      <c r="O26" s="33" t="s">
        <v>8</v>
      </c>
      <c r="P26" s="33" t="s">
        <v>23</v>
      </c>
      <c r="Q26" s="33"/>
      <c r="R26" s="33" t="s">
        <v>30</v>
      </c>
    </row>
    <row r="27" spans="2:18" x14ac:dyDescent="0.15">
      <c r="B27" s="92" t="s">
        <v>160</v>
      </c>
      <c r="C27" s="92" t="s">
        <v>229</v>
      </c>
      <c r="D27" s="93">
        <v>43227</v>
      </c>
      <c r="E27" s="93">
        <v>43258</v>
      </c>
      <c r="F27" s="92">
        <v>100</v>
      </c>
      <c r="G27" s="92">
        <v>31</v>
      </c>
      <c r="H27" s="92">
        <v>8.4931506849315067E-2</v>
      </c>
      <c r="I27" s="92">
        <v>0</v>
      </c>
      <c r="J27" s="92">
        <v>0.21</v>
      </c>
      <c r="K27" s="92">
        <v>2.437015531752337</v>
      </c>
      <c r="L27" s="92"/>
      <c r="M27" s="92">
        <v>0</v>
      </c>
      <c r="N27" s="99">
        <v>2.437015531752337</v>
      </c>
      <c r="O27" s="92">
        <v>100</v>
      </c>
      <c r="P27" s="92"/>
      <c r="Q27" s="92">
        <v>1</v>
      </c>
      <c r="R27" s="92" t="s">
        <v>151</v>
      </c>
    </row>
    <row r="28" spans="2:18" x14ac:dyDescent="0.15">
      <c r="B28" s="92" t="s">
        <v>160</v>
      </c>
      <c r="C28" s="92" t="s">
        <v>229</v>
      </c>
      <c r="D28" s="93">
        <v>43227</v>
      </c>
      <c r="E28" s="93">
        <v>43287</v>
      </c>
      <c r="F28" s="92">
        <v>100</v>
      </c>
      <c r="G28" s="92">
        <v>60</v>
      </c>
      <c r="H28" s="92">
        <v>0.16438356164383561</v>
      </c>
      <c r="I28" s="92">
        <v>0</v>
      </c>
      <c r="J28" s="92">
        <v>0.21</v>
      </c>
      <c r="K28" s="92">
        <v>3.384539376643886</v>
      </c>
      <c r="L28" s="92"/>
      <c r="M28" s="92">
        <v>0</v>
      </c>
      <c r="N28" s="99">
        <v>3.384539376643886</v>
      </c>
      <c r="O28" s="92">
        <v>100</v>
      </c>
      <c r="P28" s="92"/>
      <c r="Q28" s="92">
        <v>1</v>
      </c>
      <c r="R28" s="92" t="s">
        <v>151</v>
      </c>
    </row>
    <row r="29" spans="2:18" x14ac:dyDescent="0.15">
      <c r="B29" s="92"/>
      <c r="C29" s="92"/>
      <c r="D29" s="93"/>
      <c r="E29" s="93"/>
      <c r="F29" s="92"/>
      <c r="G29" s="92"/>
      <c r="H29" s="92"/>
      <c r="I29" s="92"/>
      <c r="J29" s="92"/>
      <c r="K29" s="92"/>
      <c r="L29" s="92"/>
      <c r="M29" s="92"/>
      <c r="N29" s="99"/>
      <c r="O29" s="92"/>
      <c r="P29" s="92"/>
      <c r="Q29" s="92"/>
      <c r="R29" s="92"/>
    </row>
    <row r="30" spans="2:18" x14ac:dyDescent="0.15">
      <c r="B30" s="92" t="s">
        <v>160</v>
      </c>
      <c r="C30" s="92" t="s">
        <v>230</v>
      </c>
      <c r="D30" s="93">
        <v>43227</v>
      </c>
      <c r="E30" s="93">
        <v>43258</v>
      </c>
      <c r="F30" s="92">
        <v>100</v>
      </c>
      <c r="G30" s="92">
        <v>31</v>
      </c>
      <c r="H30" s="92">
        <v>8.4931506849315067E-2</v>
      </c>
      <c r="I30" s="92">
        <v>0</v>
      </c>
      <c r="J30" s="92">
        <v>0.1075</v>
      </c>
      <c r="K30" s="92">
        <v>1.2476635246627694</v>
      </c>
      <c r="L30" s="92"/>
      <c r="M30" s="92">
        <v>0</v>
      </c>
      <c r="N30" s="99">
        <v>1.2476635246627694</v>
      </c>
      <c r="O30" s="92">
        <v>100</v>
      </c>
      <c r="P30" s="92"/>
      <c r="Q30" s="92">
        <v>1</v>
      </c>
      <c r="R30" s="92" t="s">
        <v>151</v>
      </c>
    </row>
    <row r="31" spans="2:18" x14ac:dyDescent="0.15">
      <c r="B31" s="92"/>
      <c r="C31" s="92"/>
      <c r="D31" s="93"/>
      <c r="E31" s="93"/>
      <c r="F31" s="92"/>
      <c r="G31" s="92"/>
      <c r="H31" s="92"/>
      <c r="I31" s="92"/>
      <c r="J31" s="92"/>
      <c r="K31" s="92"/>
      <c r="L31" s="92"/>
      <c r="M31" s="92"/>
      <c r="N31" s="99"/>
      <c r="O31" s="92"/>
      <c r="P31" s="92"/>
      <c r="Q31" s="92"/>
      <c r="R31" s="92"/>
    </row>
    <row r="32" spans="2:18" x14ac:dyDescent="0.15">
      <c r="B32" s="92" t="s">
        <v>160</v>
      </c>
      <c r="C32" s="92" t="s">
        <v>231</v>
      </c>
      <c r="D32" s="93">
        <v>43227</v>
      </c>
      <c r="E32" s="93">
        <v>43258</v>
      </c>
      <c r="F32" s="92">
        <v>100</v>
      </c>
      <c r="G32" s="92">
        <v>31</v>
      </c>
      <c r="H32" s="92">
        <v>8.4931506849315067E-2</v>
      </c>
      <c r="I32" s="92">
        <v>0</v>
      </c>
      <c r="J32" s="92">
        <v>0.16500000000000001</v>
      </c>
      <c r="K32" s="92">
        <v>1.9149122565538121</v>
      </c>
      <c r="L32" s="92"/>
      <c r="M32" s="92">
        <v>0</v>
      </c>
      <c r="N32" s="99">
        <v>1.9149122565538121</v>
      </c>
      <c r="O32" s="92">
        <v>100</v>
      </c>
      <c r="P32" s="92"/>
      <c r="Q32" s="92">
        <v>1</v>
      </c>
      <c r="R32" s="92" t="s">
        <v>151</v>
      </c>
    </row>
    <row r="33" spans="2:22" x14ac:dyDescent="0.15">
      <c r="B33" s="92" t="s">
        <v>160</v>
      </c>
      <c r="C33" s="92" t="s">
        <v>231</v>
      </c>
      <c r="D33" s="93">
        <v>43227</v>
      </c>
      <c r="E33" s="93">
        <v>43258</v>
      </c>
      <c r="F33" s="92">
        <v>100</v>
      </c>
      <c r="G33" s="92">
        <v>31</v>
      </c>
      <c r="H33" s="92">
        <v>8.4931506849315067E-2</v>
      </c>
      <c r="I33" s="92">
        <v>0</v>
      </c>
      <c r="J33" s="92">
        <v>0.23499999999999999</v>
      </c>
      <c r="K33" s="92">
        <v>-2.7270290801658206</v>
      </c>
      <c r="L33" s="92"/>
      <c r="M33" s="92">
        <v>0</v>
      </c>
      <c r="N33" s="99">
        <v>2.7270290801658206</v>
      </c>
      <c r="O33" s="92">
        <v>100</v>
      </c>
      <c r="P33" s="92"/>
      <c r="Q33" s="92">
        <v>-1</v>
      </c>
      <c r="R33" s="92" t="s">
        <v>20</v>
      </c>
    </row>
    <row r="34" spans="2:22" x14ac:dyDescent="0.15">
      <c r="B34" s="92" t="s">
        <v>160</v>
      </c>
      <c r="C34" s="92" t="s">
        <v>231</v>
      </c>
      <c r="D34" s="93">
        <v>43227</v>
      </c>
      <c r="E34" s="93">
        <v>43287</v>
      </c>
      <c r="F34" s="92">
        <v>100</v>
      </c>
      <c r="G34" s="92">
        <v>60</v>
      </c>
      <c r="H34" s="92">
        <v>0.16438356164383561</v>
      </c>
      <c r="I34" s="92">
        <v>0</v>
      </c>
      <c r="J34" s="92">
        <v>0.16500000000000001</v>
      </c>
      <c r="K34" s="92">
        <v>2.6595882620095068</v>
      </c>
      <c r="L34" s="92"/>
      <c r="M34" s="92">
        <v>0</v>
      </c>
      <c r="N34" s="99">
        <v>2.6595882620095068</v>
      </c>
      <c r="O34" s="92">
        <v>100</v>
      </c>
      <c r="P34" s="92"/>
      <c r="Q34" s="92">
        <v>1</v>
      </c>
      <c r="R34" s="92" t="s">
        <v>151</v>
      </c>
    </row>
    <row r="35" spans="2:22" x14ac:dyDescent="0.15">
      <c r="B35" s="92" t="s">
        <v>160</v>
      </c>
      <c r="C35" s="92" t="s">
        <v>231</v>
      </c>
      <c r="D35" s="93">
        <v>43227</v>
      </c>
      <c r="E35" s="93">
        <v>43287</v>
      </c>
      <c r="F35" s="92">
        <v>100</v>
      </c>
      <c r="G35" s="92">
        <v>60</v>
      </c>
      <c r="H35" s="92">
        <v>0.16438356164383561</v>
      </c>
      <c r="I35" s="92">
        <v>0</v>
      </c>
      <c r="J35" s="92">
        <v>0.23499999999999999</v>
      </c>
      <c r="K35" s="92">
        <v>-3.7871722212029653</v>
      </c>
      <c r="L35" s="92"/>
      <c r="M35" s="92">
        <v>0</v>
      </c>
      <c r="N35" s="99">
        <v>3.7871722212029653</v>
      </c>
      <c r="O35" s="92">
        <v>100</v>
      </c>
      <c r="P35" s="92"/>
      <c r="Q35" s="92">
        <v>-1</v>
      </c>
      <c r="R35" s="92" t="s">
        <v>20</v>
      </c>
    </row>
    <row r="36" spans="2:22" x14ac:dyDescent="0.15">
      <c r="B36" s="92"/>
      <c r="C36" s="92"/>
      <c r="D36" s="93"/>
      <c r="E36" s="93"/>
      <c r="F36" s="92"/>
      <c r="G36" s="92"/>
      <c r="H36" s="92"/>
      <c r="I36" s="92"/>
      <c r="J36" s="92"/>
      <c r="K36" s="92"/>
      <c r="L36" s="92"/>
      <c r="M36" s="92"/>
      <c r="N36" s="99"/>
      <c r="O36" s="92"/>
      <c r="P36" s="92"/>
      <c r="Q36" s="92"/>
      <c r="R36" s="92"/>
    </row>
    <row r="37" spans="2:22" x14ac:dyDescent="0.15">
      <c r="B37" s="92" t="s">
        <v>160</v>
      </c>
      <c r="C37" s="92" t="s">
        <v>232</v>
      </c>
      <c r="D37" s="93">
        <v>43227</v>
      </c>
      <c r="E37" s="93">
        <v>43258</v>
      </c>
      <c r="F37" s="92">
        <v>100</v>
      </c>
      <c r="G37" s="92">
        <v>31</v>
      </c>
      <c r="H37" s="92">
        <v>8.4931506849315067E-2</v>
      </c>
      <c r="I37" s="92">
        <v>0</v>
      </c>
      <c r="J37" s="92">
        <v>0.14749999999999999</v>
      </c>
      <c r="K37" s="92">
        <v>1.7118486286586005</v>
      </c>
      <c r="L37" s="92"/>
      <c r="M37" s="92">
        <v>0</v>
      </c>
      <c r="N37" s="99">
        <v>1.7118486286586005</v>
      </c>
      <c r="O37" s="92">
        <v>100</v>
      </c>
      <c r="P37" s="92"/>
      <c r="Q37" s="92">
        <v>1</v>
      </c>
      <c r="R37" s="92" t="s">
        <v>151</v>
      </c>
    </row>
    <row r="38" spans="2:22" x14ac:dyDescent="0.15">
      <c r="B38" s="92"/>
      <c r="C38" s="92"/>
      <c r="D38" s="93"/>
      <c r="E38" s="93"/>
      <c r="F38" s="92"/>
      <c r="G38" s="92"/>
      <c r="H38" s="92"/>
      <c r="I38" s="92"/>
      <c r="J38" s="92"/>
      <c r="K38" s="92"/>
      <c r="L38" s="92"/>
      <c r="M38" s="92"/>
      <c r="N38" s="99"/>
      <c r="O38" s="92"/>
      <c r="P38" s="92"/>
      <c r="Q38" s="92"/>
      <c r="R38" s="92"/>
    </row>
    <row r="39" spans="2:22" x14ac:dyDescent="0.15">
      <c r="B39" s="92" t="s">
        <v>160</v>
      </c>
      <c r="C39" s="92" t="s">
        <v>233</v>
      </c>
      <c r="D39" s="93">
        <v>43227</v>
      </c>
      <c r="E39" s="93">
        <v>43258</v>
      </c>
      <c r="F39" s="92">
        <v>100</v>
      </c>
      <c r="G39" s="92">
        <v>31</v>
      </c>
      <c r="H39" s="92">
        <v>8.4931506849315067E-2</v>
      </c>
      <c r="I39" s="92">
        <v>0</v>
      </c>
      <c r="J39" s="92">
        <v>0.16</v>
      </c>
      <c r="K39" s="92">
        <v>1.8568952897944655</v>
      </c>
      <c r="L39" s="92"/>
      <c r="M39" s="92">
        <v>0</v>
      </c>
      <c r="N39" s="99">
        <v>1.8568952897944655</v>
      </c>
      <c r="O39" s="92">
        <v>100</v>
      </c>
      <c r="P39" s="92"/>
      <c r="Q39" s="92">
        <v>1</v>
      </c>
      <c r="R39" s="92" t="s">
        <v>151</v>
      </c>
    </row>
    <row r="40" spans="2:22" x14ac:dyDescent="0.15">
      <c r="B40" s="91" t="s">
        <v>2</v>
      </c>
      <c r="C40" s="33" t="s">
        <v>181</v>
      </c>
      <c r="D40" s="33" t="s">
        <v>180</v>
      </c>
      <c r="E40" s="33" t="s">
        <v>10</v>
      </c>
      <c r="F40" s="33" t="s">
        <v>184</v>
      </c>
      <c r="G40" s="33" t="s">
        <v>11</v>
      </c>
      <c r="H40" s="33" t="s">
        <v>12</v>
      </c>
      <c r="I40" s="33" t="s">
        <v>47</v>
      </c>
      <c r="J40" s="33" t="s">
        <v>13</v>
      </c>
      <c r="K40" s="33" t="s">
        <v>14</v>
      </c>
      <c r="L40" s="33" t="s">
        <v>26</v>
      </c>
      <c r="M40" s="33" t="s">
        <v>28</v>
      </c>
      <c r="N40" s="33" t="s">
        <v>182</v>
      </c>
      <c r="O40" s="33" t="s">
        <v>8</v>
      </c>
      <c r="P40" s="33" t="s">
        <v>23</v>
      </c>
      <c r="Q40" s="33"/>
      <c r="R40" s="33" t="s">
        <v>30</v>
      </c>
    </row>
    <row r="41" spans="2:22" x14ac:dyDescent="0.15">
      <c r="B41" s="92" t="s">
        <v>160</v>
      </c>
      <c r="C41" s="92" t="s">
        <v>185</v>
      </c>
      <c r="D41" s="93">
        <v>43229</v>
      </c>
      <c r="E41" s="93">
        <v>43259</v>
      </c>
      <c r="F41" s="92">
        <v>3300</v>
      </c>
      <c r="G41" s="92">
        <v>30</v>
      </c>
      <c r="H41" s="92">
        <v>8.2191780821917804E-2</v>
      </c>
      <c r="I41" s="92">
        <v>0</v>
      </c>
      <c r="J41" s="92">
        <v>0.22</v>
      </c>
      <c r="K41" s="92">
        <v>10.035493930643156</v>
      </c>
      <c r="L41" s="92"/>
      <c r="M41" s="92">
        <v>0</v>
      </c>
      <c r="N41" s="99">
        <v>10.035493930643156</v>
      </c>
      <c r="O41" s="92">
        <v>3580</v>
      </c>
      <c r="P41" s="92" t="s">
        <v>85</v>
      </c>
      <c r="Q41" s="92">
        <v>1</v>
      </c>
      <c r="R41" s="92" t="s">
        <v>151</v>
      </c>
    </row>
    <row r="42" spans="2:22" x14ac:dyDescent="0.15">
      <c r="B42" s="92" t="s">
        <v>160</v>
      </c>
      <c r="C42" s="92" t="s">
        <v>185</v>
      </c>
      <c r="D42" s="93">
        <v>43229</v>
      </c>
      <c r="E42" s="93">
        <v>43259</v>
      </c>
      <c r="F42" s="92">
        <v>3350</v>
      </c>
      <c r="G42" s="92">
        <v>30</v>
      </c>
      <c r="H42" s="92">
        <v>8.2191780821917804E-2</v>
      </c>
      <c r="I42" s="92">
        <v>0</v>
      </c>
      <c r="J42" s="92">
        <v>0.2225</v>
      </c>
      <c r="K42" s="92">
        <v>16.979613720046018</v>
      </c>
      <c r="L42" s="92"/>
      <c r="M42" s="92">
        <v>0</v>
      </c>
      <c r="N42" s="99">
        <v>16.979613720046018</v>
      </c>
      <c r="O42" s="92">
        <v>3580</v>
      </c>
      <c r="P42" s="92" t="s">
        <v>85</v>
      </c>
      <c r="Q42" s="92">
        <v>1</v>
      </c>
      <c r="R42" s="92" t="s">
        <v>151</v>
      </c>
    </row>
    <row r="43" spans="2:22" x14ac:dyDescent="0.15">
      <c r="B43" s="92" t="s">
        <v>160</v>
      </c>
      <c r="C43" s="92" t="s">
        <v>185</v>
      </c>
      <c r="D43" s="93">
        <v>43229</v>
      </c>
      <c r="E43" s="93">
        <v>43259</v>
      </c>
      <c r="F43" s="92">
        <v>3400</v>
      </c>
      <c r="G43" s="92">
        <v>30</v>
      </c>
      <c r="H43" s="92">
        <v>8.2191780821917804E-2</v>
      </c>
      <c r="I43" s="92">
        <v>0</v>
      </c>
      <c r="J43" s="92">
        <v>0.22500000000000001</v>
      </c>
      <c r="K43" s="92">
        <v>27.012399400940012</v>
      </c>
      <c r="L43" s="92"/>
      <c r="M43" s="92">
        <v>0</v>
      </c>
      <c r="N43" s="99">
        <v>27.012399400940012</v>
      </c>
      <c r="O43" s="92">
        <v>3580</v>
      </c>
      <c r="P43" s="92" t="s">
        <v>85</v>
      </c>
      <c r="Q43" s="92">
        <v>1</v>
      </c>
      <c r="R43" s="92" t="s">
        <v>151</v>
      </c>
    </row>
    <row r="44" spans="2:22" x14ac:dyDescent="0.15">
      <c r="B44" s="91" t="s">
        <v>2</v>
      </c>
      <c r="C44" s="33" t="s">
        <v>181</v>
      </c>
      <c r="D44" s="33" t="s">
        <v>180</v>
      </c>
      <c r="E44" s="33" t="s">
        <v>10</v>
      </c>
      <c r="F44" s="33" t="s">
        <v>184</v>
      </c>
      <c r="G44" s="33" t="s">
        <v>11</v>
      </c>
      <c r="H44" s="33" t="s">
        <v>12</v>
      </c>
      <c r="I44" s="33" t="s">
        <v>47</v>
      </c>
      <c r="J44" s="33" t="s">
        <v>13</v>
      </c>
      <c r="K44" s="33" t="s">
        <v>14</v>
      </c>
      <c r="L44" s="33" t="s">
        <v>26</v>
      </c>
      <c r="M44" s="33" t="s">
        <v>28</v>
      </c>
      <c r="N44" s="33" t="s">
        <v>182</v>
      </c>
      <c r="O44" s="33" t="s">
        <v>8</v>
      </c>
      <c r="P44" s="33" t="s">
        <v>23</v>
      </c>
      <c r="Q44" s="33"/>
      <c r="R44" s="33" t="s">
        <v>30</v>
      </c>
    </row>
    <row r="45" spans="2:22" x14ac:dyDescent="0.15">
      <c r="B45" s="92" t="s">
        <v>160</v>
      </c>
      <c r="C45" s="92" t="s">
        <v>228</v>
      </c>
      <c r="D45" s="93">
        <v>43229</v>
      </c>
      <c r="E45" s="93">
        <v>43259</v>
      </c>
      <c r="F45" s="92">
        <v>49000</v>
      </c>
      <c r="G45" s="92">
        <v>30</v>
      </c>
      <c r="H45" s="92">
        <v>8.2191780821917804E-2</v>
      </c>
      <c r="I45" s="92">
        <v>0</v>
      </c>
      <c r="J45" s="92">
        <v>0.13500000000000001</v>
      </c>
      <c r="K45" s="92">
        <v>143.71277212501172</v>
      </c>
      <c r="L45" s="92">
        <v>30</v>
      </c>
      <c r="M45" s="92">
        <v>12.587671232876712</v>
      </c>
      <c r="N45" s="99">
        <v>131.12510089213501</v>
      </c>
      <c r="O45" s="92">
        <v>51050</v>
      </c>
      <c r="P45" s="92" t="s">
        <v>85</v>
      </c>
      <c r="Q45" s="92">
        <v>1</v>
      </c>
      <c r="R45" s="92" t="s">
        <v>151</v>
      </c>
      <c r="S45" s="6">
        <v>2.5685622114032325E-3</v>
      </c>
    </row>
    <row r="46" spans="2:22" x14ac:dyDescent="0.15">
      <c r="B46" s="91" t="s">
        <v>2</v>
      </c>
      <c r="C46" s="33" t="s">
        <v>181</v>
      </c>
      <c r="D46" s="33" t="s">
        <v>180</v>
      </c>
      <c r="E46" s="33" t="s">
        <v>10</v>
      </c>
      <c r="F46" s="33" t="s">
        <v>184</v>
      </c>
      <c r="G46" s="33" t="s">
        <v>11</v>
      </c>
      <c r="H46" s="33" t="s">
        <v>12</v>
      </c>
      <c r="I46" s="33" t="s">
        <v>47</v>
      </c>
      <c r="J46" s="33" t="s">
        <v>13</v>
      </c>
      <c r="K46" s="33" t="s">
        <v>14</v>
      </c>
      <c r="L46" s="33" t="s">
        <v>26</v>
      </c>
      <c r="M46" s="33" t="s">
        <v>28</v>
      </c>
      <c r="N46" s="33" t="s">
        <v>182</v>
      </c>
      <c r="O46" s="33" t="s">
        <v>8</v>
      </c>
      <c r="P46" s="33" t="s">
        <v>23</v>
      </c>
      <c r="Q46" s="33"/>
      <c r="R46" s="33" t="s">
        <v>30</v>
      </c>
    </row>
    <row r="47" spans="2:22" x14ac:dyDescent="0.15">
      <c r="B47" s="92" t="s">
        <v>160</v>
      </c>
      <c r="C47" s="92" t="s">
        <v>234</v>
      </c>
      <c r="D47" s="93">
        <v>43229</v>
      </c>
      <c r="E47" s="93">
        <v>43327</v>
      </c>
      <c r="F47" s="92">
        <v>100</v>
      </c>
      <c r="G47" s="92">
        <v>98</v>
      </c>
      <c r="H47" s="92">
        <v>0.26849315068493151</v>
      </c>
      <c r="I47" s="92">
        <v>0</v>
      </c>
      <c r="J47" s="92">
        <v>0.28000000000000003</v>
      </c>
      <c r="K47" s="92">
        <v>5.7520390338440848</v>
      </c>
      <c r="L47" s="92"/>
      <c r="M47" s="92">
        <v>0</v>
      </c>
      <c r="N47" s="99">
        <v>5.7520390338440848</v>
      </c>
      <c r="O47" s="92">
        <v>100</v>
      </c>
      <c r="P47" s="92" t="s">
        <v>85</v>
      </c>
      <c r="Q47" s="92">
        <v>1</v>
      </c>
      <c r="R47" s="92" t="s">
        <v>151</v>
      </c>
      <c r="V47" s="6">
        <v>50000000</v>
      </c>
    </row>
    <row r="48" spans="2:22" x14ac:dyDescent="0.15">
      <c r="B48" s="92" t="s">
        <v>160</v>
      </c>
      <c r="C48" s="92" t="s">
        <v>234</v>
      </c>
      <c r="D48" s="93">
        <v>43229</v>
      </c>
      <c r="E48" s="93">
        <v>43327</v>
      </c>
      <c r="F48" s="92">
        <v>100</v>
      </c>
      <c r="G48" s="92">
        <v>98</v>
      </c>
      <c r="H48" s="92">
        <v>0.26849315068493151</v>
      </c>
      <c r="I48" s="92">
        <v>0</v>
      </c>
      <c r="J48" s="92">
        <v>0.34</v>
      </c>
      <c r="K48" s="92">
        <v>-6.9817152035699195</v>
      </c>
      <c r="L48" s="92"/>
      <c r="M48" s="92">
        <v>0</v>
      </c>
      <c r="N48" s="99">
        <v>6.9817152035699195</v>
      </c>
      <c r="O48" s="92">
        <v>100</v>
      </c>
      <c r="P48" s="92" t="s">
        <v>85</v>
      </c>
      <c r="Q48" s="92">
        <v>-1</v>
      </c>
      <c r="R48" s="92" t="s">
        <v>20</v>
      </c>
      <c r="V48" s="6">
        <v>15660</v>
      </c>
    </row>
    <row r="49" spans="2:22" x14ac:dyDescent="0.15">
      <c r="B49" s="92"/>
      <c r="C49" s="92"/>
      <c r="D49" s="93"/>
      <c r="E49" s="93"/>
      <c r="F49" s="92"/>
      <c r="G49" s="92"/>
      <c r="H49" s="92"/>
      <c r="I49" s="92"/>
      <c r="J49" s="92"/>
      <c r="K49" s="92"/>
      <c r="L49" s="92"/>
      <c r="M49" s="92"/>
      <c r="N49" s="99"/>
      <c r="O49" s="92"/>
      <c r="P49" s="92"/>
      <c r="Q49" s="92"/>
      <c r="R49" s="92"/>
      <c r="V49" s="6">
        <f>V47/V48</f>
        <v>3192.8480204342272</v>
      </c>
    </row>
    <row r="50" spans="2:22" x14ac:dyDescent="0.15">
      <c r="B50" s="92" t="s">
        <v>160</v>
      </c>
      <c r="C50" s="92" t="s">
        <v>185</v>
      </c>
      <c r="D50" s="93">
        <v>43229</v>
      </c>
      <c r="E50" s="93">
        <v>43259</v>
      </c>
      <c r="F50" s="92">
        <v>100</v>
      </c>
      <c r="G50" s="92">
        <v>30</v>
      </c>
      <c r="H50" s="92">
        <v>8.2191780821917804E-2</v>
      </c>
      <c r="I50" s="92">
        <v>0</v>
      </c>
      <c r="J50" s="92">
        <v>0.215</v>
      </c>
      <c r="K50" s="92">
        <v>2.4545962454477035</v>
      </c>
      <c r="L50" s="92"/>
      <c r="M50" s="92">
        <v>0</v>
      </c>
      <c r="N50" s="99">
        <v>2.4545962454477035</v>
      </c>
      <c r="O50" s="92">
        <v>100</v>
      </c>
      <c r="P50" s="92" t="s">
        <v>85</v>
      </c>
      <c r="Q50" s="92">
        <v>1</v>
      </c>
      <c r="R50" s="92" t="s">
        <v>151</v>
      </c>
      <c r="V50" s="6">
        <f>V49/5</f>
        <v>638.5696040868454</v>
      </c>
    </row>
    <row r="51" spans="2:22" x14ac:dyDescent="0.15">
      <c r="B51" s="92" t="s">
        <v>160</v>
      </c>
      <c r="C51" s="92" t="s">
        <v>185</v>
      </c>
      <c r="D51" s="93">
        <v>43229</v>
      </c>
      <c r="E51" s="93">
        <v>43259</v>
      </c>
      <c r="F51" s="92">
        <v>100</v>
      </c>
      <c r="G51" s="92">
        <v>30</v>
      </c>
      <c r="H51" s="92">
        <v>8.2191780821917804E-2</v>
      </c>
      <c r="I51" s="92">
        <v>0</v>
      </c>
      <c r="J51" s="92">
        <v>0.28499999999999998</v>
      </c>
      <c r="K51" s="92">
        <v>-3.2533772011772371</v>
      </c>
      <c r="L51" s="92"/>
      <c r="M51" s="92">
        <v>0</v>
      </c>
      <c r="N51" s="99">
        <v>3.2533772011772371</v>
      </c>
      <c r="O51" s="92">
        <v>100</v>
      </c>
      <c r="P51" s="92" t="s">
        <v>85</v>
      </c>
      <c r="Q51" s="92">
        <v>-1</v>
      </c>
      <c r="R51" s="92" t="s">
        <v>20</v>
      </c>
    </row>
    <row r="52" spans="2:22" x14ac:dyDescent="0.15">
      <c r="B52" s="92"/>
      <c r="C52" s="92"/>
      <c r="D52" s="93"/>
      <c r="E52" s="93"/>
      <c r="F52" s="92"/>
      <c r="G52" s="92"/>
      <c r="H52" s="92"/>
      <c r="I52" s="92"/>
      <c r="J52" s="92"/>
      <c r="K52" s="92"/>
      <c r="L52" s="92"/>
      <c r="M52" s="92"/>
      <c r="N52" s="99"/>
      <c r="O52" s="92"/>
      <c r="P52" s="92"/>
      <c r="Q52" s="92"/>
      <c r="R52" s="92"/>
    </row>
    <row r="53" spans="2:22" x14ac:dyDescent="0.15">
      <c r="B53" s="92" t="s">
        <v>160</v>
      </c>
      <c r="C53" s="92" t="s">
        <v>235</v>
      </c>
      <c r="D53" s="93">
        <v>43229</v>
      </c>
      <c r="E53" s="93">
        <v>43259</v>
      </c>
      <c r="F53" s="92">
        <v>100</v>
      </c>
      <c r="G53" s="92">
        <v>30</v>
      </c>
      <c r="H53" s="92">
        <v>8.2191780821917804E-2</v>
      </c>
      <c r="I53" s="92">
        <v>0</v>
      </c>
      <c r="J53" s="92">
        <v>0.36</v>
      </c>
      <c r="K53" s="92">
        <v>-4.1088485325048723</v>
      </c>
      <c r="L53" s="92"/>
      <c r="M53" s="92">
        <v>0</v>
      </c>
      <c r="N53" s="99">
        <v>4.1088485325048723</v>
      </c>
      <c r="O53" s="92">
        <v>100</v>
      </c>
      <c r="P53" s="92" t="s">
        <v>85</v>
      </c>
      <c r="Q53" s="92">
        <v>-1</v>
      </c>
      <c r="R53" s="92" t="s">
        <v>20</v>
      </c>
    </row>
    <row r="54" spans="2:22" x14ac:dyDescent="0.15">
      <c r="B54" s="91" t="s">
        <v>2</v>
      </c>
      <c r="C54" s="33" t="s">
        <v>181</v>
      </c>
      <c r="D54" s="33" t="s">
        <v>180</v>
      </c>
      <c r="E54" s="33" t="s">
        <v>10</v>
      </c>
      <c r="F54" s="33" t="s">
        <v>184</v>
      </c>
      <c r="G54" s="33" t="s">
        <v>11</v>
      </c>
      <c r="H54" s="33" t="s">
        <v>12</v>
      </c>
      <c r="I54" s="33" t="s">
        <v>47</v>
      </c>
      <c r="J54" s="33" t="s">
        <v>13</v>
      </c>
      <c r="K54" s="33" t="s">
        <v>14</v>
      </c>
      <c r="L54" s="33" t="s">
        <v>26</v>
      </c>
      <c r="M54" s="33" t="s">
        <v>28</v>
      </c>
      <c r="N54" s="33" t="s">
        <v>182</v>
      </c>
      <c r="O54" s="33" t="s">
        <v>8</v>
      </c>
      <c r="P54" s="33" t="s">
        <v>23</v>
      </c>
      <c r="Q54" s="33"/>
      <c r="R54" s="33" t="s">
        <v>30</v>
      </c>
    </row>
    <row r="55" spans="2:22" x14ac:dyDescent="0.15">
      <c r="B55" s="92" t="s">
        <v>160</v>
      </c>
      <c r="C55" s="92" t="s">
        <v>238</v>
      </c>
      <c r="D55" s="93">
        <v>43229</v>
      </c>
      <c r="E55" s="93">
        <v>43319</v>
      </c>
      <c r="F55" s="92">
        <v>12105</v>
      </c>
      <c r="G55" s="92">
        <v>90</v>
      </c>
      <c r="H55" s="92">
        <v>0.24657534246575341</v>
      </c>
      <c r="I55" s="92">
        <v>0</v>
      </c>
      <c r="J55" s="92">
        <v>0.31</v>
      </c>
      <c r="K55" s="92">
        <v>-538.37994450441693</v>
      </c>
      <c r="L55" s="92">
        <v>70</v>
      </c>
      <c r="M55" s="92">
        <v>20.177260273972603</v>
      </c>
      <c r="N55" s="99">
        <v>558.55720477838952</v>
      </c>
      <c r="O55" s="92">
        <v>11690</v>
      </c>
      <c r="P55" s="92" t="s">
        <v>39</v>
      </c>
      <c r="Q55" s="92">
        <v>-1</v>
      </c>
      <c r="R55" s="92" t="s">
        <v>20</v>
      </c>
    </row>
    <row r="56" spans="2:22" x14ac:dyDescent="0.15">
      <c r="B56" s="92" t="s">
        <v>160</v>
      </c>
      <c r="C56" s="92" t="s">
        <v>238</v>
      </c>
      <c r="D56" s="93">
        <v>43229</v>
      </c>
      <c r="E56" s="93">
        <v>43290</v>
      </c>
      <c r="F56" s="92">
        <v>12105</v>
      </c>
      <c r="G56" s="92">
        <v>61</v>
      </c>
      <c r="H56" s="92">
        <v>0.16712328767123288</v>
      </c>
      <c r="I56" s="92">
        <v>0</v>
      </c>
      <c r="J56" s="92">
        <v>0.3</v>
      </c>
      <c r="K56" s="92">
        <v>-396.26370370638506</v>
      </c>
      <c r="L56" s="92">
        <v>70</v>
      </c>
      <c r="M56" s="92">
        <v>13.675698630136988</v>
      </c>
      <c r="N56" s="99">
        <v>409.93940233652205</v>
      </c>
      <c r="O56" s="92">
        <v>11690</v>
      </c>
      <c r="P56" s="92" t="s">
        <v>39</v>
      </c>
      <c r="Q56" s="92">
        <v>-1</v>
      </c>
      <c r="R56" s="92" t="s">
        <v>20</v>
      </c>
    </row>
    <row r="57" spans="2:22" x14ac:dyDescent="0.15">
      <c r="B57" s="92" t="s">
        <v>160</v>
      </c>
      <c r="C57" s="92" t="s">
        <v>238</v>
      </c>
      <c r="D57" s="93">
        <v>43229</v>
      </c>
      <c r="E57" s="93">
        <v>43319</v>
      </c>
      <c r="F57" s="92">
        <v>12105</v>
      </c>
      <c r="G57" s="92">
        <v>90</v>
      </c>
      <c r="H57" s="92">
        <v>0.24657534246575341</v>
      </c>
      <c r="I57" s="92">
        <v>0</v>
      </c>
      <c r="J57" s="92">
        <v>0.31</v>
      </c>
      <c r="K57" s="92">
        <v>-538.37994450441693</v>
      </c>
      <c r="L57" s="92">
        <v>70</v>
      </c>
      <c r="M57" s="92">
        <v>20.177260273972603</v>
      </c>
      <c r="N57" s="99">
        <v>558.55720477838952</v>
      </c>
      <c r="O57" s="92">
        <v>11690</v>
      </c>
      <c r="P57" s="92" t="s">
        <v>39</v>
      </c>
      <c r="Q57" s="92">
        <v>-1</v>
      </c>
      <c r="R57" s="92" t="s">
        <v>20</v>
      </c>
    </row>
    <row r="58" spans="2:22" x14ac:dyDescent="0.15">
      <c r="B58" s="91" t="s">
        <v>2</v>
      </c>
      <c r="C58" s="33" t="s">
        <v>181</v>
      </c>
      <c r="D58" s="33" t="s">
        <v>180</v>
      </c>
      <c r="E58" s="33" t="s">
        <v>10</v>
      </c>
      <c r="F58" s="33" t="s">
        <v>184</v>
      </c>
      <c r="G58" s="33" t="s">
        <v>11</v>
      </c>
      <c r="H58" s="33" t="s">
        <v>12</v>
      </c>
      <c r="I58" s="33" t="s">
        <v>47</v>
      </c>
      <c r="J58" s="33" t="s">
        <v>13</v>
      </c>
      <c r="K58" s="33" t="s">
        <v>14</v>
      </c>
      <c r="L58" s="33" t="s">
        <v>26</v>
      </c>
      <c r="M58" s="33" t="s">
        <v>28</v>
      </c>
      <c r="N58" s="33" t="s">
        <v>182</v>
      </c>
      <c r="O58" s="33" t="s">
        <v>8</v>
      </c>
      <c r="P58" s="33" t="s">
        <v>23</v>
      </c>
      <c r="Q58" s="33"/>
      <c r="R58" s="33" t="s">
        <v>30</v>
      </c>
    </row>
    <row r="59" spans="2:22" x14ac:dyDescent="0.15">
      <c r="B59" s="92" t="s">
        <v>160</v>
      </c>
      <c r="C59" s="92" t="s">
        <v>239</v>
      </c>
      <c r="D59" s="93">
        <v>43230</v>
      </c>
      <c r="E59" s="93">
        <v>43262</v>
      </c>
      <c r="F59" s="92">
        <v>15800</v>
      </c>
      <c r="G59" s="92">
        <v>32</v>
      </c>
      <c r="H59" s="92">
        <v>8.7671232876712329E-2</v>
      </c>
      <c r="I59" s="92">
        <v>0</v>
      </c>
      <c r="J59" s="92">
        <v>7.4999999999999997E-2</v>
      </c>
      <c r="K59" s="92">
        <v>80.25741457624008</v>
      </c>
      <c r="L59" s="92"/>
      <c r="M59" s="92">
        <v>0</v>
      </c>
      <c r="N59" s="99">
        <v>80.25741457624008</v>
      </c>
      <c r="O59" s="92">
        <v>15660</v>
      </c>
      <c r="P59" s="92" t="s">
        <v>39</v>
      </c>
      <c r="Q59" s="92">
        <v>1</v>
      </c>
      <c r="R59" s="92" t="s">
        <v>151</v>
      </c>
    </row>
    <row r="60" spans="2:22" x14ac:dyDescent="0.15">
      <c r="B60" s="92" t="s">
        <v>160</v>
      </c>
      <c r="C60" s="92" t="s">
        <v>239</v>
      </c>
      <c r="D60" s="93">
        <v>43230</v>
      </c>
      <c r="E60" s="93">
        <v>43262</v>
      </c>
      <c r="F60" s="92">
        <v>15900</v>
      </c>
      <c r="G60" s="92">
        <v>32</v>
      </c>
      <c r="H60" s="92">
        <v>8.7671232876712329E-2</v>
      </c>
      <c r="I60" s="92">
        <v>0</v>
      </c>
      <c r="J60" s="92">
        <v>7.1999999999999995E-2</v>
      </c>
      <c r="K60" s="92">
        <v>46.897010797428266</v>
      </c>
      <c r="L60" s="92"/>
      <c r="M60" s="92">
        <v>0</v>
      </c>
      <c r="N60" s="99">
        <v>46.897010797428266</v>
      </c>
      <c r="O60" s="92">
        <v>15660</v>
      </c>
      <c r="P60" s="92" t="s">
        <v>39</v>
      </c>
      <c r="Q60" s="92">
        <v>1</v>
      </c>
      <c r="R60" s="92" t="s">
        <v>151</v>
      </c>
    </row>
    <row r="61" spans="2:22" x14ac:dyDescent="0.15">
      <c r="B61" s="91" t="s">
        <v>2</v>
      </c>
      <c r="C61" s="33" t="s">
        <v>181</v>
      </c>
      <c r="D61" s="33" t="s">
        <v>180</v>
      </c>
      <c r="E61" s="33" t="s">
        <v>10</v>
      </c>
      <c r="F61" s="33" t="s">
        <v>184</v>
      </c>
      <c r="G61" s="33" t="s">
        <v>11</v>
      </c>
      <c r="H61" s="33" t="s">
        <v>12</v>
      </c>
      <c r="I61" s="33" t="s">
        <v>47</v>
      </c>
      <c r="J61" s="33" t="s">
        <v>13</v>
      </c>
      <c r="K61" s="33" t="s">
        <v>14</v>
      </c>
      <c r="L61" s="33" t="s">
        <v>26</v>
      </c>
      <c r="M61" s="33" t="s">
        <v>28</v>
      </c>
      <c r="N61" s="33" t="s">
        <v>182</v>
      </c>
      <c r="O61" s="33" t="s">
        <v>8</v>
      </c>
      <c r="P61" s="33" t="s">
        <v>23</v>
      </c>
      <c r="Q61" s="33"/>
      <c r="R61" s="33" t="s">
        <v>30</v>
      </c>
    </row>
    <row r="62" spans="2:22" x14ac:dyDescent="0.15">
      <c r="B62" s="92" t="s">
        <v>160</v>
      </c>
      <c r="C62" s="92" t="s">
        <v>240</v>
      </c>
      <c r="D62" s="93">
        <v>43230</v>
      </c>
      <c r="E62" s="93">
        <v>43322</v>
      </c>
      <c r="F62" s="92">
        <v>2900</v>
      </c>
      <c r="G62" s="92">
        <v>92</v>
      </c>
      <c r="H62" s="92">
        <v>0.25205479452054796</v>
      </c>
      <c r="I62" s="92">
        <v>0</v>
      </c>
      <c r="J62" s="92">
        <v>0.16300000000000001</v>
      </c>
      <c r="K62" s="92">
        <v>28.17866709777104</v>
      </c>
      <c r="L62" s="92"/>
      <c r="M62" s="92">
        <v>0</v>
      </c>
      <c r="N62" s="99">
        <v>28.17866709777104</v>
      </c>
      <c r="O62" s="92">
        <v>3102</v>
      </c>
      <c r="P62" s="92" t="s">
        <v>85</v>
      </c>
      <c r="Q62" s="92">
        <v>1</v>
      </c>
      <c r="R62" s="92" t="s">
        <v>151</v>
      </c>
    </row>
    <row r="63" spans="2:22" x14ac:dyDescent="0.15">
      <c r="B63" s="92" t="s">
        <v>160</v>
      </c>
      <c r="C63" s="92" t="s">
        <v>240</v>
      </c>
      <c r="D63" s="93">
        <v>43230</v>
      </c>
      <c r="E63" s="93">
        <v>43322</v>
      </c>
      <c r="F63" s="92">
        <v>2800</v>
      </c>
      <c r="G63" s="92">
        <v>92</v>
      </c>
      <c r="H63" s="92">
        <v>0.25205479452054796</v>
      </c>
      <c r="I63" s="92">
        <v>0</v>
      </c>
      <c r="J63" s="92">
        <v>0.16300000000000001</v>
      </c>
      <c r="K63" s="92">
        <v>12.090387645166686</v>
      </c>
      <c r="L63" s="92"/>
      <c r="M63" s="92">
        <v>0</v>
      </c>
      <c r="N63" s="99">
        <v>12.090387645166686</v>
      </c>
      <c r="O63" s="92">
        <v>3102</v>
      </c>
      <c r="P63" s="92" t="s">
        <v>85</v>
      </c>
      <c r="Q63" s="92">
        <v>1</v>
      </c>
      <c r="R63" s="92" t="s">
        <v>151</v>
      </c>
    </row>
    <row r="64" spans="2:22" x14ac:dyDescent="0.15">
      <c r="B64" s="92" t="s">
        <v>160</v>
      </c>
      <c r="C64" s="92" t="s">
        <v>240</v>
      </c>
      <c r="D64" s="93">
        <v>43230</v>
      </c>
      <c r="E64" s="93">
        <v>43322</v>
      </c>
      <c r="F64" s="92">
        <v>2700</v>
      </c>
      <c r="G64" s="92">
        <v>92</v>
      </c>
      <c r="H64" s="92">
        <v>0.25205479452054796</v>
      </c>
      <c r="I64" s="92">
        <v>0</v>
      </c>
      <c r="J64" s="92">
        <v>0.16300000000000001</v>
      </c>
      <c r="K64" s="92">
        <v>4.3482107089132853</v>
      </c>
      <c r="L64" s="92"/>
      <c r="M64" s="92">
        <v>0</v>
      </c>
      <c r="N64" s="99">
        <v>4.3482107089132853</v>
      </c>
      <c r="O64" s="92">
        <v>3102</v>
      </c>
      <c r="P64" s="92" t="s">
        <v>85</v>
      </c>
      <c r="Q64" s="92">
        <v>1</v>
      </c>
      <c r="R64" s="92" t="s">
        <v>151</v>
      </c>
    </row>
    <row r="65" spans="2:18" x14ac:dyDescent="0.15">
      <c r="B65" s="92" t="s">
        <v>160</v>
      </c>
      <c r="C65" s="92" t="s">
        <v>242</v>
      </c>
      <c r="D65" s="93">
        <v>43230</v>
      </c>
      <c r="E65" s="93">
        <v>43413</v>
      </c>
      <c r="F65" s="92">
        <v>2900</v>
      </c>
      <c r="G65" s="92">
        <v>183</v>
      </c>
      <c r="H65" s="92">
        <v>0.50136986301369868</v>
      </c>
      <c r="I65" s="92">
        <v>0</v>
      </c>
      <c r="J65" s="92">
        <v>0.15</v>
      </c>
      <c r="K65" s="92">
        <v>39.235574564926651</v>
      </c>
      <c r="L65" s="92"/>
      <c r="M65" s="92">
        <v>0</v>
      </c>
      <c r="N65" s="99">
        <v>39.235574564926651</v>
      </c>
      <c r="O65" s="92">
        <v>3152</v>
      </c>
      <c r="P65" s="92" t="s">
        <v>85</v>
      </c>
      <c r="Q65" s="92">
        <v>1</v>
      </c>
      <c r="R65" s="92" t="s">
        <v>151</v>
      </c>
    </row>
    <row r="66" spans="2:18" x14ac:dyDescent="0.15">
      <c r="B66" s="92" t="s">
        <v>160</v>
      </c>
      <c r="C66" s="92" t="s">
        <v>242</v>
      </c>
      <c r="D66" s="93">
        <v>43230</v>
      </c>
      <c r="E66" s="93">
        <v>43413</v>
      </c>
      <c r="F66" s="92">
        <v>2800</v>
      </c>
      <c r="G66" s="92">
        <v>183</v>
      </c>
      <c r="H66" s="92">
        <v>0.50136986301369868</v>
      </c>
      <c r="I66" s="92">
        <v>0</v>
      </c>
      <c r="J66" s="92">
        <v>0.15</v>
      </c>
      <c r="K66" s="92">
        <v>20.791222297735487</v>
      </c>
      <c r="L66" s="92"/>
      <c r="M66" s="92">
        <v>0</v>
      </c>
      <c r="N66" s="99">
        <v>20.791222297735487</v>
      </c>
      <c r="O66" s="92">
        <v>3152</v>
      </c>
      <c r="P66" s="92" t="s">
        <v>85</v>
      </c>
      <c r="Q66" s="92">
        <v>1</v>
      </c>
      <c r="R66" s="92" t="s">
        <v>151</v>
      </c>
    </row>
    <row r="67" spans="2:18" x14ac:dyDescent="0.15">
      <c r="B67" s="92" t="s">
        <v>160</v>
      </c>
      <c r="C67" s="92" t="s">
        <v>242</v>
      </c>
      <c r="D67" s="93">
        <v>43230</v>
      </c>
      <c r="E67" s="93">
        <v>43413</v>
      </c>
      <c r="F67" s="92">
        <v>2700</v>
      </c>
      <c r="G67" s="92">
        <v>183</v>
      </c>
      <c r="H67" s="92">
        <v>0.50136986301369868</v>
      </c>
      <c r="I67" s="92">
        <v>0</v>
      </c>
      <c r="J67" s="92">
        <v>0.15</v>
      </c>
      <c r="K67" s="92">
        <v>9.8912533182519837</v>
      </c>
      <c r="L67" s="92"/>
      <c r="M67" s="92">
        <v>0</v>
      </c>
      <c r="N67" s="99">
        <v>9.8912533182519837</v>
      </c>
      <c r="O67" s="92">
        <v>3152</v>
      </c>
      <c r="P67" s="92" t="s">
        <v>85</v>
      </c>
      <c r="Q67" s="92">
        <v>1</v>
      </c>
      <c r="R67" s="92" t="s">
        <v>151</v>
      </c>
    </row>
    <row r="68" spans="2:18" x14ac:dyDescent="0.15">
      <c r="B68" s="91" t="s">
        <v>2</v>
      </c>
      <c r="C68" s="33" t="s">
        <v>181</v>
      </c>
      <c r="D68" s="33" t="s">
        <v>180</v>
      </c>
      <c r="E68" s="33" t="s">
        <v>10</v>
      </c>
      <c r="F68" s="33" t="s">
        <v>184</v>
      </c>
      <c r="G68" s="33" t="s">
        <v>11</v>
      </c>
      <c r="H68" s="33" t="s">
        <v>12</v>
      </c>
      <c r="I68" s="33" t="s">
        <v>47</v>
      </c>
      <c r="J68" s="33" t="s">
        <v>13</v>
      </c>
      <c r="K68" s="33" t="s">
        <v>14</v>
      </c>
      <c r="L68" s="33" t="s">
        <v>26</v>
      </c>
      <c r="M68" s="33" t="s">
        <v>28</v>
      </c>
      <c r="N68" s="33" t="s">
        <v>182</v>
      </c>
      <c r="O68" s="33" t="s">
        <v>8</v>
      </c>
      <c r="P68" s="33" t="s">
        <v>23</v>
      </c>
      <c r="Q68" s="33"/>
      <c r="R68" s="33" t="s">
        <v>30</v>
      </c>
    </row>
    <row r="69" spans="2:18" x14ac:dyDescent="0.15">
      <c r="B69" s="92" t="s">
        <v>160</v>
      </c>
      <c r="C69" s="92" t="s">
        <v>229</v>
      </c>
      <c r="D69" s="93">
        <v>43230</v>
      </c>
      <c r="E69" s="93">
        <v>43261</v>
      </c>
      <c r="F69" s="92">
        <v>490</v>
      </c>
      <c r="G69" s="92">
        <v>31</v>
      </c>
      <c r="H69" s="92">
        <v>8.4931506849315067E-2</v>
      </c>
      <c r="I69" s="92">
        <v>0</v>
      </c>
      <c r="J69" s="92">
        <v>0.28499999999999998</v>
      </c>
      <c r="K69" s="92">
        <v>-9.4993774006077274</v>
      </c>
      <c r="L69" s="92"/>
      <c r="M69" s="92">
        <v>0</v>
      </c>
      <c r="N69" s="99">
        <v>9.4993774006077274</v>
      </c>
      <c r="O69" s="92">
        <v>474.8</v>
      </c>
      <c r="P69" s="92" t="s">
        <v>39</v>
      </c>
      <c r="Q69" s="92">
        <v>-1</v>
      </c>
      <c r="R69" s="92" t="s">
        <v>20</v>
      </c>
    </row>
    <row r="70" spans="2:18" x14ac:dyDescent="0.15">
      <c r="B70" s="92" t="s">
        <v>160</v>
      </c>
      <c r="C70" s="92" t="s">
        <v>229</v>
      </c>
      <c r="D70" s="93">
        <v>43230</v>
      </c>
      <c r="E70" s="93">
        <v>43322</v>
      </c>
      <c r="F70" s="92">
        <v>490</v>
      </c>
      <c r="G70" s="92">
        <v>92</v>
      </c>
      <c r="H70" s="92">
        <v>0.25205479452054796</v>
      </c>
      <c r="I70" s="92">
        <v>0</v>
      </c>
      <c r="J70" s="92">
        <v>0.28499999999999998</v>
      </c>
      <c r="K70" s="92">
        <v>-20.47295742202445</v>
      </c>
      <c r="L70" s="92"/>
      <c r="M70" s="92">
        <v>0</v>
      </c>
      <c r="N70" s="99">
        <v>20.47295742202445</v>
      </c>
      <c r="O70" s="92">
        <v>474.8</v>
      </c>
      <c r="P70" s="92" t="s">
        <v>39</v>
      </c>
      <c r="Q70" s="92">
        <v>-1</v>
      </c>
      <c r="R70" s="92" t="s">
        <v>20</v>
      </c>
    </row>
    <row r="71" spans="2:18" x14ac:dyDescent="0.15">
      <c r="B71" s="91" t="s">
        <v>2</v>
      </c>
      <c r="C71" s="33" t="s">
        <v>181</v>
      </c>
      <c r="D71" s="33" t="s">
        <v>180</v>
      </c>
      <c r="E71" s="33" t="s">
        <v>10</v>
      </c>
      <c r="F71" s="33" t="s">
        <v>184</v>
      </c>
      <c r="G71" s="33" t="s">
        <v>11</v>
      </c>
      <c r="H71" s="33" t="s">
        <v>12</v>
      </c>
      <c r="I71" s="33" t="s">
        <v>47</v>
      </c>
      <c r="J71" s="33" t="s">
        <v>13</v>
      </c>
      <c r="K71" s="33" t="s">
        <v>14</v>
      </c>
      <c r="L71" s="33" t="s">
        <v>26</v>
      </c>
      <c r="M71" s="33" t="s">
        <v>28</v>
      </c>
      <c r="N71" s="33" t="s">
        <v>182</v>
      </c>
      <c r="O71" s="33" t="s">
        <v>8</v>
      </c>
      <c r="P71" s="33" t="s">
        <v>23</v>
      </c>
      <c r="Q71" s="33"/>
      <c r="R71" s="33" t="s">
        <v>30</v>
      </c>
    </row>
    <row r="72" spans="2:18" x14ac:dyDescent="0.15">
      <c r="B72" s="92" t="s">
        <v>160</v>
      </c>
      <c r="C72" s="92" t="s">
        <v>240</v>
      </c>
      <c r="D72" s="93">
        <v>43230</v>
      </c>
      <c r="E72" s="93">
        <v>43261</v>
      </c>
      <c r="F72" s="92">
        <v>3000</v>
      </c>
      <c r="G72" s="92">
        <v>31</v>
      </c>
      <c r="H72" s="92">
        <v>8.4931506849315067E-2</v>
      </c>
      <c r="I72" s="92">
        <v>0</v>
      </c>
      <c r="J72" s="92">
        <v>0.16</v>
      </c>
      <c r="K72" s="92">
        <v>16.90087173661982</v>
      </c>
      <c r="L72" s="92"/>
      <c r="M72" s="92"/>
      <c r="N72" s="99">
        <v>16.90087173661982</v>
      </c>
      <c r="O72" s="92">
        <v>3115</v>
      </c>
      <c r="P72" s="92" t="s">
        <v>85</v>
      </c>
      <c r="Q72" s="92">
        <v>1</v>
      </c>
      <c r="R72" s="92" t="s">
        <v>151</v>
      </c>
    </row>
    <row r="73" spans="2:18" x14ac:dyDescent="0.15">
      <c r="B73" s="92" t="s">
        <v>160</v>
      </c>
      <c r="C73" s="92" t="s">
        <v>240</v>
      </c>
      <c r="D73" s="93">
        <v>43230</v>
      </c>
      <c r="E73" s="93">
        <v>43261</v>
      </c>
      <c r="F73" s="92">
        <v>3280</v>
      </c>
      <c r="G73" s="92">
        <v>31</v>
      </c>
      <c r="H73" s="92">
        <v>8.4931506849315067E-2</v>
      </c>
      <c r="I73" s="92">
        <v>0</v>
      </c>
      <c r="J73" s="92">
        <v>0.18</v>
      </c>
      <c r="K73" s="92">
        <v>-14.375357310664299</v>
      </c>
      <c r="L73" s="92"/>
      <c r="M73" s="92"/>
      <c r="N73" s="99">
        <v>14.375357310664299</v>
      </c>
      <c r="O73" s="92">
        <v>3115</v>
      </c>
      <c r="P73" s="92" t="s">
        <v>39</v>
      </c>
      <c r="Q73" s="92">
        <v>-1</v>
      </c>
      <c r="R73" s="92" t="s">
        <v>20</v>
      </c>
    </row>
    <row r="74" spans="2:18" x14ac:dyDescent="0.15">
      <c r="B74" s="92" t="s">
        <v>160</v>
      </c>
      <c r="C74" s="92" t="s">
        <v>240</v>
      </c>
      <c r="D74" s="93">
        <v>43230</v>
      </c>
      <c r="E74" s="93">
        <v>43261</v>
      </c>
      <c r="F74" s="92" t="s">
        <v>243</v>
      </c>
      <c r="G74" s="92">
        <v>31</v>
      </c>
      <c r="H74" s="92">
        <v>8.4931506849315067E-2</v>
      </c>
      <c r="I74" s="92"/>
      <c r="J74" s="92"/>
      <c r="K74" s="92">
        <v>2.5255144259555209</v>
      </c>
      <c r="L74" s="92">
        <v>0</v>
      </c>
      <c r="M74" s="92">
        <v>0</v>
      </c>
      <c r="N74" s="99">
        <v>2.5255144259555209</v>
      </c>
      <c r="O74" s="92">
        <v>3115</v>
      </c>
      <c r="P74" s="92"/>
      <c r="Q74" s="92"/>
      <c r="R74" s="92"/>
    </row>
    <row r="75" spans="2:18" x14ac:dyDescent="0.15">
      <c r="B75" s="92" t="s">
        <v>160</v>
      </c>
      <c r="C75" s="92" t="s">
        <v>240</v>
      </c>
      <c r="D75" s="93">
        <v>43230</v>
      </c>
      <c r="E75" s="93">
        <v>43322</v>
      </c>
      <c r="F75" s="92">
        <v>3000</v>
      </c>
      <c r="G75" s="92">
        <v>92</v>
      </c>
      <c r="H75" s="92">
        <v>0.25205479452054796</v>
      </c>
      <c r="I75" s="92">
        <v>0</v>
      </c>
      <c r="J75" s="92">
        <v>0.16</v>
      </c>
      <c r="K75" s="92">
        <v>50.740006104727286</v>
      </c>
      <c r="L75" s="92"/>
      <c r="M75" s="92"/>
      <c r="N75" s="99">
        <v>50.740006104727286</v>
      </c>
      <c r="O75" s="92">
        <v>3115</v>
      </c>
      <c r="P75" s="92" t="s">
        <v>85</v>
      </c>
      <c r="Q75" s="92">
        <v>1</v>
      </c>
      <c r="R75" s="92" t="s">
        <v>151</v>
      </c>
    </row>
    <row r="76" spans="2:18" x14ac:dyDescent="0.15">
      <c r="B76" s="92" t="s">
        <v>160</v>
      </c>
      <c r="C76" s="92" t="s">
        <v>240</v>
      </c>
      <c r="D76" s="93">
        <v>43230</v>
      </c>
      <c r="E76" s="93">
        <v>43322</v>
      </c>
      <c r="F76" s="92">
        <v>3280</v>
      </c>
      <c r="G76" s="92">
        <v>92</v>
      </c>
      <c r="H76" s="92">
        <v>0.25205479452054796</v>
      </c>
      <c r="I76" s="92">
        <v>0</v>
      </c>
      <c r="J76" s="92">
        <v>0.18</v>
      </c>
      <c r="K76" s="92">
        <v>-50.764289681136802</v>
      </c>
      <c r="L76" s="92"/>
      <c r="M76" s="92"/>
      <c r="N76" s="99">
        <v>50.764289681136802</v>
      </c>
      <c r="O76" s="92">
        <v>3115</v>
      </c>
      <c r="P76" s="92" t="s">
        <v>39</v>
      </c>
      <c r="Q76" s="92">
        <v>-1</v>
      </c>
      <c r="R76" s="92" t="s">
        <v>20</v>
      </c>
    </row>
    <row r="77" spans="2:18" x14ac:dyDescent="0.15">
      <c r="B77" s="92" t="s">
        <v>160</v>
      </c>
      <c r="C77" s="92" t="s">
        <v>240</v>
      </c>
      <c r="D77" s="93">
        <v>43230</v>
      </c>
      <c r="E77" s="93">
        <v>43322</v>
      </c>
      <c r="F77" s="92" t="s">
        <v>243</v>
      </c>
      <c r="G77" s="92">
        <v>92</v>
      </c>
      <c r="H77" s="92">
        <v>0.25205479452054796</v>
      </c>
      <c r="I77" s="92"/>
      <c r="J77" s="92"/>
      <c r="K77" s="92">
        <v>-2.4283576409516172E-2</v>
      </c>
      <c r="L77" s="92">
        <v>0</v>
      </c>
      <c r="M77" s="92">
        <v>0</v>
      </c>
      <c r="N77" s="99">
        <v>2.4283576409516172E-2</v>
      </c>
      <c r="O77" s="92">
        <v>3115</v>
      </c>
      <c r="P77" s="92"/>
      <c r="Q77" s="92"/>
      <c r="R77" s="92"/>
    </row>
    <row r="78" spans="2:18" x14ac:dyDescent="0.15">
      <c r="B78" s="92"/>
      <c r="C78" s="92"/>
      <c r="D78" s="93"/>
      <c r="E78" s="93"/>
      <c r="F78" s="92"/>
      <c r="G78" s="92"/>
      <c r="H78" s="92"/>
      <c r="I78" s="92"/>
      <c r="J78" s="92"/>
      <c r="K78" s="92"/>
      <c r="L78" s="92"/>
      <c r="M78" s="92"/>
      <c r="N78" s="99"/>
      <c r="O78" s="92"/>
      <c r="P78" s="92"/>
      <c r="Q78" s="92"/>
      <c r="R78" s="92"/>
    </row>
    <row r="79" spans="2:18" x14ac:dyDescent="0.15">
      <c r="B79" s="92"/>
      <c r="C79" s="92"/>
      <c r="D79" s="93"/>
      <c r="E79" s="93"/>
      <c r="F79" s="92"/>
      <c r="G79" s="92"/>
      <c r="H79" s="92"/>
      <c r="I79" s="92"/>
      <c r="J79" s="92"/>
      <c r="K79" s="92"/>
      <c r="L79" s="92"/>
      <c r="M79" s="92"/>
      <c r="N79" s="99"/>
      <c r="O79" s="92"/>
      <c r="P79" s="92"/>
      <c r="Q79" s="92"/>
      <c r="R79" s="92"/>
    </row>
    <row r="80" spans="2:18" x14ac:dyDescent="0.15">
      <c r="B80" s="92" t="s">
        <v>160</v>
      </c>
      <c r="C80" s="92" t="s">
        <v>240</v>
      </c>
      <c r="D80" s="93">
        <v>43230</v>
      </c>
      <c r="E80" s="93">
        <v>43261</v>
      </c>
      <c r="F80" s="92">
        <v>2950</v>
      </c>
      <c r="G80" s="92">
        <v>31</v>
      </c>
      <c r="H80" s="92">
        <v>8.4931506849315067E-2</v>
      </c>
      <c r="I80" s="92">
        <v>0</v>
      </c>
      <c r="J80" s="92">
        <v>0.16</v>
      </c>
      <c r="K80" s="92">
        <v>8.4630149485711286</v>
      </c>
      <c r="L80" s="92"/>
      <c r="M80" s="92"/>
      <c r="N80" s="99">
        <v>8.4630149485711286</v>
      </c>
      <c r="O80" s="92">
        <v>3115</v>
      </c>
      <c r="P80" s="92" t="s">
        <v>85</v>
      </c>
      <c r="Q80" s="92">
        <v>1</v>
      </c>
      <c r="R80" s="92" t="s">
        <v>151</v>
      </c>
    </row>
    <row r="81" spans="2:18" x14ac:dyDescent="0.15">
      <c r="B81" s="92" t="s">
        <v>160</v>
      </c>
      <c r="C81" s="92" t="s">
        <v>240</v>
      </c>
      <c r="D81" s="93">
        <v>43230</v>
      </c>
      <c r="E81" s="93">
        <v>43261</v>
      </c>
      <c r="F81" s="92">
        <v>3350</v>
      </c>
      <c r="G81" s="92">
        <v>31</v>
      </c>
      <c r="H81" s="92">
        <v>8.4931506849315067E-2</v>
      </c>
      <c r="I81" s="92">
        <v>0</v>
      </c>
      <c r="J81" s="92">
        <v>0.18</v>
      </c>
      <c r="K81" s="92">
        <v>-6.3885853251831008</v>
      </c>
      <c r="L81" s="92"/>
      <c r="M81" s="92"/>
      <c r="N81" s="99">
        <v>6.3885853251831008</v>
      </c>
      <c r="O81" s="92">
        <v>3115</v>
      </c>
      <c r="P81" s="92" t="s">
        <v>39</v>
      </c>
      <c r="Q81" s="92">
        <v>-1</v>
      </c>
      <c r="R81" s="92" t="s">
        <v>20</v>
      </c>
    </row>
    <row r="82" spans="2:18" x14ac:dyDescent="0.15">
      <c r="B82" s="92" t="s">
        <v>160</v>
      </c>
      <c r="C82" s="92" t="s">
        <v>240</v>
      </c>
      <c r="D82" s="93">
        <v>43230</v>
      </c>
      <c r="E82" s="93">
        <v>43261</v>
      </c>
      <c r="F82" s="92" t="s">
        <v>244</v>
      </c>
      <c r="G82" s="92">
        <v>31</v>
      </c>
      <c r="H82" s="92">
        <v>8.4931506849315067E-2</v>
      </c>
      <c r="I82" s="92"/>
      <c r="J82" s="92"/>
      <c r="K82" s="92">
        <v>2.0744296233880277</v>
      </c>
      <c r="L82" s="92">
        <v>0</v>
      </c>
      <c r="M82" s="92">
        <v>0</v>
      </c>
      <c r="N82" s="99">
        <v>2.0744296233880277</v>
      </c>
      <c r="O82" s="92">
        <v>3115</v>
      </c>
      <c r="P82" s="92"/>
      <c r="Q82" s="92"/>
      <c r="R82" s="92"/>
    </row>
    <row r="83" spans="2:18" x14ac:dyDescent="0.15">
      <c r="B83" s="92" t="s">
        <v>160</v>
      </c>
      <c r="C83" s="92" t="s">
        <v>240</v>
      </c>
      <c r="D83" s="93">
        <v>43230</v>
      </c>
      <c r="E83" s="93">
        <v>43322</v>
      </c>
      <c r="F83" s="92">
        <v>2950</v>
      </c>
      <c r="G83" s="92">
        <v>92</v>
      </c>
      <c r="H83" s="92">
        <v>0.25205479452054796</v>
      </c>
      <c r="I83" s="92">
        <v>0</v>
      </c>
      <c r="J83" s="92">
        <v>0.16</v>
      </c>
      <c r="K83" s="92">
        <v>35.937641258264421</v>
      </c>
      <c r="L83" s="92"/>
      <c r="M83" s="92"/>
      <c r="N83" s="99">
        <v>35.937641258264421</v>
      </c>
      <c r="O83" s="92">
        <v>3115</v>
      </c>
      <c r="P83" s="92" t="s">
        <v>85</v>
      </c>
      <c r="Q83" s="92">
        <v>1</v>
      </c>
      <c r="R83" s="92" t="s">
        <v>151</v>
      </c>
    </row>
    <row r="84" spans="2:18" x14ac:dyDescent="0.15">
      <c r="B84" s="92" t="s">
        <v>160</v>
      </c>
      <c r="C84" s="92" t="s">
        <v>240</v>
      </c>
      <c r="D84" s="93">
        <v>43230</v>
      </c>
      <c r="E84" s="93">
        <v>43322</v>
      </c>
      <c r="F84" s="92">
        <v>3350</v>
      </c>
      <c r="G84" s="92">
        <v>92</v>
      </c>
      <c r="H84" s="92">
        <v>0.25205479452054796</v>
      </c>
      <c r="I84" s="92">
        <v>0</v>
      </c>
      <c r="J84" s="92">
        <v>0.18</v>
      </c>
      <c r="K84" s="92">
        <v>-34.598324061392418</v>
      </c>
      <c r="L84" s="92"/>
      <c r="M84" s="92"/>
      <c r="N84" s="99">
        <v>34.598324061392418</v>
      </c>
      <c r="O84" s="92">
        <v>3115</v>
      </c>
      <c r="P84" s="92" t="s">
        <v>39</v>
      </c>
      <c r="Q84" s="92">
        <v>-1</v>
      </c>
      <c r="R84" s="92" t="s">
        <v>20</v>
      </c>
    </row>
    <row r="85" spans="2:18" x14ac:dyDescent="0.15">
      <c r="B85" s="92" t="s">
        <v>160</v>
      </c>
      <c r="C85" s="92" t="s">
        <v>240</v>
      </c>
      <c r="D85" s="93">
        <v>43230</v>
      </c>
      <c r="E85" s="93">
        <v>43322</v>
      </c>
      <c r="F85" s="92" t="s">
        <v>244</v>
      </c>
      <c r="G85" s="92">
        <v>92</v>
      </c>
      <c r="H85" s="92">
        <v>0.25205479452054796</v>
      </c>
      <c r="I85" s="92"/>
      <c r="J85" s="92"/>
      <c r="K85" s="92">
        <v>1.3393171968720026</v>
      </c>
      <c r="L85" s="92">
        <v>0</v>
      </c>
      <c r="M85" s="92">
        <v>0</v>
      </c>
      <c r="N85" s="99">
        <v>1.3393171968720026</v>
      </c>
      <c r="O85" s="92">
        <v>3115</v>
      </c>
      <c r="P85" s="92"/>
      <c r="Q85" s="92"/>
      <c r="R85" s="92"/>
    </row>
    <row r="86" spans="2:18" x14ac:dyDescent="0.15">
      <c r="B86" s="91" t="s">
        <v>2</v>
      </c>
      <c r="C86" s="33" t="s">
        <v>181</v>
      </c>
      <c r="D86" s="33" t="s">
        <v>180</v>
      </c>
      <c r="E86" s="33" t="s">
        <v>10</v>
      </c>
      <c r="F86" s="33" t="s">
        <v>184</v>
      </c>
      <c r="G86" s="33" t="s">
        <v>11</v>
      </c>
      <c r="H86" s="33" t="s">
        <v>12</v>
      </c>
      <c r="I86" s="33" t="s">
        <v>47</v>
      </c>
      <c r="J86" s="33" t="s">
        <v>13</v>
      </c>
      <c r="K86" s="33" t="s">
        <v>14</v>
      </c>
      <c r="L86" s="33" t="s">
        <v>26</v>
      </c>
      <c r="M86" s="33" t="s">
        <v>28</v>
      </c>
      <c r="N86" s="33" t="s">
        <v>182</v>
      </c>
      <c r="O86" s="33" t="s">
        <v>8</v>
      </c>
      <c r="P86" s="33" t="s">
        <v>23</v>
      </c>
      <c r="Q86" s="33"/>
      <c r="R86" s="33" t="s">
        <v>30</v>
      </c>
    </row>
    <row r="87" spans="2:18" x14ac:dyDescent="0.15">
      <c r="B87" s="92" t="s">
        <v>160</v>
      </c>
      <c r="C87" s="92" t="s">
        <v>185</v>
      </c>
      <c r="D87" s="93">
        <v>43231</v>
      </c>
      <c r="E87" s="93">
        <v>43259</v>
      </c>
      <c r="F87" s="92">
        <v>3300</v>
      </c>
      <c r="G87" s="92">
        <v>28</v>
      </c>
      <c r="H87" s="92">
        <v>7.6712328767123292E-2</v>
      </c>
      <c r="I87" s="92">
        <v>0</v>
      </c>
      <c r="J87" s="92">
        <v>0.22</v>
      </c>
      <c r="K87" s="92">
        <v>4.4506546422274198</v>
      </c>
      <c r="L87" s="92"/>
      <c r="M87" s="92">
        <v>0</v>
      </c>
      <c r="N87" s="99">
        <v>4.4506546422274198</v>
      </c>
      <c r="O87" s="92">
        <v>3647</v>
      </c>
      <c r="P87" s="92" t="s">
        <v>85</v>
      </c>
      <c r="Q87" s="92">
        <v>1</v>
      </c>
      <c r="R87" s="92" t="s">
        <v>151</v>
      </c>
    </row>
    <row r="88" spans="2:18" x14ac:dyDescent="0.15">
      <c r="B88" s="92" t="s">
        <v>160</v>
      </c>
      <c r="C88" s="92" t="s">
        <v>185</v>
      </c>
      <c r="D88" s="93">
        <v>43231</v>
      </c>
      <c r="E88" s="93">
        <v>43259</v>
      </c>
      <c r="F88" s="92">
        <v>3350</v>
      </c>
      <c r="G88" s="92">
        <v>28</v>
      </c>
      <c r="H88" s="92">
        <v>7.6712328767123292E-2</v>
      </c>
      <c r="I88" s="92">
        <v>0</v>
      </c>
      <c r="J88" s="92">
        <v>0.2225</v>
      </c>
      <c r="K88" s="92">
        <v>8.2664551688841357</v>
      </c>
      <c r="L88" s="92"/>
      <c r="M88" s="92">
        <v>0</v>
      </c>
      <c r="N88" s="99">
        <v>8.2664551688841357</v>
      </c>
      <c r="O88" s="92">
        <v>3647</v>
      </c>
      <c r="P88" s="92" t="s">
        <v>85</v>
      </c>
      <c r="Q88" s="92">
        <v>1</v>
      </c>
      <c r="R88" s="92" t="s">
        <v>151</v>
      </c>
    </row>
    <row r="89" spans="2:18" x14ac:dyDescent="0.15">
      <c r="B89" s="92" t="s">
        <v>160</v>
      </c>
      <c r="C89" s="92" t="s">
        <v>185</v>
      </c>
      <c r="D89" s="93">
        <v>43231</v>
      </c>
      <c r="E89" s="93">
        <v>43259</v>
      </c>
      <c r="F89" s="92">
        <v>3400</v>
      </c>
      <c r="G89" s="92">
        <v>28</v>
      </c>
      <c r="H89" s="92">
        <v>7.6712328767123292E-2</v>
      </c>
      <c r="I89" s="92">
        <v>0</v>
      </c>
      <c r="J89" s="92">
        <v>0.22500000000000001</v>
      </c>
      <c r="K89" s="92">
        <v>14.292243567169294</v>
      </c>
      <c r="L89" s="92"/>
      <c r="M89" s="92">
        <v>0</v>
      </c>
      <c r="N89" s="99">
        <v>14.292243567169294</v>
      </c>
      <c r="O89" s="92">
        <v>3647</v>
      </c>
      <c r="P89" s="92" t="s">
        <v>85</v>
      </c>
      <c r="Q89" s="92">
        <v>1</v>
      </c>
      <c r="R89" s="92" t="s">
        <v>151</v>
      </c>
    </row>
    <row r="90" spans="2:18" x14ac:dyDescent="0.15">
      <c r="B90" s="91" t="s">
        <v>2</v>
      </c>
      <c r="C90" s="33" t="s">
        <v>181</v>
      </c>
      <c r="D90" s="33" t="s">
        <v>180</v>
      </c>
      <c r="E90" s="33" t="s">
        <v>10</v>
      </c>
      <c r="F90" s="33" t="s">
        <v>184</v>
      </c>
      <c r="G90" s="33" t="s">
        <v>11</v>
      </c>
      <c r="H90" s="33" t="s">
        <v>12</v>
      </c>
      <c r="I90" s="33" t="s">
        <v>47</v>
      </c>
      <c r="J90" s="33" t="s">
        <v>13</v>
      </c>
      <c r="K90" s="33" t="s">
        <v>14</v>
      </c>
      <c r="L90" s="33" t="s">
        <v>26</v>
      </c>
      <c r="M90" s="33" t="s">
        <v>28</v>
      </c>
      <c r="N90" s="33" t="s">
        <v>182</v>
      </c>
      <c r="O90" s="33" t="s">
        <v>8</v>
      </c>
      <c r="P90" s="33" t="s">
        <v>23</v>
      </c>
      <c r="Q90" s="33"/>
      <c r="R90" s="33" t="s">
        <v>30</v>
      </c>
    </row>
    <row r="91" spans="2:18" x14ac:dyDescent="0.15">
      <c r="B91" s="92" t="s">
        <v>160</v>
      </c>
      <c r="C91" s="92" t="s">
        <v>245</v>
      </c>
      <c r="D91" s="93">
        <v>43231</v>
      </c>
      <c r="E91" s="93">
        <v>43262</v>
      </c>
      <c r="F91" s="92">
        <v>100</v>
      </c>
      <c r="G91" s="92">
        <v>31</v>
      </c>
      <c r="H91" s="92">
        <v>8.4931506849315067E-2</v>
      </c>
      <c r="I91" s="92">
        <v>0</v>
      </c>
      <c r="J91" s="92">
        <v>0.16500000000000001</v>
      </c>
      <c r="K91" s="92">
        <v>1.9149122565538121</v>
      </c>
      <c r="L91" s="92"/>
      <c r="M91" s="92">
        <v>0</v>
      </c>
      <c r="N91" s="99">
        <v>1.9149122565538121</v>
      </c>
      <c r="O91" s="92">
        <v>100</v>
      </c>
      <c r="P91" s="92"/>
      <c r="Q91" s="92">
        <v>1</v>
      </c>
      <c r="R91" s="92" t="s">
        <v>151</v>
      </c>
    </row>
    <row r="92" spans="2:18" x14ac:dyDescent="0.15">
      <c r="B92" s="92"/>
      <c r="C92" s="92"/>
      <c r="D92" s="93"/>
      <c r="E92" s="93"/>
      <c r="F92" s="92"/>
      <c r="G92" s="92"/>
      <c r="H92" s="92"/>
      <c r="I92" s="92"/>
      <c r="J92" s="92"/>
      <c r="K92" s="92"/>
      <c r="L92" s="92"/>
      <c r="M92" s="92"/>
      <c r="N92" s="99"/>
      <c r="O92" s="92"/>
      <c r="P92" s="92"/>
      <c r="Q92" s="92"/>
      <c r="R92" s="92"/>
    </row>
    <row r="93" spans="2:18" x14ac:dyDescent="0.15">
      <c r="B93" s="92" t="s">
        <v>160</v>
      </c>
      <c r="C93" s="92" t="s">
        <v>246</v>
      </c>
      <c r="D93" s="93">
        <v>43231</v>
      </c>
      <c r="E93" s="93">
        <v>43262</v>
      </c>
      <c r="F93" s="92">
        <v>100</v>
      </c>
      <c r="G93" s="92">
        <v>31</v>
      </c>
      <c r="H93" s="92">
        <v>8.4931506849315067E-2</v>
      </c>
      <c r="I93" s="92">
        <v>0</v>
      </c>
      <c r="J93" s="92">
        <v>0.16250000000000001</v>
      </c>
      <c r="K93" s="92">
        <v>1.8859038982856404</v>
      </c>
      <c r="L93" s="92"/>
      <c r="M93" s="92">
        <v>0</v>
      </c>
      <c r="N93" s="99">
        <v>1.8859038982856404</v>
      </c>
      <c r="O93" s="92">
        <v>100</v>
      </c>
      <c r="P93" s="92"/>
      <c r="Q93" s="92">
        <v>1</v>
      </c>
      <c r="R93" s="92" t="s">
        <v>151</v>
      </c>
    </row>
    <row r="94" spans="2:18" x14ac:dyDescent="0.15">
      <c r="B94" s="92"/>
      <c r="C94" s="92"/>
      <c r="D94" s="93"/>
      <c r="E94" s="93"/>
      <c r="F94" s="92"/>
      <c r="G94" s="92"/>
      <c r="H94" s="92"/>
      <c r="I94" s="92"/>
      <c r="J94" s="92"/>
      <c r="K94" s="92"/>
      <c r="L94" s="92"/>
      <c r="M94" s="92"/>
      <c r="N94" s="99"/>
      <c r="O94" s="92"/>
      <c r="P94" s="92"/>
      <c r="Q94" s="92"/>
      <c r="R94" s="92"/>
    </row>
    <row r="95" spans="2:18" x14ac:dyDescent="0.15">
      <c r="B95" s="92" t="s">
        <v>160</v>
      </c>
      <c r="C95" s="92" t="s">
        <v>247</v>
      </c>
      <c r="D95" s="93">
        <v>43231</v>
      </c>
      <c r="E95" s="93">
        <v>43262</v>
      </c>
      <c r="F95" s="92">
        <v>100</v>
      </c>
      <c r="G95" s="92">
        <v>31</v>
      </c>
      <c r="H95" s="92">
        <v>8.4931506849315067E-2</v>
      </c>
      <c r="I95" s="92">
        <v>0</v>
      </c>
      <c r="J95" s="92">
        <v>0.13750000000000001</v>
      </c>
      <c r="K95" s="92">
        <v>1.595807188203942</v>
      </c>
      <c r="L95" s="92"/>
      <c r="M95" s="92">
        <v>0</v>
      </c>
      <c r="N95" s="99">
        <v>1.595807188203942</v>
      </c>
      <c r="O95" s="92">
        <v>100</v>
      </c>
      <c r="P95" s="92"/>
      <c r="Q95" s="92">
        <v>1</v>
      </c>
      <c r="R95" s="92" t="s">
        <v>151</v>
      </c>
    </row>
    <row r="96" spans="2:18" x14ac:dyDescent="0.15">
      <c r="B96" s="92" t="s">
        <v>160</v>
      </c>
      <c r="C96" s="92" t="s">
        <v>247</v>
      </c>
      <c r="D96" s="93">
        <v>43231</v>
      </c>
      <c r="E96" s="93">
        <v>43262</v>
      </c>
      <c r="F96" s="92">
        <v>100</v>
      </c>
      <c r="G96" s="92">
        <v>31</v>
      </c>
      <c r="H96" s="92">
        <v>8.4931506849315067E-2</v>
      </c>
      <c r="I96" s="92">
        <v>0</v>
      </c>
      <c r="J96" s="92">
        <v>0.1875</v>
      </c>
      <c r="K96" s="92">
        <v>-2.1759755861492565</v>
      </c>
      <c r="L96" s="92"/>
      <c r="M96" s="92">
        <v>0</v>
      </c>
      <c r="N96" s="99">
        <v>2.1759755861492565</v>
      </c>
      <c r="O96" s="92">
        <v>100</v>
      </c>
      <c r="P96" s="92"/>
      <c r="Q96" s="92">
        <v>-1</v>
      </c>
      <c r="R96" s="92" t="s">
        <v>20</v>
      </c>
    </row>
    <row r="97" spans="2:18" x14ac:dyDescent="0.15">
      <c r="B97" s="92"/>
      <c r="C97" s="92"/>
      <c r="D97" s="93"/>
      <c r="E97" s="93"/>
      <c r="F97" s="92"/>
      <c r="G97" s="92"/>
      <c r="H97" s="92"/>
      <c r="I97" s="92"/>
      <c r="J97" s="92"/>
      <c r="K97" s="92"/>
      <c r="L97" s="92"/>
      <c r="M97" s="92"/>
      <c r="N97" s="99"/>
      <c r="O97" s="92"/>
      <c r="P97" s="92"/>
      <c r="Q97" s="92"/>
      <c r="R97" s="92"/>
    </row>
    <row r="98" spans="2:18" x14ac:dyDescent="0.15">
      <c r="B98" s="92" t="s">
        <v>160</v>
      </c>
      <c r="C98" s="92" t="s">
        <v>240</v>
      </c>
      <c r="D98" s="93">
        <v>43231</v>
      </c>
      <c r="E98" s="93">
        <v>43251</v>
      </c>
      <c r="F98" s="92">
        <v>100</v>
      </c>
      <c r="G98" s="92">
        <v>20</v>
      </c>
      <c r="H98" s="92">
        <v>5.4794520547945202E-2</v>
      </c>
      <c r="I98" s="92">
        <v>0</v>
      </c>
      <c r="J98" s="92">
        <v>0.18</v>
      </c>
      <c r="K98" s="92">
        <v>1.6789705266844948</v>
      </c>
      <c r="L98" s="92"/>
      <c r="M98" s="92">
        <v>0</v>
      </c>
      <c r="N98" s="99">
        <v>1.6789705266844948</v>
      </c>
      <c r="O98" s="92">
        <v>100</v>
      </c>
      <c r="P98" s="92"/>
      <c r="Q98" s="92">
        <v>1</v>
      </c>
      <c r="R98" s="92" t="s">
        <v>151</v>
      </c>
    </row>
    <row r="99" spans="2:18" x14ac:dyDescent="0.15">
      <c r="B99" s="92" t="s">
        <v>160</v>
      </c>
      <c r="C99" s="92" t="s">
        <v>240</v>
      </c>
      <c r="D99" s="93">
        <v>43231</v>
      </c>
      <c r="E99" s="93">
        <v>43281</v>
      </c>
      <c r="F99" s="92">
        <v>100</v>
      </c>
      <c r="G99" s="92">
        <v>50</v>
      </c>
      <c r="H99" s="92">
        <v>0.13698630136986301</v>
      </c>
      <c r="I99" s="92">
        <v>0</v>
      </c>
      <c r="J99" s="92">
        <v>0.24</v>
      </c>
      <c r="K99" s="92">
        <v>-3.5328668252653728</v>
      </c>
      <c r="L99" s="92"/>
      <c r="M99" s="92">
        <v>0</v>
      </c>
      <c r="N99" s="99">
        <v>3.5328668252653728</v>
      </c>
      <c r="O99" s="92">
        <v>100</v>
      </c>
      <c r="P99" s="92"/>
      <c r="Q99" s="92">
        <v>-1</v>
      </c>
      <c r="R99" s="92" t="s">
        <v>20</v>
      </c>
    </row>
    <row r="100" spans="2:18" x14ac:dyDescent="0.15">
      <c r="B100" s="92"/>
      <c r="C100" s="92"/>
      <c r="D100" s="93"/>
      <c r="E100" s="93"/>
      <c r="F100" s="92"/>
      <c r="G100" s="92"/>
      <c r="H100" s="92"/>
      <c r="I100" s="92"/>
      <c r="J100" s="92"/>
      <c r="K100" s="92"/>
      <c r="L100" s="92"/>
      <c r="M100" s="92"/>
      <c r="N100" s="99"/>
      <c r="O100" s="92"/>
      <c r="P100" s="92"/>
      <c r="Q100" s="92"/>
      <c r="R100" s="92"/>
    </row>
    <row r="101" spans="2:18" x14ac:dyDescent="0.15">
      <c r="B101" s="92" t="s">
        <v>160</v>
      </c>
      <c r="C101" s="92" t="s">
        <v>239</v>
      </c>
      <c r="D101" s="93">
        <v>43231</v>
      </c>
      <c r="E101" s="93">
        <v>43262</v>
      </c>
      <c r="F101" s="92">
        <v>100</v>
      </c>
      <c r="G101" s="92">
        <v>31</v>
      </c>
      <c r="H101" s="92">
        <v>8.4931506849315067E-2</v>
      </c>
      <c r="I101" s="92">
        <v>0</v>
      </c>
      <c r="J101" s="92">
        <v>8.5000000000000006E-2</v>
      </c>
      <c r="K101" s="92">
        <v>0.98653976806129151</v>
      </c>
      <c r="L101" s="92"/>
      <c r="M101" s="92">
        <v>0</v>
      </c>
      <c r="N101" s="99">
        <v>0.98653976806129151</v>
      </c>
      <c r="O101" s="92">
        <v>100</v>
      </c>
      <c r="P101" s="92"/>
      <c r="Q101" s="92">
        <v>1</v>
      </c>
      <c r="R101" s="92" t="s">
        <v>151</v>
      </c>
    </row>
    <row r="102" spans="2:18" x14ac:dyDescent="0.15">
      <c r="B102" s="92" t="s">
        <v>160</v>
      </c>
      <c r="C102" s="92" t="s">
        <v>248</v>
      </c>
      <c r="D102" s="93">
        <v>43231</v>
      </c>
      <c r="E102" s="93">
        <v>43262</v>
      </c>
      <c r="F102" s="92">
        <v>100</v>
      </c>
      <c r="G102" s="92">
        <v>31</v>
      </c>
      <c r="H102" s="92">
        <v>8.4931506849315067E-2</v>
      </c>
      <c r="I102" s="92">
        <v>0</v>
      </c>
      <c r="J102" s="92">
        <v>0.14499999999999999</v>
      </c>
      <c r="K102" s="92">
        <v>-1.6828385996297825</v>
      </c>
      <c r="L102" s="92"/>
      <c r="M102" s="92">
        <v>0</v>
      </c>
      <c r="N102" s="99">
        <v>1.6828385996297825</v>
      </c>
      <c r="O102" s="92">
        <v>100</v>
      </c>
      <c r="P102" s="92"/>
      <c r="Q102" s="92">
        <v>-1</v>
      </c>
      <c r="R102" s="92" t="s">
        <v>20</v>
      </c>
    </row>
    <row r="103" spans="2:18" x14ac:dyDescent="0.15">
      <c r="B103" s="91" t="s">
        <v>2</v>
      </c>
      <c r="C103" s="33" t="s">
        <v>181</v>
      </c>
      <c r="D103" s="33" t="s">
        <v>180</v>
      </c>
      <c r="E103" s="33" t="s">
        <v>10</v>
      </c>
      <c r="F103" s="33" t="s">
        <v>184</v>
      </c>
      <c r="G103" s="33" t="s">
        <v>11</v>
      </c>
      <c r="H103" s="33" t="s">
        <v>12</v>
      </c>
      <c r="I103" s="33" t="s">
        <v>47</v>
      </c>
      <c r="J103" s="33" t="s">
        <v>13</v>
      </c>
      <c r="K103" s="33" t="s">
        <v>14</v>
      </c>
      <c r="L103" s="33" t="s">
        <v>26</v>
      </c>
      <c r="M103" s="33" t="s">
        <v>28</v>
      </c>
      <c r="N103" s="33" t="s">
        <v>182</v>
      </c>
      <c r="O103" s="33" t="s">
        <v>8</v>
      </c>
      <c r="P103" s="33" t="s">
        <v>23</v>
      </c>
      <c r="Q103" s="33"/>
      <c r="R103" s="33" t="s">
        <v>30</v>
      </c>
    </row>
    <row r="104" spans="2:18" x14ac:dyDescent="0.15">
      <c r="B104" s="92" t="s">
        <v>160</v>
      </c>
      <c r="C104" s="92" t="s">
        <v>231</v>
      </c>
      <c r="D104" s="93">
        <v>43234</v>
      </c>
      <c r="E104" s="93">
        <v>43265</v>
      </c>
      <c r="F104" s="92">
        <v>100</v>
      </c>
      <c r="G104" s="92">
        <v>31</v>
      </c>
      <c r="H104" s="92">
        <v>8.4931506849315067E-2</v>
      </c>
      <c r="I104" s="92">
        <v>0</v>
      </c>
      <c r="J104" s="92">
        <v>0.17</v>
      </c>
      <c r="K104" s="92">
        <v>1.9729282070317495</v>
      </c>
      <c r="L104" s="92"/>
      <c r="M104" s="92">
        <v>0</v>
      </c>
      <c r="N104" s="99">
        <v>1.9729282070317495</v>
      </c>
      <c r="O104" s="92">
        <v>100</v>
      </c>
      <c r="P104" s="92" t="s">
        <v>39</v>
      </c>
      <c r="Q104" s="92">
        <v>1</v>
      </c>
      <c r="R104" s="92" t="s">
        <v>151</v>
      </c>
    </row>
    <row r="105" spans="2:18" x14ac:dyDescent="0.15">
      <c r="B105" s="92" t="s">
        <v>160</v>
      </c>
      <c r="C105" s="92" t="s">
        <v>231</v>
      </c>
      <c r="D105" s="93">
        <v>43234</v>
      </c>
      <c r="E105" s="93">
        <v>43265</v>
      </c>
      <c r="F105" s="92">
        <v>100</v>
      </c>
      <c r="G105" s="92">
        <v>31</v>
      </c>
      <c r="H105" s="92">
        <v>8.4931506849315067E-2</v>
      </c>
      <c r="I105" s="92">
        <v>0</v>
      </c>
      <c r="J105" s="92">
        <v>0.23</v>
      </c>
      <c r="K105" s="92">
        <v>-2.6690291414690392</v>
      </c>
      <c r="L105" s="92"/>
      <c r="M105" s="92">
        <v>0</v>
      </c>
      <c r="N105" s="99">
        <v>2.6690291414690392</v>
      </c>
      <c r="O105" s="92">
        <v>100</v>
      </c>
      <c r="P105" s="92" t="s">
        <v>39</v>
      </c>
      <c r="Q105" s="92">
        <v>-1</v>
      </c>
      <c r="R105" s="92" t="s">
        <v>20</v>
      </c>
    </row>
    <row r="106" spans="2:18" x14ac:dyDescent="0.15">
      <c r="B106" s="92"/>
      <c r="C106" s="92"/>
      <c r="D106" s="93"/>
      <c r="E106" s="93"/>
      <c r="F106" s="92">
        <v>100</v>
      </c>
      <c r="G106" s="92"/>
      <c r="H106" s="92"/>
      <c r="I106" s="92"/>
      <c r="J106" s="92"/>
      <c r="K106" s="92"/>
      <c r="L106" s="92"/>
      <c r="M106" s="92"/>
      <c r="N106" s="99"/>
      <c r="O106" s="92">
        <v>100</v>
      </c>
      <c r="P106" s="92"/>
      <c r="Q106" s="92"/>
      <c r="R106" s="92"/>
    </row>
    <row r="107" spans="2:18" x14ac:dyDescent="0.15">
      <c r="B107" s="92" t="s">
        <v>160</v>
      </c>
      <c r="C107" s="92" t="s">
        <v>231</v>
      </c>
      <c r="D107" s="93">
        <v>43234</v>
      </c>
      <c r="E107" s="93">
        <v>43295</v>
      </c>
      <c r="F107" s="92">
        <v>100</v>
      </c>
      <c r="G107" s="92">
        <v>61</v>
      </c>
      <c r="H107" s="92">
        <v>0.16712328767123288</v>
      </c>
      <c r="I107" s="92">
        <v>0</v>
      </c>
      <c r="J107" s="92">
        <v>0.17499999999999999</v>
      </c>
      <c r="K107" s="92">
        <v>2.8439527536967617</v>
      </c>
      <c r="L107" s="92"/>
      <c r="M107" s="92">
        <v>0</v>
      </c>
      <c r="N107" s="99">
        <v>2.8439527536967617</v>
      </c>
      <c r="O107" s="92">
        <v>100</v>
      </c>
      <c r="P107" s="92" t="s">
        <v>39</v>
      </c>
      <c r="Q107" s="92">
        <v>1</v>
      </c>
      <c r="R107" s="92" t="s">
        <v>151</v>
      </c>
    </row>
    <row r="108" spans="2:18" x14ac:dyDescent="0.15">
      <c r="B108" s="92" t="s">
        <v>160</v>
      </c>
      <c r="C108" s="92" t="s">
        <v>231</v>
      </c>
      <c r="D108" s="93">
        <v>43234</v>
      </c>
      <c r="E108" s="93">
        <v>43295</v>
      </c>
      <c r="F108" s="92">
        <v>100</v>
      </c>
      <c r="G108" s="92">
        <v>61</v>
      </c>
      <c r="H108" s="92">
        <v>0.16712328767123288</v>
      </c>
      <c r="I108" s="92">
        <v>0</v>
      </c>
      <c r="J108" s="92">
        <v>0.24</v>
      </c>
      <c r="K108" s="92">
        <v>-3.8995456842853713</v>
      </c>
      <c r="L108" s="92"/>
      <c r="M108" s="92">
        <v>0</v>
      </c>
      <c r="N108" s="99">
        <v>3.8995456842853713</v>
      </c>
      <c r="O108" s="92">
        <v>100</v>
      </c>
      <c r="P108" s="92" t="s">
        <v>39</v>
      </c>
      <c r="Q108" s="92">
        <v>-1</v>
      </c>
      <c r="R108" s="92" t="s">
        <v>20</v>
      </c>
    </row>
    <row r="109" spans="2:18" x14ac:dyDescent="0.15">
      <c r="B109" s="92"/>
      <c r="C109" s="92"/>
      <c r="D109" s="93"/>
      <c r="E109" s="93"/>
      <c r="F109" s="92">
        <v>100</v>
      </c>
      <c r="G109" s="92"/>
      <c r="H109" s="92"/>
      <c r="I109" s="92"/>
      <c r="J109" s="92"/>
      <c r="K109" s="92"/>
      <c r="L109" s="92"/>
      <c r="M109" s="92"/>
      <c r="N109" s="99"/>
      <c r="O109" s="92">
        <v>100</v>
      </c>
      <c r="P109" s="92"/>
      <c r="Q109" s="92"/>
      <c r="R109" s="92"/>
    </row>
    <row r="110" spans="2:18" x14ac:dyDescent="0.15">
      <c r="B110" s="92" t="s">
        <v>160</v>
      </c>
      <c r="C110" s="92" t="s">
        <v>232</v>
      </c>
      <c r="D110" s="93">
        <v>43234</v>
      </c>
      <c r="E110" s="93">
        <v>43265</v>
      </c>
      <c r="F110" s="92">
        <v>100</v>
      </c>
      <c r="G110" s="92">
        <v>31</v>
      </c>
      <c r="H110" s="92">
        <v>8.4931506849315067E-2</v>
      </c>
      <c r="I110" s="92">
        <v>0</v>
      </c>
      <c r="J110" s="92">
        <v>0.14899999999999999</v>
      </c>
      <c r="K110" s="92">
        <v>1.7292545372965478</v>
      </c>
      <c r="L110" s="92"/>
      <c r="M110" s="92">
        <v>0</v>
      </c>
      <c r="N110" s="99">
        <v>1.7292545372965478</v>
      </c>
      <c r="O110" s="92">
        <v>100</v>
      </c>
      <c r="P110" s="92" t="s">
        <v>39</v>
      </c>
      <c r="Q110" s="92">
        <v>1</v>
      </c>
      <c r="R110" s="92" t="s">
        <v>151</v>
      </c>
    </row>
    <row r="111" spans="2:18" x14ac:dyDescent="0.15">
      <c r="B111" s="92" t="s">
        <v>160</v>
      </c>
      <c r="C111" s="92" t="s">
        <v>232</v>
      </c>
      <c r="D111" s="93">
        <v>43234</v>
      </c>
      <c r="E111" s="93">
        <v>43265</v>
      </c>
      <c r="F111" s="92">
        <v>100</v>
      </c>
      <c r="G111" s="92">
        <v>31</v>
      </c>
      <c r="H111" s="92">
        <v>8.4931506849315067E-2</v>
      </c>
      <c r="I111" s="92">
        <v>0</v>
      </c>
      <c r="J111" s="92">
        <v>0.19900000000000001</v>
      </c>
      <c r="K111" s="92">
        <v>-2.3093991008004622</v>
      </c>
      <c r="L111" s="92"/>
      <c r="M111" s="92">
        <v>0</v>
      </c>
      <c r="N111" s="99">
        <v>2.3093991008004622</v>
      </c>
      <c r="O111" s="92">
        <v>100</v>
      </c>
      <c r="P111" s="92" t="s">
        <v>39</v>
      </c>
      <c r="Q111" s="92">
        <v>-1</v>
      </c>
      <c r="R111" s="92" t="s">
        <v>20</v>
      </c>
    </row>
    <row r="112" spans="2:18" x14ac:dyDescent="0.15">
      <c r="B112" s="92"/>
      <c r="C112" s="92"/>
      <c r="D112" s="93"/>
      <c r="E112" s="93"/>
      <c r="F112" s="92">
        <v>100</v>
      </c>
      <c r="G112" s="92"/>
      <c r="H112" s="92"/>
      <c r="I112" s="92"/>
      <c r="J112" s="92"/>
      <c r="K112" s="92"/>
      <c r="L112" s="92"/>
      <c r="M112" s="92"/>
      <c r="N112" s="99"/>
      <c r="O112" s="92">
        <v>100</v>
      </c>
      <c r="P112" s="92"/>
      <c r="Q112" s="92"/>
      <c r="R112" s="92"/>
    </row>
    <row r="113" spans="2:22" x14ac:dyDescent="0.15">
      <c r="B113" s="92" t="s">
        <v>160</v>
      </c>
      <c r="C113" s="92" t="s">
        <v>230</v>
      </c>
      <c r="D113" s="93">
        <v>43234</v>
      </c>
      <c r="E113" s="93">
        <v>43265</v>
      </c>
      <c r="F113" s="92">
        <v>100</v>
      </c>
      <c r="G113" s="92">
        <v>31</v>
      </c>
      <c r="H113" s="92">
        <v>8.4931506849315067E-2</v>
      </c>
      <c r="I113" s="92">
        <v>0</v>
      </c>
      <c r="J113" s="92">
        <v>0.1075</v>
      </c>
      <c r="K113" s="92">
        <v>1.2476635246627694</v>
      </c>
      <c r="L113" s="92"/>
      <c r="M113" s="92">
        <v>0</v>
      </c>
      <c r="N113" s="99">
        <v>1.2476635246627694</v>
      </c>
      <c r="O113" s="92">
        <v>100</v>
      </c>
      <c r="P113" s="92" t="s">
        <v>39</v>
      </c>
      <c r="Q113" s="92">
        <v>1</v>
      </c>
      <c r="R113" s="92" t="s">
        <v>151</v>
      </c>
    </row>
    <row r="114" spans="2:22" x14ac:dyDescent="0.15">
      <c r="B114" s="91" t="s">
        <v>2</v>
      </c>
      <c r="C114" s="33" t="s">
        <v>181</v>
      </c>
      <c r="D114" s="33" t="s">
        <v>180</v>
      </c>
      <c r="E114" s="33" t="s">
        <v>10</v>
      </c>
      <c r="F114" s="33" t="s">
        <v>184</v>
      </c>
      <c r="G114" s="33" t="s">
        <v>11</v>
      </c>
      <c r="H114" s="33" t="s">
        <v>12</v>
      </c>
      <c r="I114" s="33" t="s">
        <v>47</v>
      </c>
      <c r="J114" s="33" t="s">
        <v>13</v>
      </c>
      <c r="K114" s="33" t="s">
        <v>14</v>
      </c>
      <c r="L114" s="33" t="s">
        <v>26</v>
      </c>
      <c r="M114" s="33" t="s">
        <v>28</v>
      </c>
      <c r="N114" s="33" t="s">
        <v>182</v>
      </c>
      <c r="O114" s="33" t="s">
        <v>8</v>
      </c>
      <c r="P114" s="33" t="s">
        <v>23</v>
      </c>
      <c r="Q114" s="33"/>
      <c r="R114" s="33" t="s">
        <v>30</v>
      </c>
    </row>
    <row r="115" spans="2:22" x14ac:dyDescent="0.15">
      <c r="B115" s="92" t="s">
        <v>160</v>
      </c>
      <c r="C115" s="92" t="s">
        <v>252</v>
      </c>
      <c r="D115" s="93">
        <v>43235</v>
      </c>
      <c r="E115" s="93">
        <v>43266</v>
      </c>
      <c r="F115" s="92">
        <v>3800</v>
      </c>
      <c r="G115" s="92">
        <v>31</v>
      </c>
      <c r="H115" s="92">
        <v>8.4931506849315067E-2</v>
      </c>
      <c r="I115" s="92">
        <v>0</v>
      </c>
      <c r="J115" s="92">
        <v>0.28999999999999998</v>
      </c>
      <c r="K115" s="92">
        <v>-130.29432448217995</v>
      </c>
      <c r="L115" s="92"/>
      <c r="M115" s="92">
        <v>0</v>
      </c>
      <c r="N115" s="99">
        <v>130.29432448217995</v>
      </c>
      <c r="O115" s="92">
        <v>3795</v>
      </c>
      <c r="P115" s="92" t="s">
        <v>85</v>
      </c>
      <c r="Q115" s="92">
        <v>-1</v>
      </c>
      <c r="R115" s="92" t="s">
        <v>20</v>
      </c>
    </row>
    <row r="116" spans="2:22" x14ac:dyDescent="0.15">
      <c r="B116" s="92" t="s">
        <v>160</v>
      </c>
      <c r="C116" s="92" t="s">
        <v>252</v>
      </c>
      <c r="D116" s="93">
        <v>43235</v>
      </c>
      <c r="E116" s="93">
        <v>43266</v>
      </c>
      <c r="F116" s="92">
        <v>3700</v>
      </c>
      <c r="G116" s="92">
        <v>31</v>
      </c>
      <c r="H116" s="92">
        <v>8.4931506849315067E-2</v>
      </c>
      <c r="I116" s="92">
        <v>0</v>
      </c>
      <c r="J116" s="92">
        <v>0.28999999999999998</v>
      </c>
      <c r="K116" s="92">
        <v>-84.308597399370683</v>
      </c>
      <c r="L116" s="92"/>
      <c r="M116" s="92">
        <v>0</v>
      </c>
      <c r="N116" s="99">
        <v>84.308597399370683</v>
      </c>
      <c r="O116" s="92">
        <v>3795</v>
      </c>
      <c r="P116" s="92" t="s">
        <v>85</v>
      </c>
      <c r="Q116" s="92">
        <v>-1</v>
      </c>
      <c r="R116" s="92" t="s">
        <v>20</v>
      </c>
    </row>
    <row r="117" spans="2:22" x14ac:dyDescent="0.15">
      <c r="B117" s="91" t="s">
        <v>2</v>
      </c>
      <c r="C117" s="33" t="s">
        <v>181</v>
      </c>
      <c r="D117" s="33" t="s">
        <v>180</v>
      </c>
      <c r="E117" s="33" t="s">
        <v>10</v>
      </c>
      <c r="F117" s="33" t="s">
        <v>184</v>
      </c>
      <c r="G117" s="33" t="s">
        <v>11</v>
      </c>
      <c r="H117" s="33" t="s">
        <v>12</v>
      </c>
      <c r="I117" s="33" t="s">
        <v>47</v>
      </c>
      <c r="J117" s="33" t="s">
        <v>13</v>
      </c>
      <c r="K117" s="33" t="s">
        <v>14</v>
      </c>
      <c r="L117" s="33" t="s">
        <v>26</v>
      </c>
      <c r="M117" s="33" t="s">
        <v>28</v>
      </c>
      <c r="N117" s="33" t="s">
        <v>182</v>
      </c>
      <c r="O117" s="33" t="s">
        <v>8</v>
      </c>
      <c r="P117" s="33" t="s">
        <v>23</v>
      </c>
      <c r="Q117" s="33"/>
      <c r="R117" s="33" t="s">
        <v>30</v>
      </c>
    </row>
    <row r="118" spans="2:22" x14ac:dyDescent="0.15">
      <c r="B118" s="92" t="s">
        <v>254</v>
      </c>
      <c r="C118" s="92" t="s">
        <v>253</v>
      </c>
      <c r="D118" s="93">
        <v>43236</v>
      </c>
      <c r="E118" s="93">
        <v>43430</v>
      </c>
      <c r="F118" s="92">
        <v>5200</v>
      </c>
      <c r="G118" s="92">
        <v>194</v>
      </c>
      <c r="H118" s="92">
        <v>0.53150684931506853</v>
      </c>
      <c r="I118" s="92">
        <v>0</v>
      </c>
      <c r="J118" s="92">
        <v>0.1</v>
      </c>
      <c r="K118" s="92">
        <v>48.289310808150503</v>
      </c>
      <c r="L118" s="92"/>
      <c r="M118" s="92">
        <v>0</v>
      </c>
      <c r="N118" s="99">
        <v>48.289310808150503</v>
      </c>
      <c r="O118" s="92">
        <v>5503</v>
      </c>
      <c r="P118" s="92" t="s">
        <v>85</v>
      </c>
      <c r="Q118" s="92">
        <v>1</v>
      </c>
      <c r="R118" s="92" t="s">
        <v>151</v>
      </c>
    </row>
    <row r="119" spans="2:22" x14ac:dyDescent="0.15">
      <c r="B119" s="92" t="s">
        <v>160</v>
      </c>
      <c r="C119" s="92" t="s">
        <v>253</v>
      </c>
      <c r="D119" s="93">
        <v>43236</v>
      </c>
      <c r="E119" s="93">
        <v>43430</v>
      </c>
      <c r="F119" s="92">
        <v>5200</v>
      </c>
      <c r="G119" s="92">
        <v>194</v>
      </c>
      <c r="H119" s="92">
        <v>0.53150684931506853</v>
      </c>
      <c r="I119" s="92">
        <v>0</v>
      </c>
      <c r="J119" s="92">
        <v>0.15</v>
      </c>
      <c r="K119" s="92">
        <v>-111.23715733611107</v>
      </c>
      <c r="L119" s="92"/>
      <c r="M119" s="92">
        <v>0</v>
      </c>
      <c r="N119" s="99">
        <v>111.23715733611107</v>
      </c>
      <c r="O119" s="92">
        <v>5503</v>
      </c>
      <c r="P119" s="92" t="s">
        <v>85</v>
      </c>
      <c r="Q119" s="92">
        <v>-1</v>
      </c>
      <c r="R119" s="92" t="s">
        <v>20</v>
      </c>
    </row>
    <row r="120" spans="2:22" x14ac:dyDescent="0.15">
      <c r="B120" s="91" t="s">
        <v>2</v>
      </c>
      <c r="C120" s="33" t="s">
        <v>181</v>
      </c>
      <c r="D120" s="33" t="s">
        <v>180</v>
      </c>
      <c r="E120" s="33" t="s">
        <v>10</v>
      </c>
      <c r="F120" s="33" t="s">
        <v>184</v>
      </c>
      <c r="G120" s="33" t="s">
        <v>11</v>
      </c>
      <c r="H120" s="33" t="s">
        <v>12</v>
      </c>
      <c r="I120" s="33" t="s">
        <v>47</v>
      </c>
      <c r="J120" s="33" t="s">
        <v>13</v>
      </c>
      <c r="K120" s="33" t="s">
        <v>14</v>
      </c>
      <c r="L120" s="33" t="s">
        <v>26</v>
      </c>
      <c r="M120" s="33" t="s">
        <v>28</v>
      </c>
      <c r="N120" s="33" t="s">
        <v>182</v>
      </c>
      <c r="O120" s="33" t="s">
        <v>8</v>
      </c>
      <c r="P120" s="33" t="s">
        <v>23</v>
      </c>
      <c r="Q120" s="33"/>
      <c r="R120" s="33" t="s">
        <v>30</v>
      </c>
    </row>
    <row r="121" spans="2:22" x14ac:dyDescent="0.15">
      <c r="B121" s="92" t="s">
        <v>160</v>
      </c>
      <c r="C121" s="92" t="s">
        <v>234</v>
      </c>
      <c r="D121" s="93">
        <v>43236</v>
      </c>
      <c r="E121" s="93">
        <v>43266</v>
      </c>
      <c r="F121" s="92">
        <v>480</v>
      </c>
      <c r="G121" s="92">
        <v>30</v>
      </c>
      <c r="H121" s="92">
        <v>8.2191780821917804E-2</v>
      </c>
      <c r="I121" s="92">
        <v>0</v>
      </c>
      <c r="J121" s="92">
        <v>0.35249999999999998</v>
      </c>
      <c r="K121" s="92">
        <v>-17.91152955692263</v>
      </c>
      <c r="L121" s="92"/>
      <c r="M121" s="92">
        <v>0</v>
      </c>
      <c r="N121" s="99">
        <v>17.91152955692263</v>
      </c>
      <c r="O121" s="92">
        <v>483</v>
      </c>
      <c r="P121" s="92" t="s">
        <v>85</v>
      </c>
      <c r="Q121" s="92">
        <v>-1</v>
      </c>
      <c r="R121" s="92" t="s">
        <v>20</v>
      </c>
      <c r="V121" s="6">
        <v>100000</v>
      </c>
    </row>
    <row r="122" spans="2:22" x14ac:dyDescent="0.15">
      <c r="B122" s="92" t="s">
        <v>160</v>
      </c>
      <c r="C122" s="92" t="s">
        <v>234</v>
      </c>
      <c r="D122" s="93">
        <v>43236</v>
      </c>
      <c r="E122" s="93">
        <v>43294</v>
      </c>
      <c r="F122" s="92">
        <v>480</v>
      </c>
      <c r="G122" s="92">
        <v>58</v>
      </c>
      <c r="H122" s="92">
        <v>0.15890410958904111</v>
      </c>
      <c r="I122" s="92">
        <v>0</v>
      </c>
      <c r="J122" s="92">
        <v>0.35249999999999998</v>
      </c>
      <c r="K122" s="92">
        <v>-25.415248406449365</v>
      </c>
      <c r="L122" s="92"/>
      <c r="M122" s="92">
        <v>0</v>
      </c>
      <c r="N122" s="99">
        <v>25.415248406449365</v>
      </c>
      <c r="O122" s="92">
        <v>483</v>
      </c>
      <c r="P122" s="92" t="s">
        <v>85</v>
      </c>
      <c r="Q122" s="92">
        <v>-1</v>
      </c>
      <c r="R122" s="92" t="s">
        <v>20</v>
      </c>
      <c r="V122" s="6">
        <v>535</v>
      </c>
    </row>
    <row r="123" spans="2:22" x14ac:dyDescent="0.15">
      <c r="B123" s="92" t="s">
        <v>160</v>
      </c>
      <c r="C123" s="92" t="s">
        <v>234</v>
      </c>
      <c r="D123" s="93">
        <v>43236</v>
      </c>
      <c r="E123" s="93">
        <v>43322</v>
      </c>
      <c r="F123" s="92">
        <v>480</v>
      </c>
      <c r="G123" s="92">
        <v>86</v>
      </c>
      <c r="H123" s="92">
        <v>0.23561643835616439</v>
      </c>
      <c r="I123" s="92">
        <v>0</v>
      </c>
      <c r="J123" s="92">
        <v>0.35249999999999998</v>
      </c>
      <c r="K123" s="92">
        <v>-31.201898791525934</v>
      </c>
      <c r="L123" s="92"/>
      <c r="M123" s="92">
        <v>0</v>
      </c>
      <c r="N123" s="99">
        <v>31.201898791525934</v>
      </c>
      <c r="O123" s="92">
        <v>483</v>
      </c>
      <c r="P123" s="92" t="s">
        <v>85</v>
      </c>
      <c r="Q123" s="92">
        <v>-1</v>
      </c>
      <c r="R123" s="92" t="s">
        <v>20</v>
      </c>
      <c r="V123" s="120">
        <f>V122*V121</f>
        <v>53500000</v>
      </c>
    </row>
    <row r="124" spans="2:22" x14ac:dyDescent="0.15">
      <c r="B124" s="92" t="s">
        <v>160</v>
      </c>
      <c r="C124" s="92" t="s">
        <v>234</v>
      </c>
      <c r="D124" s="93">
        <v>43236</v>
      </c>
      <c r="E124" s="93">
        <v>43266</v>
      </c>
      <c r="F124" s="92">
        <v>480</v>
      </c>
      <c r="G124" s="92">
        <v>30</v>
      </c>
      <c r="H124" s="92">
        <v>8.2191780821917804E-2</v>
      </c>
      <c r="I124" s="92">
        <v>0</v>
      </c>
      <c r="J124" s="92">
        <v>0.35249999999999998</v>
      </c>
      <c r="K124" s="92">
        <v>-20.906602101146518</v>
      </c>
      <c r="L124" s="92"/>
      <c r="M124" s="92">
        <v>0</v>
      </c>
      <c r="N124" s="99">
        <v>20.906602101146518</v>
      </c>
      <c r="O124" s="92">
        <v>483</v>
      </c>
      <c r="P124" s="92" t="s">
        <v>39</v>
      </c>
      <c r="Q124" s="92">
        <v>-1</v>
      </c>
      <c r="R124" s="92" t="s">
        <v>20</v>
      </c>
    </row>
    <row r="125" spans="2:22" x14ac:dyDescent="0.15">
      <c r="B125" s="92" t="s">
        <v>160</v>
      </c>
      <c r="C125" s="92" t="s">
        <v>234</v>
      </c>
      <c r="D125" s="93">
        <v>43236</v>
      </c>
      <c r="E125" s="93">
        <v>43294</v>
      </c>
      <c r="F125" s="92">
        <v>480</v>
      </c>
      <c r="G125" s="92">
        <v>58</v>
      </c>
      <c r="H125" s="92">
        <v>0.15890410958904111</v>
      </c>
      <c r="I125" s="92">
        <v>0</v>
      </c>
      <c r="J125" s="92">
        <v>0.35249999999999998</v>
      </c>
      <c r="K125" s="92">
        <v>-28.405729294146767</v>
      </c>
      <c r="L125" s="92"/>
      <c r="M125" s="92">
        <v>0</v>
      </c>
      <c r="N125" s="99">
        <v>28.405729294146767</v>
      </c>
      <c r="O125" s="92">
        <v>483</v>
      </c>
      <c r="P125" s="92" t="s">
        <v>39</v>
      </c>
      <c r="Q125" s="92">
        <v>-1</v>
      </c>
      <c r="R125" s="92" t="s">
        <v>20</v>
      </c>
    </row>
    <row r="126" spans="2:22" x14ac:dyDescent="0.15">
      <c r="B126" s="92" t="s">
        <v>160</v>
      </c>
      <c r="C126" s="92" t="s">
        <v>234</v>
      </c>
      <c r="D126" s="93">
        <v>43236</v>
      </c>
      <c r="E126" s="93">
        <v>43322</v>
      </c>
      <c r="F126" s="92">
        <v>480</v>
      </c>
      <c r="G126" s="92">
        <v>86</v>
      </c>
      <c r="H126" s="92">
        <v>0.23561643835616439</v>
      </c>
      <c r="I126" s="92">
        <v>0</v>
      </c>
      <c r="J126" s="92">
        <v>0.35249999999999998</v>
      </c>
      <c r="K126" s="92">
        <v>-34.18779506202867</v>
      </c>
      <c r="L126" s="92"/>
      <c r="M126" s="92">
        <v>0</v>
      </c>
      <c r="N126" s="99">
        <v>34.18779506202867</v>
      </c>
      <c r="O126" s="92">
        <v>483</v>
      </c>
      <c r="P126" s="92" t="s">
        <v>39</v>
      </c>
      <c r="Q126" s="92">
        <v>-1</v>
      </c>
      <c r="R126" s="92" t="s">
        <v>20</v>
      </c>
    </row>
    <row r="127" spans="2:22" x14ac:dyDescent="0.15">
      <c r="B127" s="91" t="s">
        <v>2</v>
      </c>
      <c r="C127" s="33" t="s">
        <v>181</v>
      </c>
      <c r="D127" s="33" t="s">
        <v>180</v>
      </c>
      <c r="E127" s="33" t="s">
        <v>10</v>
      </c>
      <c r="F127" s="33" t="s">
        <v>184</v>
      </c>
      <c r="G127" s="33" t="s">
        <v>11</v>
      </c>
      <c r="H127" s="33" t="s">
        <v>12</v>
      </c>
      <c r="I127" s="33" t="s">
        <v>47</v>
      </c>
      <c r="J127" s="33" t="s">
        <v>13</v>
      </c>
      <c r="K127" s="33" t="s">
        <v>14</v>
      </c>
      <c r="L127" s="33" t="s">
        <v>26</v>
      </c>
      <c r="M127" s="33" t="s">
        <v>28</v>
      </c>
      <c r="N127" s="33" t="s">
        <v>182</v>
      </c>
      <c r="O127" s="33" t="s">
        <v>8</v>
      </c>
      <c r="P127" s="33" t="s">
        <v>23</v>
      </c>
      <c r="Q127" s="33"/>
      <c r="R127" s="33" t="s">
        <v>30</v>
      </c>
    </row>
    <row r="128" spans="2:22" x14ac:dyDescent="0.15">
      <c r="B128" s="92" t="s">
        <v>160</v>
      </c>
      <c r="C128" s="92" t="s">
        <v>234</v>
      </c>
      <c r="D128" s="93">
        <v>43237</v>
      </c>
      <c r="E128" s="93">
        <v>43266</v>
      </c>
      <c r="F128" s="92">
        <v>430</v>
      </c>
      <c r="G128" s="92">
        <v>29</v>
      </c>
      <c r="H128" s="92">
        <v>7.9452054794520555E-2</v>
      </c>
      <c r="I128" s="92">
        <v>0</v>
      </c>
      <c r="J128" s="92">
        <v>0.37</v>
      </c>
      <c r="K128" s="92">
        <v>-3.101094311276313</v>
      </c>
      <c r="L128" s="92"/>
      <c r="M128" s="92">
        <v>0</v>
      </c>
      <c r="N128" s="99">
        <v>3.101094311276313</v>
      </c>
      <c r="O128" s="92">
        <v>483.5</v>
      </c>
      <c r="P128" s="92" t="s">
        <v>85</v>
      </c>
      <c r="Q128" s="92">
        <v>-1</v>
      </c>
      <c r="R128" s="92" t="s">
        <v>20</v>
      </c>
    </row>
    <row r="129" spans="2:18" x14ac:dyDescent="0.15">
      <c r="B129" s="92" t="s">
        <v>160</v>
      </c>
      <c r="C129" s="92" t="s">
        <v>234</v>
      </c>
      <c r="D129" s="93">
        <v>43237</v>
      </c>
      <c r="E129" s="93">
        <v>43294</v>
      </c>
      <c r="F129" s="92">
        <v>430</v>
      </c>
      <c r="G129" s="92">
        <v>57</v>
      </c>
      <c r="H129" s="92">
        <v>0.15616438356164383</v>
      </c>
      <c r="I129" s="92">
        <v>0</v>
      </c>
      <c r="J129" s="92">
        <v>0.36499999999999999</v>
      </c>
      <c r="K129" s="92">
        <v>-7.6903764663189946</v>
      </c>
      <c r="L129" s="92"/>
      <c r="M129" s="92">
        <v>0</v>
      </c>
      <c r="N129" s="99">
        <v>7.6903764663189946</v>
      </c>
      <c r="O129" s="92">
        <v>483.5</v>
      </c>
      <c r="P129" s="92" t="s">
        <v>85</v>
      </c>
      <c r="Q129" s="92">
        <v>-1</v>
      </c>
      <c r="R129" s="92" t="s">
        <v>20</v>
      </c>
    </row>
    <row r="130" spans="2:18" x14ac:dyDescent="0.15">
      <c r="B130" s="92" t="s">
        <v>160</v>
      </c>
      <c r="C130" s="92" t="s">
        <v>234</v>
      </c>
      <c r="D130" s="93">
        <v>43237</v>
      </c>
      <c r="E130" s="93">
        <v>43322</v>
      </c>
      <c r="F130" s="92">
        <v>430</v>
      </c>
      <c r="G130" s="92">
        <v>85</v>
      </c>
      <c r="H130" s="92">
        <v>0.23287671232876711</v>
      </c>
      <c r="I130" s="92">
        <v>0</v>
      </c>
      <c r="J130" s="92">
        <v>0.36499999999999999</v>
      </c>
      <c r="K130" s="92">
        <v>-12.072825026404317</v>
      </c>
      <c r="L130" s="92"/>
      <c r="M130" s="92">
        <v>0</v>
      </c>
      <c r="N130" s="99">
        <v>12.072825026404317</v>
      </c>
      <c r="O130" s="92">
        <v>483.5</v>
      </c>
      <c r="P130" s="92" t="s">
        <v>85</v>
      </c>
      <c r="Q130" s="92">
        <v>-1</v>
      </c>
      <c r="R130" s="92" t="s">
        <v>20</v>
      </c>
    </row>
    <row r="131" spans="2:18" x14ac:dyDescent="0.15">
      <c r="B131" s="91" t="s">
        <v>2</v>
      </c>
      <c r="C131" s="33" t="s">
        <v>181</v>
      </c>
      <c r="D131" s="33" t="s">
        <v>180</v>
      </c>
      <c r="E131" s="33" t="s">
        <v>10</v>
      </c>
      <c r="F131" s="33" t="s">
        <v>184</v>
      </c>
      <c r="G131" s="33" t="s">
        <v>11</v>
      </c>
      <c r="H131" s="33" t="s">
        <v>12</v>
      </c>
      <c r="I131" s="33" t="s">
        <v>47</v>
      </c>
      <c r="J131" s="33" t="s">
        <v>13</v>
      </c>
      <c r="K131" s="33" t="s">
        <v>14</v>
      </c>
      <c r="L131" s="33" t="s">
        <v>26</v>
      </c>
      <c r="M131" s="33" t="s">
        <v>28</v>
      </c>
      <c r="N131" s="33" t="s">
        <v>182</v>
      </c>
      <c r="O131" s="33" t="s">
        <v>8</v>
      </c>
      <c r="P131" s="33" t="s">
        <v>23</v>
      </c>
      <c r="Q131" s="33"/>
      <c r="R131" s="33" t="s">
        <v>30</v>
      </c>
    </row>
    <row r="132" spans="2:18" x14ac:dyDescent="0.15">
      <c r="B132" s="92" t="s">
        <v>160</v>
      </c>
      <c r="C132" s="92" t="s">
        <v>185</v>
      </c>
      <c r="D132" s="93">
        <v>43237</v>
      </c>
      <c r="E132" s="93">
        <v>43353</v>
      </c>
      <c r="F132" s="92">
        <v>3669</v>
      </c>
      <c r="G132" s="92">
        <v>116</v>
      </c>
      <c r="H132" s="92">
        <v>0.31780821917808222</v>
      </c>
      <c r="I132" s="92">
        <v>0</v>
      </c>
      <c r="J132" s="92">
        <v>0.19500000000000001</v>
      </c>
      <c r="K132" s="92">
        <v>159.80702588726945</v>
      </c>
      <c r="L132" s="92">
        <v>30</v>
      </c>
      <c r="M132" s="92">
        <v>3.498115068493151</v>
      </c>
      <c r="N132" s="99">
        <v>156.3089108187763</v>
      </c>
      <c r="O132" s="92">
        <v>3669</v>
      </c>
      <c r="P132" s="92" t="s">
        <v>39</v>
      </c>
      <c r="Q132" s="92">
        <v>1</v>
      </c>
      <c r="R132" s="92" t="s">
        <v>151</v>
      </c>
    </row>
    <row r="133" spans="2:18" x14ac:dyDescent="0.15">
      <c r="B133" s="91" t="s">
        <v>2</v>
      </c>
      <c r="C133" s="33" t="s">
        <v>181</v>
      </c>
      <c r="D133" s="33" t="s">
        <v>180</v>
      </c>
      <c r="E133" s="33" t="s">
        <v>10</v>
      </c>
      <c r="F133" s="33" t="s">
        <v>184</v>
      </c>
      <c r="G133" s="33" t="s">
        <v>11</v>
      </c>
      <c r="H133" s="33" t="s">
        <v>12</v>
      </c>
      <c r="I133" s="33" t="s">
        <v>47</v>
      </c>
      <c r="J133" s="33" t="s">
        <v>13</v>
      </c>
      <c r="K133" s="33" t="s">
        <v>14</v>
      </c>
      <c r="L133" s="33" t="s">
        <v>26</v>
      </c>
      <c r="M133" s="33" t="s">
        <v>28</v>
      </c>
      <c r="N133" s="33" t="s">
        <v>182</v>
      </c>
      <c r="O133" s="33" t="s">
        <v>8</v>
      </c>
      <c r="P133" s="33" t="s">
        <v>23</v>
      </c>
      <c r="Q133" s="33"/>
      <c r="R133" s="33" t="s">
        <v>30</v>
      </c>
    </row>
    <row r="134" spans="2:18" x14ac:dyDescent="0.15">
      <c r="B134" s="92" t="s">
        <v>160</v>
      </c>
      <c r="C134" s="92" t="s">
        <v>233</v>
      </c>
      <c r="D134" s="93">
        <v>43237</v>
      </c>
      <c r="E134" s="93">
        <v>43315</v>
      </c>
      <c r="F134" s="92">
        <v>6600</v>
      </c>
      <c r="G134" s="92">
        <v>78</v>
      </c>
      <c r="H134" s="92">
        <v>0.21369863013698631</v>
      </c>
      <c r="I134" s="92">
        <v>0</v>
      </c>
      <c r="J134" s="92">
        <v>0.22</v>
      </c>
      <c r="K134" s="92">
        <v>-205.35943726084224</v>
      </c>
      <c r="L134" s="92"/>
      <c r="M134" s="92">
        <v>0</v>
      </c>
      <c r="N134" s="99">
        <v>205.35943726084224</v>
      </c>
      <c r="O134" s="92">
        <v>6740</v>
      </c>
      <c r="P134" s="92" t="s">
        <v>85</v>
      </c>
      <c r="Q134" s="92">
        <v>-1</v>
      </c>
      <c r="R134" s="92" t="s">
        <v>20</v>
      </c>
    </row>
    <row r="135" spans="2:18" x14ac:dyDescent="0.15">
      <c r="B135" s="92" t="s">
        <v>160</v>
      </c>
      <c r="C135" s="92" t="s">
        <v>233</v>
      </c>
      <c r="D135" s="93">
        <v>43237</v>
      </c>
      <c r="E135" s="93">
        <v>43315</v>
      </c>
      <c r="F135" s="92">
        <v>7200</v>
      </c>
      <c r="G135" s="92">
        <v>78</v>
      </c>
      <c r="H135" s="92">
        <v>0.21369863013698631</v>
      </c>
      <c r="I135" s="92">
        <v>0</v>
      </c>
      <c r="J135" s="92">
        <v>0.16</v>
      </c>
      <c r="K135" s="92">
        <v>52.206060971161151</v>
      </c>
      <c r="L135" s="92"/>
      <c r="M135" s="92">
        <v>0</v>
      </c>
      <c r="N135" s="99">
        <v>48</v>
      </c>
      <c r="O135" s="92">
        <v>6740</v>
      </c>
      <c r="P135" s="92" t="s">
        <v>39</v>
      </c>
      <c r="Q135" s="92">
        <v>1</v>
      </c>
      <c r="R135" s="92" t="s">
        <v>151</v>
      </c>
    </row>
    <row r="136" spans="2:18" x14ac:dyDescent="0.15">
      <c r="B136" s="91" t="s">
        <v>2</v>
      </c>
      <c r="C136" s="33" t="s">
        <v>181</v>
      </c>
      <c r="D136" s="33" t="s">
        <v>180</v>
      </c>
      <c r="E136" s="33" t="s">
        <v>10</v>
      </c>
      <c r="F136" s="33" t="s">
        <v>184</v>
      </c>
      <c r="G136" s="33" t="s">
        <v>11</v>
      </c>
      <c r="H136" s="33" t="s">
        <v>12</v>
      </c>
      <c r="I136" s="33" t="s">
        <v>47</v>
      </c>
      <c r="J136" s="33" t="s">
        <v>13</v>
      </c>
      <c r="K136" s="33" t="s">
        <v>14</v>
      </c>
      <c r="L136" s="33" t="s">
        <v>26</v>
      </c>
      <c r="M136" s="33" t="s">
        <v>28</v>
      </c>
      <c r="N136" s="33" t="s">
        <v>182</v>
      </c>
      <c r="O136" s="33" t="s">
        <v>8</v>
      </c>
      <c r="P136" s="33" t="s">
        <v>23</v>
      </c>
      <c r="Q136" s="33"/>
      <c r="R136" s="33" t="s">
        <v>30</v>
      </c>
    </row>
    <row r="137" spans="2:18" x14ac:dyDescent="0.15">
      <c r="B137" s="92" t="s">
        <v>160</v>
      </c>
      <c r="C137" s="92" t="s">
        <v>234</v>
      </c>
      <c r="D137" s="93">
        <v>43241</v>
      </c>
      <c r="E137" s="93">
        <v>43322</v>
      </c>
      <c r="F137" s="92">
        <v>480</v>
      </c>
      <c r="G137" s="92">
        <v>81</v>
      </c>
      <c r="H137" s="92">
        <v>0.22191780821917809</v>
      </c>
      <c r="I137" s="92">
        <v>0</v>
      </c>
      <c r="J137" s="92">
        <v>0.36499999999999999</v>
      </c>
      <c r="K137" s="92">
        <v>-40.241601265935884</v>
      </c>
      <c r="L137" s="92"/>
      <c r="M137" s="92">
        <v>0</v>
      </c>
      <c r="N137" s="99">
        <v>40.241601265935884</v>
      </c>
      <c r="O137" s="92">
        <v>465</v>
      </c>
      <c r="P137" s="92" t="s">
        <v>85</v>
      </c>
      <c r="Q137" s="92">
        <v>-1</v>
      </c>
      <c r="R137" s="92" t="s">
        <v>20</v>
      </c>
    </row>
    <row r="138" spans="2:18" x14ac:dyDescent="0.15">
      <c r="B138" s="92" t="s">
        <v>160</v>
      </c>
      <c r="C138" s="92" t="s">
        <v>234</v>
      </c>
      <c r="D138" s="93">
        <v>43241</v>
      </c>
      <c r="E138" s="93">
        <v>43322</v>
      </c>
      <c r="F138" s="92">
        <v>430</v>
      </c>
      <c r="G138" s="92">
        <v>81</v>
      </c>
      <c r="H138" s="92">
        <v>0.22191780821917809</v>
      </c>
      <c r="I138" s="92">
        <v>0</v>
      </c>
      <c r="J138" s="92">
        <v>0.36499999999999999</v>
      </c>
      <c r="K138" s="92">
        <v>-16.198540619170956</v>
      </c>
      <c r="L138" s="92"/>
      <c r="M138" s="92">
        <v>0</v>
      </c>
      <c r="N138" s="99">
        <v>16.198540619170956</v>
      </c>
      <c r="O138" s="92">
        <v>465</v>
      </c>
      <c r="P138" s="92" t="s">
        <v>85</v>
      </c>
      <c r="Q138" s="92">
        <v>-1</v>
      </c>
      <c r="R138" s="92" t="s">
        <v>20</v>
      </c>
    </row>
    <row r="139" spans="2:18" x14ac:dyDescent="0.15">
      <c r="B139" s="92" t="s">
        <v>160</v>
      </c>
      <c r="C139" s="92" t="s">
        <v>234</v>
      </c>
      <c r="D139" s="93">
        <v>43241</v>
      </c>
      <c r="E139" s="93">
        <v>43322</v>
      </c>
      <c r="F139" s="92">
        <v>465</v>
      </c>
      <c r="G139" s="92">
        <v>81</v>
      </c>
      <c r="H139" s="92">
        <v>0.22191780821917809</v>
      </c>
      <c r="I139" s="92">
        <v>0</v>
      </c>
      <c r="J139" s="92">
        <v>0.36499999999999999</v>
      </c>
      <c r="K139" s="92">
        <v>-31.716822654485497</v>
      </c>
      <c r="L139" s="92"/>
      <c r="M139" s="92">
        <v>0</v>
      </c>
      <c r="N139" s="99">
        <v>31.716822654485497</v>
      </c>
      <c r="O139" s="92">
        <v>465</v>
      </c>
      <c r="P139" s="92" t="s">
        <v>85</v>
      </c>
      <c r="Q139" s="92">
        <v>-1</v>
      </c>
      <c r="R139" s="92" t="s">
        <v>20</v>
      </c>
    </row>
    <row r="140" spans="2:18" x14ac:dyDescent="0.15">
      <c r="B140" s="91" t="s">
        <v>2</v>
      </c>
      <c r="C140" s="33" t="s">
        <v>181</v>
      </c>
      <c r="D140" s="33" t="s">
        <v>180</v>
      </c>
      <c r="E140" s="33" t="s">
        <v>10</v>
      </c>
      <c r="F140" s="33" t="s">
        <v>184</v>
      </c>
      <c r="G140" s="33" t="s">
        <v>11</v>
      </c>
      <c r="H140" s="33" t="s">
        <v>12</v>
      </c>
      <c r="I140" s="33" t="s">
        <v>47</v>
      </c>
      <c r="J140" s="33" t="s">
        <v>13</v>
      </c>
      <c r="K140" s="33" t="s">
        <v>14</v>
      </c>
      <c r="L140" s="33" t="s">
        <v>26</v>
      </c>
      <c r="M140" s="33" t="s">
        <v>28</v>
      </c>
      <c r="N140" s="33" t="s">
        <v>182</v>
      </c>
      <c r="O140" s="33" t="s">
        <v>8</v>
      </c>
      <c r="P140" s="33" t="s">
        <v>23</v>
      </c>
      <c r="Q140" s="33"/>
      <c r="R140" s="33" t="s">
        <v>30</v>
      </c>
    </row>
    <row r="141" spans="2:18" x14ac:dyDescent="0.15">
      <c r="B141" s="92" t="s">
        <v>160</v>
      </c>
      <c r="C141" s="92" t="s">
        <v>185</v>
      </c>
      <c r="D141" s="93">
        <v>43242</v>
      </c>
      <c r="E141" s="93">
        <v>43251</v>
      </c>
      <c r="F141" s="92">
        <v>3500</v>
      </c>
      <c r="G141" s="92">
        <v>9</v>
      </c>
      <c r="H141" s="92">
        <v>2.4657534246575342E-2</v>
      </c>
      <c r="I141" s="92">
        <v>0</v>
      </c>
      <c r="J141" s="92">
        <v>0.18</v>
      </c>
      <c r="K141" s="92">
        <v>13.554618445439701</v>
      </c>
      <c r="L141" s="92"/>
      <c r="M141" s="92">
        <v>0</v>
      </c>
      <c r="N141" s="99">
        <v>13.554618445439701</v>
      </c>
      <c r="O141" s="92">
        <v>3573</v>
      </c>
      <c r="P141" s="92" t="s">
        <v>85</v>
      </c>
      <c r="Q141" s="92">
        <v>1</v>
      </c>
      <c r="R141" s="92" t="s">
        <v>151</v>
      </c>
    </row>
    <row r="142" spans="2:18" x14ac:dyDescent="0.15">
      <c r="B142" s="92" t="s">
        <v>160</v>
      </c>
      <c r="C142" s="92" t="s">
        <v>245</v>
      </c>
      <c r="D142" s="93">
        <v>43242</v>
      </c>
      <c r="E142" s="93">
        <v>43294</v>
      </c>
      <c r="F142" s="92">
        <v>14500</v>
      </c>
      <c r="G142" s="92">
        <v>52</v>
      </c>
      <c r="H142" s="92">
        <v>0.14246575342465753</v>
      </c>
      <c r="I142" s="92">
        <v>0</v>
      </c>
      <c r="J142" s="92">
        <v>0.15</v>
      </c>
      <c r="K142" s="92">
        <v>193.13653115325724</v>
      </c>
      <c r="L142" s="92"/>
      <c r="M142" s="92">
        <v>0</v>
      </c>
      <c r="N142" s="99">
        <v>193.13653115325724</v>
      </c>
      <c r="O142" s="92">
        <v>14825</v>
      </c>
      <c r="P142" s="92" t="s">
        <v>85</v>
      </c>
      <c r="Q142" s="92">
        <v>1</v>
      </c>
      <c r="R142" s="92" t="s">
        <v>151</v>
      </c>
    </row>
    <row r="143" spans="2:18" x14ac:dyDescent="0.15">
      <c r="B143" s="92" t="s">
        <v>160</v>
      </c>
      <c r="C143" s="92" t="s">
        <v>234</v>
      </c>
      <c r="D143" s="93">
        <v>43242</v>
      </c>
      <c r="E143" s="93">
        <v>43322</v>
      </c>
      <c r="F143" s="92">
        <v>480</v>
      </c>
      <c r="G143" s="92">
        <v>80</v>
      </c>
      <c r="H143" s="92">
        <v>0.21917808219178081</v>
      </c>
      <c r="I143" s="92">
        <v>0</v>
      </c>
      <c r="J143" s="92">
        <v>0.3</v>
      </c>
      <c r="K143" s="92">
        <v>38.236597967491889</v>
      </c>
      <c r="L143" s="92"/>
      <c r="M143" s="92">
        <v>0</v>
      </c>
      <c r="N143" s="99">
        <v>38.236597967491889</v>
      </c>
      <c r="O143" s="92">
        <v>458.5</v>
      </c>
      <c r="P143" s="92" t="s">
        <v>85</v>
      </c>
      <c r="Q143" s="92">
        <v>1</v>
      </c>
      <c r="R143" s="92" t="s">
        <v>151</v>
      </c>
    </row>
    <row r="144" spans="2:18" x14ac:dyDescent="0.15">
      <c r="B144" s="92" t="s">
        <v>160</v>
      </c>
      <c r="C144" s="92" t="s">
        <v>234</v>
      </c>
      <c r="D144" s="93">
        <v>43242</v>
      </c>
      <c r="E144" s="93">
        <v>43322</v>
      </c>
      <c r="F144" s="92">
        <v>430</v>
      </c>
      <c r="G144" s="92">
        <v>80</v>
      </c>
      <c r="H144" s="92">
        <v>0.21917808219178081</v>
      </c>
      <c r="I144" s="92">
        <v>0</v>
      </c>
      <c r="J144" s="92">
        <v>0.3</v>
      </c>
      <c r="K144" s="92">
        <v>13.110640096108312</v>
      </c>
      <c r="L144" s="92"/>
      <c r="M144" s="92">
        <v>0</v>
      </c>
      <c r="N144" s="99">
        <v>13.110640096108312</v>
      </c>
      <c r="O144" s="92">
        <v>458.5</v>
      </c>
      <c r="P144" s="92" t="s">
        <v>85</v>
      </c>
      <c r="Q144" s="92">
        <v>1</v>
      </c>
      <c r="R144" s="92" t="s">
        <v>151</v>
      </c>
    </row>
    <row r="145" spans="2:18" x14ac:dyDescent="0.15">
      <c r="B145" s="91" t="s">
        <v>2</v>
      </c>
      <c r="C145" s="33" t="s">
        <v>181</v>
      </c>
      <c r="D145" s="33" t="s">
        <v>180</v>
      </c>
      <c r="E145" s="33" t="s">
        <v>10</v>
      </c>
      <c r="F145" s="33" t="s">
        <v>184</v>
      </c>
      <c r="G145" s="33" t="s">
        <v>11</v>
      </c>
      <c r="H145" s="33" t="s">
        <v>12</v>
      </c>
      <c r="I145" s="33" t="s">
        <v>47</v>
      </c>
      <c r="J145" s="33" t="s">
        <v>13</v>
      </c>
      <c r="K145" s="33" t="s">
        <v>14</v>
      </c>
      <c r="L145" s="33" t="s">
        <v>26</v>
      </c>
      <c r="M145" s="33" t="s">
        <v>28</v>
      </c>
      <c r="N145" s="33" t="s">
        <v>182</v>
      </c>
      <c r="O145" s="33" t="s">
        <v>8</v>
      </c>
      <c r="P145" s="33" t="s">
        <v>23</v>
      </c>
      <c r="Q145" s="33"/>
      <c r="R145" s="33" t="s">
        <v>30</v>
      </c>
    </row>
    <row r="146" spans="2:18" x14ac:dyDescent="0.15">
      <c r="B146" s="92" t="s">
        <v>160</v>
      </c>
      <c r="C146" s="92" t="s">
        <v>234</v>
      </c>
      <c r="D146" s="93">
        <v>43242</v>
      </c>
      <c r="E146" s="93">
        <v>43322</v>
      </c>
      <c r="F146" s="92">
        <v>465</v>
      </c>
      <c r="G146" s="92">
        <v>80</v>
      </c>
      <c r="H146" s="92">
        <v>0.21917808219178081</v>
      </c>
      <c r="I146" s="92">
        <v>0</v>
      </c>
      <c r="J146" s="92">
        <v>0.36499999999999999</v>
      </c>
      <c r="K146" s="92">
        <v>-34.643998950779434</v>
      </c>
      <c r="L146" s="92"/>
      <c r="M146" s="92">
        <v>0</v>
      </c>
      <c r="N146" s="99">
        <v>34.643998950779434</v>
      </c>
      <c r="O146" s="92">
        <v>458.5</v>
      </c>
      <c r="P146" s="92" t="s">
        <v>85</v>
      </c>
      <c r="Q146" s="92">
        <v>-1</v>
      </c>
      <c r="R146" s="92" t="s">
        <v>20</v>
      </c>
    </row>
    <row r="147" spans="2:18" x14ac:dyDescent="0.15">
      <c r="B147" s="91" t="s">
        <v>2</v>
      </c>
      <c r="C147" s="33" t="s">
        <v>181</v>
      </c>
      <c r="D147" s="33" t="s">
        <v>180</v>
      </c>
      <c r="E147" s="33" t="s">
        <v>10</v>
      </c>
      <c r="F147" s="33" t="s">
        <v>184</v>
      </c>
      <c r="G147" s="33" t="s">
        <v>11</v>
      </c>
      <c r="H147" s="33" t="s">
        <v>12</v>
      </c>
      <c r="I147" s="33" t="s">
        <v>47</v>
      </c>
      <c r="J147" s="33" t="s">
        <v>13</v>
      </c>
      <c r="K147" s="33" t="s">
        <v>14</v>
      </c>
      <c r="L147" s="33" t="s">
        <v>26</v>
      </c>
      <c r="M147" s="33" t="s">
        <v>28</v>
      </c>
      <c r="N147" s="33" t="s">
        <v>182</v>
      </c>
      <c r="O147" s="33" t="s">
        <v>8</v>
      </c>
      <c r="P147" s="33" t="s">
        <v>23</v>
      </c>
      <c r="Q147" s="33"/>
      <c r="R147" s="33" t="s">
        <v>30</v>
      </c>
    </row>
    <row r="148" spans="2:18" x14ac:dyDescent="0.15">
      <c r="B148" s="92" t="s">
        <v>160</v>
      </c>
      <c r="C148" s="92" t="s">
        <v>230</v>
      </c>
      <c r="D148" s="93">
        <v>43242</v>
      </c>
      <c r="E148" s="93">
        <v>43272</v>
      </c>
      <c r="F148" s="92">
        <v>100</v>
      </c>
      <c r="G148" s="92">
        <v>30</v>
      </c>
      <c r="H148" s="92">
        <v>8.2191780821917804E-2</v>
      </c>
      <c r="I148" s="92">
        <v>0</v>
      </c>
      <c r="J148" s="92">
        <v>0.1075</v>
      </c>
      <c r="K148" s="92">
        <v>1.2274438352226085</v>
      </c>
      <c r="L148" s="92"/>
      <c r="M148" s="92">
        <v>0</v>
      </c>
      <c r="N148" s="99">
        <v>1.2274438352226085</v>
      </c>
      <c r="O148" s="92">
        <v>100</v>
      </c>
      <c r="P148" s="92" t="s">
        <v>85</v>
      </c>
      <c r="Q148" s="92">
        <v>1</v>
      </c>
      <c r="R148" s="92" t="s">
        <v>151</v>
      </c>
    </row>
    <row r="149" spans="2:18" x14ac:dyDescent="0.15">
      <c r="B149" s="92" t="s">
        <v>160</v>
      </c>
      <c r="C149" s="92" t="s">
        <v>229</v>
      </c>
      <c r="D149" s="93">
        <v>43242</v>
      </c>
      <c r="E149" s="93">
        <v>43272</v>
      </c>
      <c r="F149" s="92">
        <v>100</v>
      </c>
      <c r="G149" s="92">
        <v>30</v>
      </c>
      <c r="H149" s="92">
        <v>8.2191780821917804E-2</v>
      </c>
      <c r="I149" s="92">
        <v>0</v>
      </c>
      <c r="J149" s="92">
        <v>0.23499999999999999</v>
      </c>
      <c r="K149" s="92">
        <v>2.6828480996015003</v>
      </c>
      <c r="L149" s="92"/>
      <c r="M149" s="92">
        <v>0</v>
      </c>
      <c r="N149" s="99">
        <v>2.6828480996015003</v>
      </c>
      <c r="O149" s="92">
        <v>100</v>
      </c>
      <c r="P149" s="92" t="s">
        <v>85</v>
      </c>
      <c r="Q149" s="92">
        <v>1</v>
      </c>
      <c r="R149" s="92" t="s">
        <v>151</v>
      </c>
    </row>
    <row r="150" spans="2:18" x14ac:dyDescent="0.15">
      <c r="B150" s="92" t="s">
        <v>160</v>
      </c>
      <c r="C150" s="92" t="s">
        <v>232</v>
      </c>
      <c r="D150" s="93">
        <v>43242</v>
      </c>
      <c r="E150" s="93">
        <v>43272</v>
      </c>
      <c r="F150" s="92">
        <v>100</v>
      </c>
      <c r="G150" s="92">
        <v>30</v>
      </c>
      <c r="H150" s="92">
        <v>8.2191780821917804E-2</v>
      </c>
      <c r="I150" s="92">
        <v>0</v>
      </c>
      <c r="J150" s="92">
        <v>0.125</v>
      </c>
      <c r="K150" s="92">
        <v>1.4272403868415324</v>
      </c>
      <c r="L150" s="92"/>
      <c r="M150" s="92">
        <v>0</v>
      </c>
      <c r="N150" s="99">
        <v>1.4272403868415324</v>
      </c>
      <c r="O150" s="92">
        <v>100</v>
      </c>
      <c r="P150" s="92" t="s">
        <v>85</v>
      </c>
      <c r="Q150" s="92">
        <v>1</v>
      </c>
      <c r="R150" s="92" t="s">
        <v>151</v>
      </c>
    </row>
    <row r="151" spans="2:18" x14ac:dyDescent="0.15">
      <c r="B151" s="92" t="s">
        <v>160</v>
      </c>
      <c r="C151" s="92" t="s">
        <v>257</v>
      </c>
      <c r="D151" s="93">
        <v>43242</v>
      </c>
      <c r="E151" s="93">
        <v>43272</v>
      </c>
      <c r="F151" s="92">
        <v>100</v>
      </c>
      <c r="G151" s="92">
        <v>30</v>
      </c>
      <c r="H151" s="92">
        <v>8.2191780821917804E-2</v>
      </c>
      <c r="I151" s="92">
        <v>0</v>
      </c>
      <c r="J151" s="92">
        <v>0.2525</v>
      </c>
      <c r="K151" s="92">
        <v>2.8825504543547567</v>
      </c>
      <c r="L151" s="92"/>
      <c r="M151" s="92">
        <v>0</v>
      </c>
      <c r="N151" s="99">
        <v>2.8825504543547567</v>
      </c>
      <c r="O151" s="92">
        <v>100</v>
      </c>
      <c r="P151" s="92" t="s">
        <v>85</v>
      </c>
      <c r="Q151" s="92">
        <v>1</v>
      </c>
      <c r="R151" s="92" t="s">
        <v>151</v>
      </c>
    </row>
    <row r="152" spans="2:18" x14ac:dyDescent="0.15">
      <c r="B152" s="92" t="s">
        <v>160</v>
      </c>
      <c r="C152" s="92" t="s">
        <v>185</v>
      </c>
      <c r="D152" s="93">
        <v>43242</v>
      </c>
      <c r="E152" s="93">
        <v>43272</v>
      </c>
      <c r="F152" s="92">
        <v>100</v>
      </c>
      <c r="G152" s="92">
        <v>30</v>
      </c>
      <c r="H152" s="92">
        <v>8.2191780821917804E-2</v>
      </c>
      <c r="I152" s="92">
        <v>0</v>
      </c>
      <c r="J152" s="92">
        <v>0.215</v>
      </c>
      <c r="K152" s="92">
        <v>2.4545962454477035</v>
      </c>
      <c r="L152" s="92"/>
      <c r="M152" s="92">
        <v>0</v>
      </c>
      <c r="N152" s="99">
        <v>2.4545962454477035</v>
      </c>
      <c r="O152" s="92">
        <v>100</v>
      </c>
      <c r="P152" s="92" t="s">
        <v>85</v>
      </c>
      <c r="Q152" s="92">
        <v>1</v>
      </c>
      <c r="R152" s="92" t="s">
        <v>151</v>
      </c>
    </row>
    <row r="153" spans="2:18" x14ac:dyDescent="0.15">
      <c r="B153" s="92" t="s">
        <v>160</v>
      </c>
      <c r="C153" s="92" t="s">
        <v>185</v>
      </c>
      <c r="D153" s="93">
        <v>43242</v>
      </c>
      <c r="E153" s="93">
        <v>43272</v>
      </c>
      <c r="F153" s="92">
        <v>100</v>
      </c>
      <c r="G153" s="92">
        <v>30</v>
      </c>
      <c r="H153" s="92">
        <v>8.2191780821917804E-2</v>
      </c>
      <c r="I153" s="92">
        <v>0</v>
      </c>
      <c r="J153" s="92">
        <v>0.28499999999999998</v>
      </c>
      <c r="K153" s="92">
        <v>-3.2533772011772371</v>
      </c>
      <c r="L153" s="92"/>
      <c r="M153" s="92">
        <v>0</v>
      </c>
      <c r="N153" s="99">
        <v>3.2533772011772371</v>
      </c>
      <c r="O153" s="92">
        <v>100</v>
      </c>
      <c r="P153" s="92" t="s">
        <v>85</v>
      </c>
      <c r="Q153" s="92">
        <v>-1</v>
      </c>
      <c r="R153" s="92" t="s">
        <v>20</v>
      </c>
    </row>
    <row r="154" spans="2:18" x14ac:dyDescent="0.15">
      <c r="B154" s="92" t="s">
        <v>160</v>
      </c>
      <c r="C154" s="92" t="s">
        <v>231</v>
      </c>
      <c r="D154" s="93">
        <v>43242</v>
      </c>
      <c r="E154" s="93">
        <v>43272</v>
      </c>
      <c r="F154" s="92">
        <v>100</v>
      </c>
      <c r="G154" s="92">
        <v>30</v>
      </c>
      <c r="H154" s="92">
        <v>8.2191780821917804E-2</v>
      </c>
      <c r="I154" s="92">
        <v>0</v>
      </c>
      <c r="J154" s="92">
        <v>0.17</v>
      </c>
      <c r="K154" s="92">
        <v>1.9409586889787747</v>
      </c>
      <c r="L154" s="92"/>
      <c r="M154" s="92">
        <v>0</v>
      </c>
      <c r="N154" s="99">
        <v>1.9409586889787747</v>
      </c>
      <c r="O154" s="92">
        <v>100</v>
      </c>
      <c r="P154" s="92" t="s">
        <v>85</v>
      </c>
      <c r="Q154" s="92">
        <v>1</v>
      </c>
      <c r="R154" s="92" t="s">
        <v>151</v>
      </c>
    </row>
    <row r="155" spans="2:18" x14ac:dyDescent="0.15">
      <c r="B155" s="92" t="s">
        <v>160</v>
      </c>
      <c r="C155" s="92" t="s">
        <v>231</v>
      </c>
      <c r="D155" s="93">
        <v>43242</v>
      </c>
      <c r="E155" s="93">
        <v>43272</v>
      </c>
      <c r="F155" s="92">
        <v>100</v>
      </c>
      <c r="G155" s="92">
        <v>30</v>
      </c>
      <c r="H155" s="92">
        <v>8.2191780821917804E-2</v>
      </c>
      <c r="I155" s="92">
        <v>0</v>
      </c>
      <c r="J155" s="92">
        <v>0.23</v>
      </c>
      <c r="K155" s="92">
        <v>-2.6257871293425126</v>
      </c>
      <c r="L155" s="92"/>
      <c r="M155" s="92">
        <v>0</v>
      </c>
      <c r="N155" s="99">
        <v>2.6257871293425126</v>
      </c>
      <c r="O155" s="92">
        <v>100</v>
      </c>
      <c r="P155" s="92" t="s">
        <v>85</v>
      </c>
      <c r="Q155" s="92">
        <v>-1</v>
      </c>
      <c r="R155" s="92" t="s">
        <v>20</v>
      </c>
    </row>
    <row r="156" spans="2:18" x14ac:dyDescent="0.15">
      <c r="B156" s="92" t="s">
        <v>160</v>
      </c>
      <c r="C156" s="92" t="s">
        <v>231</v>
      </c>
      <c r="D156" s="93">
        <v>43242</v>
      </c>
      <c r="E156" s="93">
        <v>43301</v>
      </c>
      <c r="F156" s="92">
        <v>100</v>
      </c>
      <c r="G156" s="92">
        <v>59</v>
      </c>
      <c r="H156" s="92">
        <v>0.16164383561643836</v>
      </c>
      <c r="I156" s="92">
        <v>0</v>
      </c>
      <c r="J156" s="92">
        <v>0.17249999999999999</v>
      </c>
      <c r="K156" s="92">
        <v>2.7573232762272042</v>
      </c>
      <c r="L156" s="92"/>
      <c r="M156" s="92">
        <v>0</v>
      </c>
      <c r="N156" s="99">
        <v>2.7573232762272042</v>
      </c>
      <c r="O156" s="92">
        <v>100</v>
      </c>
      <c r="P156" s="92" t="s">
        <v>85</v>
      </c>
      <c r="Q156" s="92">
        <v>1</v>
      </c>
      <c r="R156" s="92" t="s">
        <v>151</v>
      </c>
    </row>
    <row r="157" spans="2:18" x14ac:dyDescent="0.15">
      <c r="B157" s="92" t="s">
        <v>160</v>
      </c>
      <c r="C157" s="92" t="s">
        <v>231</v>
      </c>
      <c r="D157" s="93">
        <v>43242</v>
      </c>
      <c r="E157" s="93">
        <v>43301</v>
      </c>
      <c r="F157" s="92">
        <v>100</v>
      </c>
      <c r="G157" s="92">
        <v>59</v>
      </c>
      <c r="H157" s="92">
        <v>0.16164383561643836</v>
      </c>
      <c r="I157" s="92">
        <v>0</v>
      </c>
      <c r="J157" s="92">
        <v>0.23749999999999999</v>
      </c>
      <c r="K157" s="92">
        <v>-3.7956334668117861</v>
      </c>
      <c r="L157" s="92"/>
      <c r="M157" s="92">
        <v>0</v>
      </c>
      <c r="N157" s="99">
        <v>3.7956334668117861</v>
      </c>
      <c r="O157" s="92">
        <v>100</v>
      </c>
      <c r="P157" s="92" t="s">
        <v>85</v>
      </c>
      <c r="Q157" s="92">
        <v>-1</v>
      </c>
      <c r="R157" s="92" t="s">
        <v>20</v>
      </c>
    </row>
    <row r="158" spans="2:18" x14ac:dyDescent="0.15">
      <c r="B158" s="91" t="s">
        <v>2</v>
      </c>
      <c r="C158" s="33" t="s">
        <v>181</v>
      </c>
      <c r="D158" s="33" t="s">
        <v>180</v>
      </c>
      <c r="E158" s="33" t="s">
        <v>10</v>
      </c>
      <c r="F158" s="33" t="s">
        <v>184</v>
      </c>
      <c r="G158" s="33" t="s">
        <v>11</v>
      </c>
      <c r="H158" s="33" t="s">
        <v>12</v>
      </c>
      <c r="I158" s="33" t="s">
        <v>47</v>
      </c>
      <c r="J158" s="33" t="s">
        <v>13</v>
      </c>
      <c r="K158" s="33" t="s">
        <v>14</v>
      </c>
      <c r="L158" s="33" t="s">
        <v>26</v>
      </c>
      <c r="M158" s="33" t="s">
        <v>28</v>
      </c>
      <c r="N158" s="33" t="s">
        <v>182</v>
      </c>
      <c r="O158" s="33" t="s">
        <v>8</v>
      </c>
      <c r="P158" s="33" t="s">
        <v>23</v>
      </c>
      <c r="Q158" s="33"/>
      <c r="R158" s="33" t="s">
        <v>30</v>
      </c>
    </row>
    <row r="159" spans="2:18" x14ac:dyDescent="0.15">
      <c r="B159" s="92" t="s">
        <v>160</v>
      </c>
      <c r="C159" s="92" t="s">
        <v>245</v>
      </c>
      <c r="D159" s="93">
        <v>43243</v>
      </c>
      <c r="E159" s="93">
        <v>43294</v>
      </c>
      <c r="F159" s="92">
        <v>13800</v>
      </c>
      <c r="G159" s="92">
        <v>51</v>
      </c>
      <c r="H159" s="92">
        <v>0.13972602739726028</v>
      </c>
      <c r="I159" s="92">
        <v>0</v>
      </c>
      <c r="J159" s="92">
        <v>0.14000000000000001</v>
      </c>
      <c r="K159" s="92">
        <v>42.725461964348824</v>
      </c>
      <c r="L159" s="92">
        <v>30</v>
      </c>
      <c r="M159" s="92">
        <v>6.1556301369863018</v>
      </c>
      <c r="N159" s="99">
        <v>36.56983182736252</v>
      </c>
      <c r="O159" s="92">
        <v>14685</v>
      </c>
      <c r="P159" s="92" t="s">
        <v>85</v>
      </c>
      <c r="Q159" s="92">
        <v>1</v>
      </c>
      <c r="R159" s="92" t="s">
        <v>151</v>
      </c>
    </row>
    <row r="160" spans="2:18" x14ac:dyDescent="0.15">
      <c r="B160" s="92" t="s">
        <v>160</v>
      </c>
      <c r="C160" s="92" t="s">
        <v>245</v>
      </c>
      <c r="D160" s="93">
        <v>43243</v>
      </c>
      <c r="E160" s="93">
        <v>43294</v>
      </c>
      <c r="F160" s="92">
        <v>14000</v>
      </c>
      <c r="G160" s="92">
        <v>51</v>
      </c>
      <c r="H160" s="92">
        <v>0.13972602739726028</v>
      </c>
      <c r="I160" s="92">
        <v>0</v>
      </c>
      <c r="J160" s="92">
        <v>0.14000000000000001</v>
      </c>
      <c r="K160" s="92">
        <v>73.385056834770239</v>
      </c>
      <c r="L160" s="92">
        <v>30</v>
      </c>
      <c r="M160" s="92">
        <v>6.1556301369863018</v>
      </c>
      <c r="N160" s="99">
        <v>67.229426697783936</v>
      </c>
      <c r="O160" s="92">
        <v>14685</v>
      </c>
      <c r="P160" s="92" t="s">
        <v>85</v>
      </c>
      <c r="Q160" s="92">
        <v>1</v>
      </c>
      <c r="R160" s="92" t="s">
        <v>151</v>
      </c>
    </row>
    <row r="161" spans="2:18" x14ac:dyDescent="0.15">
      <c r="B161" s="92" t="s">
        <v>160</v>
      </c>
      <c r="C161" s="92" t="s">
        <v>259</v>
      </c>
      <c r="D161" s="93">
        <v>43243</v>
      </c>
      <c r="E161" s="93">
        <v>43326</v>
      </c>
      <c r="F161" s="92">
        <v>13800</v>
      </c>
      <c r="G161" s="92">
        <v>83</v>
      </c>
      <c r="H161" s="92">
        <v>0.22739726027397261</v>
      </c>
      <c r="I161" s="92">
        <v>0</v>
      </c>
      <c r="J161" s="92">
        <v>0.14000000000000001</v>
      </c>
      <c r="K161" s="92">
        <v>78.638194812504935</v>
      </c>
      <c r="L161" s="92">
        <v>30</v>
      </c>
      <c r="M161" s="92">
        <v>10.065739726027397</v>
      </c>
      <c r="N161" s="99">
        <v>68.572455086477532</v>
      </c>
      <c r="O161" s="92">
        <v>14755</v>
      </c>
      <c r="P161" s="92" t="s">
        <v>85</v>
      </c>
      <c r="Q161" s="92">
        <v>1</v>
      </c>
      <c r="R161" s="92" t="s">
        <v>151</v>
      </c>
    </row>
    <row r="162" spans="2:18" x14ac:dyDescent="0.15">
      <c r="B162" s="92" t="s">
        <v>160</v>
      </c>
      <c r="C162" s="92" t="s">
        <v>259</v>
      </c>
      <c r="D162" s="93">
        <v>43243</v>
      </c>
      <c r="E162" s="93">
        <v>43326</v>
      </c>
      <c r="F162" s="92">
        <v>14000</v>
      </c>
      <c r="G162" s="92">
        <v>83</v>
      </c>
      <c r="H162" s="92">
        <v>0.22739726027397261</v>
      </c>
      <c r="I162" s="92">
        <v>0</v>
      </c>
      <c r="J162" s="92">
        <v>0.14000000000000001</v>
      </c>
      <c r="K162" s="92">
        <v>117.4828896758977</v>
      </c>
      <c r="L162" s="92">
        <v>30</v>
      </c>
      <c r="M162" s="92">
        <v>10.065739726027397</v>
      </c>
      <c r="N162" s="99">
        <v>107.41714994987029</v>
      </c>
      <c r="O162" s="92">
        <v>14755</v>
      </c>
      <c r="P162" s="92" t="s">
        <v>85</v>
      </c>
      <c r="Q162" s="92">
        <v>1</v>
      </c>
      <c r="R162" s="92" t="s">
        <v>151</v>
      </c>
    </row>
    <row r="163" spans="2:18" x14ac:dyDescent="0.15">
      <c r="B163" s="91" t="s">
        <v>2</v>
      </c>
      <c r="C163" s="33" t="s">
        <v>181</v>
      </c>
      <c r="D163" s="33" t="s">
        <v>180</v>
      </c>
      <c r="E163" s="33" t="s">
        <v>10</v>
      </c>
      <c r="F163" s="33" t="s">
        <v>184</v>
      </c>
      <c r="G163" s="33" t="s">
        <v>11</v>
      </c>
      <c r="H163" s="33" t="s">
        <v>12</v>
      </c>
      <c r="I163" s="33" t="s">
        <v>47</v>
      </c>
      <c r="J163" s="33" t="s">
        <v>13</v>
      </c>
      <c r="K163" s="33" t="s">
        <v>14</v>
      </c>
      <c r="L163" s="33" t="s">
        <v>26</v>
      </c>
      <c r="M163" s="33" t="s">
        <v>28</v>
      </c>
      <c r="N163" s="33" t="s">
        <v>182</v>
      </c>
      <c r="O163" s="33" t="s">
        <v>8</v>
      </c>
      <c r="P163" s="33" t="s">
        <v>23</v>
      </c>
      <c r="Q163" s="33"/>
      <c r="R163" s="33" t="s">
        <v>30</v>
      </c>
    </row>
    <row r="164" spans="2:18" x14ac:dyDescent="0.15">
      <c r="B164" s="92" t="s">
        <v>160</v>
      </c>
      <c r="C164" s="92" t="s">
        <v>91</v>
      </c>
      <c r="D164" s="93">
        <v>43244</v>
      </c>
      <c r="E164" s="93">
        <v>43276</v>
      </c>
      <c r="F164" s="92">
        <v>100</v>
      </c>
      <c r="G164" s="92">
        <v>32</v>
      </c>
      <c r="H164" s="92">
        <v>8.7671232876712329E-2</v>
      </c>
      <c r="I164" s="92">
        <v>0</v>
      </c>
      <c r="J164" s="92">
        <v>0.115</v>
      </c>
      <c r="K164" s="92">
        <v>1.3559821728240848</v>
      </c>
      <c r="L164" s="92"/>
      <c r="M164" s="92">
        <v>0</v>
      </c>
      <c r="N164" s="99">
        <v>1.3559821728240848</v>
      </c>
      <c r="O164" s="92">
        <v>100</v>
      </c>
      <c r="P164" s="92" t="s">
        <v>85</v>
      </c>
      <c r="Q164" s="92">
        <v>1</v>
      </c>
      <c r="R164" s="92" t="s">
        <v>151</v>
      </c>
    </row>
    <row r="165" spans="2:18" x14ac:dyDescent="0.15">
      <c r="B165" s="92" t="s">
        <v>160</v>
      </c>
      <c r="C165" s="92" t="s">
        <v>91</v>
      </c>
      <c r="D165" s="93">
        <v>43244</v>
      </c>
      <c r="E165" s="93">
        <v>43276</v>
      </c>
      <c r="F165" s="92">
        <v>100</v>
      </c>
      <c r="G165" s="92">
        <v>32</v>
      </c>
      <c r="H165" s="92">
        <v>8.7671232876712329E-2</v>
      </c>
      <c r="I165" s="92">
        <v>0</v>
      </c>
      <c r="J165" s="92">
        <v>0.22500000000000001</v>
      </c>
      <c r="K165" s="92">
        <v>-2.6526462008723612</v>
      </c>
      <c r="L165" s="92"/>
      <c r="M165" s="92">
        <v>0</v>
      </c>
      <c r="N165" s="99">
        <v>2.6526462008723612</v>
      </c>
      <c r="O165" s="92">
        <v>100</v>
      </c>
      <c r="P165" s="92" t="s">
        <v>85</v>
      </c>
      <c r="Q165" s="92">
        <v>-1</v>
      </c>
      <c r="R165" s="92" t="s">
        <v>20</v>
      </c>
    </row>
    <row r="166" spans="2:18" x14ac:dyDescent="0.15">
      <c r="B166" s="92" t="s">
        <v>160</v>
      </c>
      <c r="C166" s="92" t="s">
        <v>91</v>
      </c>
      <c r="D166" s="93">
        <v>43244</v>
      </c>
      <c r="E166" s="93">
        <v>43304</v>
      </c>
      <c r="F166" s="92">
        <v>100</v>
      </c>
      <c r="G166" s="92">
        <v>60</v>
      </c>
      <c r="H166" s="92">
        <v>0.16438356164383561</v>
      </c>
      <c r="I166" s="92">
        <v>0</v>
      </c>
      <c r="J166" s="92">
        <v>0.11799999999999999</v>
      </c>
      <c r="K166" s="92">
        <v>1.9021818418049463</v>
      </c>
      <c r="L166" s="92"/>
      <c r="M166" s="92">
        <v>0</v>
      </c>
      <c r="N166" s="99">
        <v>1.9021818418049463</v>
      </c>
      <c r="O166" s="92">
        <v>100</v>
      </c>
      <c r="P166" s="92" t="s">
        <v>85</v>
      </c>
      <c r="Q166" s="92">
        <v>1</v>
      </c>
      <c r="R166" s="92" t="s">
        <v>151</v>
      </c>
    </row>
    <row r="167" spans="2:18" x14ac:dyDescent="0.15">
      <c r="B167" s="92" t="s">
        <v>160</v>
      </c>
      <c r="C167" s="92" t="s">
        <v>91</v>
      </c>
      <c r="D167" s="93">
        <v>43244</v>
      </c>
      <c r="E167" s="93">
        <v>43304</v>
      </c>
      <c r="F167" s="92">
        <v>100</v>
      </c>
      <c r="G167" s="92">
        <v>60</v>
      </c>
      <c r="H167" s="92">
        <v>0.16438356164383561</v>
      </c>
      <c r="I167" s="92">
        <v>0</v>
      </c>
      <c r="J167" s="92">
        <v>0.23</v>
      </c>
      <c r="K167" s="92">
        <v>-3.7066530980644856</v>
      </c>
      <c r="L167" s="92"/>
      <c r="M167" s="92">
        <v>0</v>
      </c>
      <c r="N167" s="99">
        <v>3.7066530980644856</v>
      </c>
      <c r="O167" s="92">
        <v>100</v>
      </c>
      <c r="P167" s="92" t="s">
        <v>85</v>
      </c>
      <c r="Q167" s="92">
        <v>-1</v>
      </c>
      <c r="R167" s="92" t="s">
        <v>20</v>
      </c>
    </row>
    <row r="168" spans="2:18" x14ac:dyDescent="0.15">
      <c r="B168" s="92" t="s">
        <v>160</v>
      </c>
      <c r="C168" s="92" t="s">
        <v>262</v>
      </c>
      <c r="D168" s="93">
        <v>43244</v>
      </c>
      <c r="E168" s="93">
        <v>43276</v>
      </c>
      <c r="F168" s="92">
        <v>100</v>
      </c>
      <c r="G168" s="92">
        <v>32</v>
      </c>
      <c r="H168" s="92">
        <v>8.7671232876712329E-2</v>
      </c>
      <c r="I168" s="92">
        <v>0</v>
      </c>
      <c r="J168" s="92">
        <v>0.14499999999999999</v>
      </c>
      <c r="K168" s="92">
        <v>-1.7096679406089024</v>
      </c>
      <c r="L168" s="92"/>
      <c r="M168" s="92">
        <v>0</v>
      </c>
      <c r="N168" s="99">
        <v>1.7096679406089024</v>
      </c>
      <c r="O168" s="92">
        <v>100</v>
      </c>
      <c r="P168" s="92" t="s">
        <v>85</v>
      </c>
      <c r="Q168" s="92">
        <v>-1</v>
      </c>
      <c r="R168" s="92" t="s">
        <v>20</v>
      </c>
    </row>
    <row r="169" spans="2:18" x14ac:dyDescent="0.15">
      <c r="B169" s="92" t="s">
        <v>160</v>
      </c>
      <c r="C169" s="92" t="s">
        <v>39</v>
      </c>
      <c r="D169" s="93">
        <v>43244</v>
      </c>
      <c r="E169" s="93">
        <v>43276</v>
      </c>
      <c r="F169" s="92">
        <v>100</v>
      </c>
      <c r="G169" s="92">
        <v>32</v>
      </c>
      <c r="H169" s="92">
        <v>8.7671232876712329E-2</v>
      </c>
      <c r="I169" s="92">
        <v>0</v>
      </c>
      <c r="J169" s="92">
        <v>0.115</v>
      </c>
      <c r="K169" s="92">
        <v>-1.3559821728240848</v>
      </c>
      <c r="L169" s="92"/>
      <c r="M169" s="92">
        <v>0</v>
      </c>
      <c r="N169" s="99">
        <v>1.3559821728240848</v>
      </c>
      <c r="O169" s="92">
        <v>100</v>
      </c>
      <c r="P169" s="92" t="s">
        <v>85</v>
      </c>
      <c r="Q169" s="92">
        <v>-1</v>
      </c>
      <c r="R169" s="92" t="s">
        <v>20</v>
      </c>
    </row>
  </sheetData>
  <mergeCells count="1">
    <mergeCell ref="B1:D1"/>
  </mergeCells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configs!$A$1:$A$36</xm:f>
          </x14:formula1>
          <xm:sqref>B104:B113</xm:sqref>
        </x14:dataValidation>
        <x14:dataValidation type="list" allowBlank="1" showInputMessage="1" showErrorMessage="1">
          <x14:formula1>
            <xm:f>configs!$C$1:$C$2</xm:f>
          </x14:formula1>
          <xm:sqref>P104:P113</xm:sqref>
        </x14:dataValidation>
        <x14:dataValidation type="list" allowBlank="1" showInputMessage="1" showErrorMessage="1">
          <x14:formula1>
            <xm:f>configs!$B$1:$B$2</xm:f>
          </x14:formula1>
          <xm:sqref>R104:R113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 x14ac:dyDescent="0.2">
      <c r="B1" s="147" t="s">
        <v>37</v>
      </c>
      <c r="C1" s="147"/>
    </row>
    <row r="2" spans="1:21" ht="12" thickTop="1" x14ac:dyDescent="0.15">
      <c r="B2" s="3" t="s">
        <v>0</v>
      </c>
      <c r="C2" s="4">
        <v>43061</v>
      </c>
    </row>
    <row r="3" spans="1:21" x14ac:dyDescent="0.15">
      <c r="B3" s="3" t="s">
        <v>1</v>
      </c>
      <c r="C3" s="3">
        <v>0.02</v>
      </c>
    </row>
    <row r="4" spans="1:21" ht="12" thickBot="1" x14ac:dyDescent="0.2">
      <c r="B4" s="5" t="s">
        <v>18</v>
      </c>
      <c r="C4" s="5">
        <v>0.01</v>
      </c>
    </row>
    <row r="5" spans="1:21" ht="12" thickTop="1" x14ac:dyDescent="0.15"/>
    <row r="6" spans="1:21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 x14ac:dyDescent="0.15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 t="e">
        <f>RTD("wdf.rtq",,F8,"LastPrice")</f>
        <v>#N/A</v>
      </c>
      <c r="I8" s="19">
        <v>3800</v>
      </c>
      <c r="J8" s="21">
        <f ca="1">TODAY()</f>
        <v>43244</v>
      </c>
      <c r="K8" s="21">
        <f ca="1">J8+L8</f>
        <v>43274</v>
      </c>
      <c r="L8" s="19">
        <v>30</v>
      </c>
      <c r="M8" s="22">
        <f>L8/365</f>
        <v>8.2191780821917804E-2</v>
      </c>
      <c r="N8" s="23">
        <v>0.3</v>
      </c>
      <c r="O8" s="24" t="e">
        <f>_xll.dnetGBlackScholesNGreeks("price",$G8,$H8,$I8,$M8,$C$3,$C$4,$N8)</f>
        <v>#VALUE!</v>
      </c>
      <c r="P8" s="25">
        <v>80</v>
      </c>
      <c r="Q8" s="24" t="e">
        <f>P8/10000*M8*H8*(-E8)</f>
        <v>#N/A</v>
      </c>
      <c r="R8" s="24" t="e">
        <f>O8+Q8</f>
        <v>#VALUE!</v>
      </c>
      <c r="S8" s="26" t="e">
        <f>R8/H8</f>
        <v>#VALUE!</v>
      </c>
      <c r="T8" s="24" t="e">
        <f>_xll.dnetGBlackScholesNGreeks("delta",$G8,$H8,$I8,$M8,$C$3,$C$4,$N8,$C$4)</f>
        <v>#VALUE!</v>
      </c>
      <c r="U8" s="24" t="e">
        <f>_xll.dnetGBlackScholesNGreeks("vega",$G8,$H8,$I8,$M8,$C$3,$C$4,$N8)</f>
        <v>#VALUE!</v>
      </c>
    </row>
    <row r="9" spans="1:21" x14ac:dyDescent="0.15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43244</v>
      </c>
      <c r="K9" s="8">
        <f ca="1">J9+L9</f>
        <v>43274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 x14ac:dyDescent="0.15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43244</v>
      </c>
      <c r="K10" s="8">
        <f ca="1">J10+L10</f>
        <v>43274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 x14ac:dyDescent="0.15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 x14ac:dyDescent="0.15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 x14ac:dyDescent="0.15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 x14ac:dyDescent="0.15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 x14ac:dyDescent="0.1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 x14ac:dyDescent="0.15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 x14ac:dyDescent="0.15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 x14ac:dyDescent="0.15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 x14ac:dyDescent="0.15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 x14ac:dyDescent="0.15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 x14ac:dyDescent="0.15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 x14ac:dyDescent="0.15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 x14ac:dyDescent="0.15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 x14ac:dyDescent="0.15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 x14ac:dyDescent="0.15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 x14ac:dyDescent="0.15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 x14ac:dyDescent="0.15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 x14ac:dyDescent="0.15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 x14ac:dyDescent="0.15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 x14ac:dyDescent="0.15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 x14ac:dyDescent="0.15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 x14ac:dyDescent="0.15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 x14ac:dyDescent="0.15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 x14ac:dyDescent="0.15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 x14ac:dyDescent="0.15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 x14ac:dyDescent="0.15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 x14ac:dyDescent="0.15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 x14ac:dyDescent="0.15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 x14ac:dyDescent="0.15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76"/>
  <sheetViews>
    <sheetView topLeftCell="F1" zoomScale="115" zoomScaleNormal="115" workbookViewId="0">
      <pane ySplit="17" topLeftCell="A52" activePane="bottomLeft" state="frozen"/>
      <selection pane="bottomLeft" activeCell="I75" sqref="G63:J75"/>
    </sheetView>
  </sheetViews>
  <sheetFormatPr defaultColWidth="9" defaultRowHeight="10.5" x14ac:dyDescent="0.15"/>
  <cols>
    <col min="1" max="3" width="9" style="100"/>
    <col min="4" max="4" width="9" style="100" customWidth="1"/>
    <col min="5" max="7" width="9" style="100"/>
    <col min="8" max="8" width="9.625" style="100" customWidth="1"/>
    <col min="9" max="9" width="9" style="100"/>
    <col min="10" max="10" width="9.25" style="100" customWidth="1"/>
    <col min="11" max="16384" width="9" style="100"/>
  </cols>
  <sheetData>
    <row r="1" spans="2:20" ht="11.25" thickBot="1" x14ac:dyDescent="0.2">
      <c r="B1" s="138" t="s">
        <v>118</v>
      </c>
      <c r="C1" s="138"/>
    </row>
    <row r="2" spans="2:20" ht="11.25" thickTop="1" x14ac:dyDescent="0.15"/>
    <row r="3" spans="2:20" ht="11.25" thickBot="1" x14ac:dyDescent="0.2">
      <c r="B3" s="139" t="s">
        <v>119</v>
      </c>
      <c r="C3" s="139"/>
      <c r="D3" s="139"/>
      <c r="E3" s="139"/>
      <c r="G3" s="143" t="s">
        <v>120</v>
      </c>
      <c r="H3" s="143"/>
      <c r="I3" s="143"/>
      <c r="J3" s="143"/>
      <c r="L3" s="139" t="s">
        <v>165</v>
      </c>
      <c r="M3" s="139"/>
      <c r="N3" s="139"/>
      <c r="O3" s="139"/>
      <c r="Q3" s="143" t="s">
        <v>166</v>
      </c>
      <c r="R3" s="143"/>
      <c r="S3" s="143"/>
      <c r="T3" s="143"/>
    </row>
    <row r="4" spans="2:20" ht="12" thickTop="1" thickBot="1" x14ac:dyDescent="0.2">
      <c r="B4" s="140" t="s">
        <v>121</v>
      </c>
      <c r="C4" s="140"/>
      <c r="D4" s="140"/>
      <c r="E4" s="140"/>
      <c r="G4" s="140" t="s">
        <v>34</v>
      </c>
      <c r="H4" s="140"/>
      <c r="I4" s="140"/>
      <c r="J4" s="140"/>
      <c r="L4" s="140" t="s">
        <v>121</v>
      </c>
      <c r="M4" s="140"/>
      <c r="N4" s="140"/>
      <c r="O4" s="140"/>
      <c r="Q4" s="140" t="s">
        <v>34</v>
      </c>
      <c r="R4" s="140"/>
      <c r="S4" s="140"/>
      <c r="T4" s="140"/>
    </row>
    <row r="5" spans="2:20" ht="15" customHeight="1" thickTop="1" x14ac:dyDescent="0.15">
      <c r="B5" s="137" t="s">
        <v>122</v>
      </c>
      <c r="C5" s="137"/>
      <c r="D5" s="141"/>
      <c r="E5" s="142"/>
      <c r="G5" s="137" t="s">
        <v>123</v>
      </c>
      <c r="H5" s="137"/>
      <c r="I5" s="103"/>
      <c r="J5" s="104"/>
      <c r="L5" s="101" t="s">
        <v>122</v>
      </c>
      <c r="M5" s="102"/>
      <c r="N5" s="103"/>
      <c r="O5" s="104"/>
      <c r="Q5" s="137" t="s">
        <v>123</v>
      </c>
      <c r="R5" s="137"/>
      <c r="S5" s="103"/>
      <c r="T5" s="104"/>
    </row>
    <row r="6" spans="2:20" x14ac:dyDescent="0.15">
      <c r="B6" s="137" t="s">
        <v>124</v>
      </c>
      <c r="C6" s="137"/>
      <c r="D6" s="135" t="s">
        <v>125</v>
      </c>
      <c r="E6" s="136"/>
      <c r="G6" s="137" t="s">
        <v>126</v>
      </c>
      <c r="H6" s="137"/>
      <c r="I6" s="135"/>
      <c r="J6" s="136"/>
      <c r="L6" s="137" t="s">
        <v>124</v>
      </c>
      <c r="M6" s="137"/>
      <c r="N6" s="135" t="s">
        <v>125</v>
      </c>
      <c r="O6" s="136"/>
      <c r="Q6" s="137" t="s">
        <v>126</v>
      </c>
      <c r="R6" s="137"/>
      <c r="S6" s="135"/>
      <c r="T6" s="136"/>
    </row>
    <row r="7" spans="2:20" ht="2.25" customHeight="1" x14ac:dyDescent="0.15">
      <c r="B7" s="137" t="s">
        <v>127</v>
      </c>
      <c r="C7" s="137"/>
      <c r="D7" s="135" t="s">
        <v>125</v>
      </c>
      <c r="E7" s="136"/>
      <c r="G7" s="137" t="s">
        <v>128</v>
      </c>
      <c r="H7" s="137"/>
      <c r="I7" s="135"/>
      <c r="J7" s="136"/>
      <c r="L7" s="137" t="s">
        <v>127</v>
      </c>
      <c r="M7" s="137"/>
      <c r="N7" s="135" t="s">
        <v>125</v>
      </c>
      <c r="O7" s="136"/>
      <c r="Q7" s="137" t="s">
        <v>128</v>
      </c>
      <c r="R7" s="137"/>
      <c r="S7" s="135"/>
      <c r="T7" s="136"/>
    </row>
    <row r="8" spans="2:20" hidden="1" x14ac:dyDescent="0.15">
      <c r="B8" s="137" t="s">
        <v>129</v>
      </c>
      <c r="C8" s="137"/>
      <c r="D8" s="135">
        <f>D13*D15</f>
        <v>305000</v>
      </c>
      <c r="E8" s="136"/>
      <c r="G8" s="137" t="s">
        <v>130</v>
      </c>
      <c r="H8" s="137"/>
      <c r="I8" s="135"/>
      <c r="J8" s="136"/>
      <c r="L8" s="137" t="s">
        <v>129</v>
      </c>
      <c r="M8" s="137"/>
      <c r="N8" s="135">
        <f>N14*N16</f>
        <v>305000</v>
      </c>
      <c r="O8" s="136"/>
      <c r="Q8" s="137" t="s">
        <v>130</v>
      </c>
      <c r="R8" s="137"/>
      <c r="S8" s="135"/>
      <c r="T8" s="136"/>
    </row>
    <row r="9" spans="2:20" hidden="1" x14ac:dyDescent="0.15">
      <c r="B9" s="137" t="s">
        <v>131</v>
      </c>
      <c r="C9" s="137"/>
      <c r="D9" s="135" t="s">
        <v>132</v>
      </c>
      <c r="E9" s="136"/>
      <c r="G9" s="137" t="s">
        <v>133</v>
      </c>
      <c r="H9" s="137"/>
      <c r="I9" s="135"/>
      <c r="J9" s="136"/>
      <c r="L9" s="137" t="s">
        <v>131</v>
      </c>
      <c r="M9" s="137"/>
      <c r="N9" s="135" t="s">
        <v>132</v>
      </c>
      <c r="O9" s="136"/>
      <c r="Q9" s="137" t="s">
        <v>133</v>
      </c>
      <c r="R9" s="137"/>
      <c r="S9" s="135"/>
      <c r="T9" s="136"/>
    </row>
    <row r="10" spans="2:20" hidden="1" x14ac:dyDescent="0.15">
      <c r="B10" s="137" t="s">
        <v>134</v>
      </c>
      <c r="C10" s="137"/>
      <c r="D10" s="135">
        <v>43084</v>
      </c>
      <c r="E10" s="136"/>
      <c r="G10" s="105" t="s">
        <v>135</v>
      </c>
      <c r="H10" s="105"/>
      <c r="I10" s="135"/>
      <c r="J10" s="136"/>
      <c r="L10" s="137" t="s">
        <v>134</v>
      </c>
      <c r="M10" s="137"/>
      <c r="N10" s="135">
        <v>43084</v>
      </c>
      <c r="O10" s="136"/>
      <c r="Q10" s="105" t="s">
        <v>135</v>
      </c>
      <c r="R10" s="105"/>
      <c r="S10" s="135"/>
      <c r="T10" s="136"/>
    </row>
    <row r="11" spans="2:20" hidden="1" x14ac:dyDescent="0.15">
      <c r="B11" s="137" t="s">
        <v>136</v>
      </c>
      <c r="C11" s="137"/>
      <c r="D11" s="135">
        <v>3935</v>
      </c>
      <c r="E11" s="136"/>
      <c r="G11" s="137" t="s">
        <v>137</v>
      </c>
      <c r="H11" s="137"/>
      <c r="I11" s="135"/>
      <c r="J11" s="136"/>
      <c r="L11" s="137" t="s">
        <v>136</v>
      </c>
      <c r="M11" s="137"/>
      <c r="N11" s="135">
        <v>3935</v>
      </c>
      <c r="O11" s="136"/>
      <c r="Q11" s="137" t="s">
        <v>137</v>
      </c>
      <c r="R11" s="137"/>
      <c r="S11" s="135"/>
      <c r="T11" s="136"/>
    </row>
    <row r="12" spans="2:20" hidden="1" x14ac:dyDescent="0.15">
      <c r="B12" s="137" t="s">
        <v>138</v>
      </c>
      <c r="C12" s="137"/>
      <c r="D12" s="135">
        <v>3800</v>
      </c>
      <c r="E12" s="136"/>
      <c r="G12" s="137" t="s">
        <v>139</v>
      </c>
      <c r="H12" s="137"/>
      <c r="I12" s="135"/>
      <c r="J12" s="136"/>
      <c r="L12" s="137" t="s">
        <v>163</v>
      </c>
      <c r="M12" s="137"/>
      <c r="N12" s="135">
        <v>3800</v>
      </c>
      <c r="O12" s="136"/>
      <c r="Q12" s="137" t="s">
        <v>167</v>
      </c>
      <c r="R12" s="137"/>
      <c r="S12" s="135"/>
      <c r="T12" s="136"/>
    </row>
    <row r="13" spans="2:20" hidden="1" x14ac:dyDescent="0.15">
      <c r="B13" s="137" t="s">
        <v>140</v>
      </c>
      <c r="C13" s="137"/>
      <c r="D13" s="135">
        <v>61</v>
      </c>
      <c r="E13" s="136"/>
      <c r="G13" s="137" t="s">
        <v>141</v>
      </c>
      <c r="H13" s="137"/>
      <c r="I13" s="135"/>
      <c r="J13" s="136"/>
      <c r="L13" s="137" t="s">
        <v>164</v>
      </c>
      <c r="M13" s="137"/>
      <c r="N13" s="135">
        <v>3800</v>
      </c>
      <c r="O13" s="136"/>
      <c r="Q13" s="137" t="s">
        <v>168</v>
      </c>
      <c r="R13" s="137"/>
      <c r="S13" s="135"/>
      <c r="T13" s="136"/>
    </row>
    <row r="14" spans="2:20" hidden="1" x14ac:dyDescent="0.15">
      <c r="B14" s="137" t="s">
        <v>142</v>
      </c>
      <c r="C14" s="137"/>
      <c r="D14" s="135" t="s">
        <v>143</v>
      </c>
      <c r="E14" s="136"/>
      <c r="G14" s="137" t="s">
        <v>144</v>
      </c>
      <c r="H14" s="137"/>
      <c r="I14" s="106"/>
      <c r="J14" s="107"/>
      <c r="L14" s="137" t="s">
        <v>140</v>
      </c>
      <c r="M14" s="137"/>
      <c r="N14" s="135">
        <v>61</v>
      </c>
      <c r="O14" s="136"/>
      <c r="Q14" s="137" t="s">
        <v>141</v>
      </c>
      <c r="R14" s="137"/>
      <c r="S14" s="135"/>
      <c r="T14" s="136"/>
    </row>
    <row r="15" spans="2:20" hidden="1" x14ac:dyDescent="0.15">
      <c r="B15" s="137" t="s">
        <v>145</v>
      </c>
      <c r="C15" s="137"/>
      <c r="D15" s="135">
        <v>5000</v>
      </c>
      <c r="E15" s="136"/>
      <c r="G15" s="137" t="s">
        <v>146</v>
      </c>
      <c r="H15" s="137"/>
      <c r="I15" s="135"/>
      <c r="J15" s="136"/>
      <c r="L15" s="137" t="s">
        <v>142</v>
      </c>
      <c r="M15" s="137"/>
      <c r="N15" s="135" t="s">
        <v>143</v>
      </c>
      <c r="O15" s="136"/>
      <c r="Q15" s="137" t="s">
        <v>144</v>
      </c>
      <c r="R15" s="137"/>
      <c r="S15" s="106"/>
      <c r="T15" s="107"/>
    </row>
    <row r="16" spans="2:20" ht="11.25" hidden="1" thickBot="1" x14ac:dyDescent="0.2">
      <c r="B16" s="132" t="s">
        <v>147</v>
      </c>
      <c r="C16" s="132"/>
      <c r="D16" s="133" t="s">
        <v>148</v>
      </c>
      <c r="E16" s="134"/>
      <c r="G16" s="132" t="s">
        <v>149</v>
      </c>
      <c r="H16" s="132"/>
      <c r="I16" s="133"/>
      <c r="J16" s="134"/>
      <c r="L16" s="137" t="s">
        <v>145</v>
      </c>
      <c r="M16" s="137"/>
      <c r="N16" s="135">
        <v>5000</v>
      </c>
      <c r="O16" s="136"/>
      <c r="Q16" s="137" t="s">
        <v>146</v>
      </c>
      <c r="R16" s="137"/>
      <c r="S16" s="135"/>
      <c r="T16" s="136"/>
    </row>
    <row r="17" spans="2:25" ht="12" hidden="1" thickTop="1" thickBot="1" x14ac:dyDescent="0.2">
      <c r="L17" s="132" t="s">
        <v>147</v>
      </c>
      <c r="M17" s="132"/>
      <c r="N17" s="133" t="s">
        <v>148</v>
      </c>
      <c r="O17" s="134"/>
      <c r="Q17" s="132" t="s">
        <v>149</v>
      </c>
      <c r="R17" s="132"/>
      <c r="S17" s="133"/>
      <c r="T17" s="134"/>
    </row>
    <row r="19" spans="2:25" x14ac:dyDescent="0.15">
      <c r="B19" s="108" t="s">
        <v>150</v>
      </c>
    </row>
    <row r="21" spans="2:25" ht="11.25" thickBot="1" x14ac:dyDescent="0.2">
      <c r="B21" s="109"/>
      <c r="C21" s="109"/>
      <c r="D21" s="109"/>
      <c r="E21" s="109"/>
      <c r="G21" s="109"/>
      <c r="H21" s="109"/>
      <c r="I21" s="109"/>
      <c r="J21" s="109"/>
      <c r="L21" s="109"/>
      <c r="M21" s="109"/>
      <c r="N21" s="109"/>
      <c r="O21" s="109"/>
      <c r="Q21" s="109"/>
      <c r="R21" s="109"/>
      <c r="S21" s="109"/>
      <c r="T21" s="109"/>
      <c r="V21" s="109"/>
      <c r="W21" s="109"/>
      <c r="X21" s="109"/>
      <c r="Y21" s="109"/>
    </row>
    <row r="22" spans="2:25" ht="12.75" thickTop="1" thickBot="1" x14ac:dyDescent="0.2">
      <c r="B22" s="130" t="s">
        <v>221</v>
      </c>
      <c r="C22" s="130"/>
      <c r="D22" s="130"/>
      <c r="E22" s="130"/>
      <c r="G22" s="130" t="s">
        <v>189</v>
      </c>
      <c r="H22" s="130"/>
      <c r="I22" s="130"/>
      <c r="J22" s="130"/>
      <c r="L22" s="140" t="s">
        <v>189</v>
      </c>
      <c r="M22" s="140"/>
      <c r="N22" s="140"/>
      <c r="O22" s="140"/>
      <c r="Q22" s="130" t="s">
        <v>188</v>
      </c>
      <c r="R22" s="130"/>
      <c r="S22" s="130"/>
      <c r="T22" s="130"/>
      <c r="V22" s="140" t="s">
        <v>189</v>
      </c>
      <c r="W22" s="140"/>
      <c r="X22" s="140"/>
      <c r="Y22" s="140"/>
    </row>
    <row r="23" spans="2:25" ht="12" thickTop="1" x14ac:dyDescent="0.15">
      <c r="B23" s="123" t="s">
        <v>122</v>
      </c>
      <c r="C23" s="123"/>
      <c r="D23" s="129">
        <v>43209</v>
      </c>
      <c r="E23" s="131"/>
      <c r="G23" s="123" t="s">
        <v>122</v>
      </c>
      <c r="H23" s="123"/>
      <c r="I23" s="129">
        <f ca="1">TODAY()</f>
        <v>43244</v>
      </c>
      <c r="J23" s="131"/>
      <c r="L23" s="123" t="s">
        <v>122</v>
      </c>
      <c r="M23" s="123"/>
      <c r="N23" s="129">
        <f ca="1">TODAY()</f>
        <v>43244</v>
      </c>
      <c r="O23" s="131"/>
      <c r="Q23" s="123" t="s">
        <v>122</v>
      </c>
      <c r="R23" s="123"/>
      <c r="S23" s="129">
        <f ca="1">TODAY()-1</f>
        <v>43243</v>
      </c>
      <c r="T23" s="131"/>
      <c r="V23" s="123" t="s">
        <v>122</v>
      </c>
      <c r="W23" s="123"/>
      <c r="X23" s="129">
        <f ca="1">TODAY()-1</f>
        <v>43243</v>
      </c>
      <c r="Y23" s="131"/>
    </row>
    <row r="24" spans="2:25" ht="11.25" x14ac:dyDescent="0.15">
      <c r="B24" s="123" t="s">
        <v>124</v>
      </c>
      <c r="C24" s="123"/>
      <c r="D24" s="124" t="s">
        <v>186</v>
      </c>
      <c r="E24" s="125"/>
      <c r="G24" s="123" t="s">
        <v>124</v>
      </c>
      <c r="H24" s="123"/>
      <c r="I24" s="124" t="s">
        <v>186</v>
      </c>
      <c r="J24" s="125"/>
      <c r="L24" s="123" t="s">
        <v>124</v>
      </c>
      <c r="M24" s="123"/>
      <c r="N24" s="124" t="s">
        <v>36</v>
      </c>
      <c r="O24" s="125"/>
      <c r="Q24" s="123" t="s">
        <v>124</v>
      </c>
      <c r="R24" s="123"/>
      <c r="S24" s="124" t="s">
        <v>36</v>
      </c>
      <c r="T24" s="125"/>
      <c r="V24" s="123" t="s">
        <v>124</v>
      </c>
      <c r="W24" s="123"/>
      <c r="X24" s="124" t="s">
        <v>36</v>
      </c>
      <c r="Y24" s="125"/>
    </row>
    <row r="25" spans="2:25" ht="11.25" x14ac:dyDescent="0.15">
      <c r="B25" s="123" t="s">
        <v>127</v>
      </c>
      <c r="C25" s="123"/>
      <c r="D25" s="124" t="s">
        <v>222</v>
      </c>
      <c r="E25" s="125"/>
      <c r="G25" s="123" t="s">
        <v>127</v>
      </c>
      <c r="H25" s="123"/>
      <c r="I25" s="124" t="s">
        <v>5</v>
      </c>
      <c r="J25" s="125"/>
      <c r="L25" s="123" t="s">
        <v>127</v>
      </c>
      <c r="M25" s="123"/>
      <c r="N25" s="124" t="s">
        <v>195</v>
      </c>
      <c r="O25" s="125"/>
      <c r="Q25" s="123" t="s">
        <v>127</v>
      </c>
      <c r="R25" s="123"/>
      <c r="S25" s="124" t="s">
        <v>187</v>
      </c>
      <c r="T25" s="125"/>
      <c r="V25" s="123" t="s">
        <v>127</v>
      </c>
      <c r="W25" s="123"/>
      <c r="X25" s="124" t="s">
        <v>187</v>
      </c>
      <c r="Y25" s="125"/>
    </row>
    <row r="26" spans="2:25" ht="11.25" x14ac:dyDescent="0.15">
      <c r="B26" s="123" t="s">
        <v>129</v>
      </c>
      <c r="C26" s="123"/>
      <c r="D26" s="124">
        <f>D31*D33</f>
        <v>290000</v>
      </c>
      <c r="E26" s="125"/>
      <c r="G26" s="123" t="s">
        <v>179</v>
      </c>
      <c r="H26" s="123"/>
      <c r="I26" s="124">
        <f>I31*I33</f>
        <v>271800</v>
      </c>
      <c r="J26" s="125"/>
      <c r="L26" s="123" t="s">
        <v>129</v>
      </c>
      <c r="M26" s="123"/>
      <c r="N26" s="124">
        <f>N31*N33</f>
        <v>275000</v>
      </c>
      <c r="O26" s="125"/>
      <c r="Q26" s="123" t="s">
        <v>129</v>
      </c>
      <c r="R26" s="123"/>
      <c r="S26" s="124">
        <f>S31*S33</f>
        <v>235799.99999999997</v>
      </c>
      <c r="T26" s="125"/>
      <c r="V26" s="123" t="s">
        <v>129</v>
      </c>
      <c r="W26" s="123"/>
      <c r="X26" s="124">
        <f>X31*X33</f>
        <v>235799.99999999997</v>
      </c>
      <c r="Y26" s="125"/>
    </row>
    <row r="27" spans="2:25" ht="11.25" x14ac:dyDescent="0.15">
      <c r="B27" s="123" t="s">
        <v>131</v>
      </c>
      <c r="C27" s="123"/>
      <c r="D27" s="124" t="s">
        <v>191</v>
      </c>
      <c r="E27" s="125"/>
      <c r="F27" s="100">
        <f>1160*250</f>
        <v>290000</v>
      </c>
      <c r="G27" s="123" t="s">
        <v>131</v>
      </c>
      <c r="H27" s="123"/>
      <c r="I27" s="124" t="s">
        <v>197</v>
      </c>
      <c r="J27" s="125"/>
      <c r="L27" s="123" t="s">
        <v>131</v>
      </c>
      <c r="M27" s="123"/>
      <c r="N27" s="124" t="s">
        <v>190</v>
      </c>
      <c r="O27" s="125"/>
      <c r="Q27" s="123" t="s">
        <v>131</v>
      </c>
      <c r="R27" s="123"/>
      <c r="S27" s="124" t="s">
        <v>191</v>
      </c>
      <c r="T27" s="125"/>
      <c r="V27" s="123" t="s">
        <v>131</v>
      </c>
      <c r="W27" s="123"/>
      <c r="X27" s="124" t="s">
        <v>190</v>
      </c>
      <c r="Y27" s="125"/>
    </row>
    <row r="28" spans="2:25" ht="11.25" x14ac:dyDescent="0.15">
      <c r="B28" s="123" t="s">
        <v>134</v>
      </c>
      <c r="C28" s="123"/>
      <c r="D28" s="129">
        <v>43222</v>
      </c>
      <c r="E28" s="125"/>
      <c r="G28" s="123" t="s">
        <v>134</v>
      </c>
      <c r="H28" s="123"/>
      <c r="I28" s="129">
        <v>43182</v>
      </c>
      <c r="J28" s="125"/>
      <c r="L28" s="123" t="s">
        <v>134</v>
      </c>
      <c r="M28" s="123"/>
      <c r="N28" s="129">
        <v>43219</v>
      </c>
      <c r="O28" s="125"/>
      <c r="Q28" s="123" t="s">
        <v>134</v>
      </c>
      <c r="R28" s="123"/>
      <c r="S28" s="129">
        <v>43201</v>
      </c>
      <c r="T28" s="125"/>
      <c r="V28" s="123" t="s">
        <v>134</v>
      </c>
      <c r="W28" s="123"/>
      <c r="X28" s="129">
        <v>43201</v>
      </c>
      <c r="Y28" s="125"/>
    </row>
    <row r="29" spans="2:25" ht="11.25" x14ac:dyDescent="0.15">
      <c r="B29" s="123" t="s">
        <v>136</v>
      </c>
      <c r="C29" s="123"/>
      <c r="D29" s="124">
        <v>108500</v>
      </c>
      <c r="E29" s="125"/>
      <c r="G29" s="123" t="s">
        <v>136</v>
      </c>
      <c r="H29" s="123"/>
      <c r="I29" s="124">
        <v>3856</v>
      </c>
      <c r="J29" s="125"/>
      <c r="L29" s="123" t="s">
        <v>136</v>
      </c>
      <c r="M29" s="123"/>
      <c r="N29" s="124">
        <v>3760</v>
      </c>
      <c r="O29" s="125"/>
      <c r="Q29" s="123" t="s">
        <v>136</v>
      </c>
      <c r="R29" s="123"/>
      <c r="S29" s="124">
        <v>524</v>
      </c>
      <c r="T29" s="125"/>
      <c r="V29" s="123" t="s">
        <v>136</v>
      </c>
      <c r="W29" s="123"/>
      <c r="X29" s="124">
        <v>524</v>
      </c>
      <c r="Y29" s="125"/>
    </row>
    <row r="30" spans="2:25" ht="11.25" x14ac:dyDescent="0.15">
      <c r="B30" s="123" t="s">
        <v>138</v>
      </c>
      <c r="C30" s="123"/>
      <c r="D30" s="124">
        <v>110000</v>
      </c>
      <c r="E30" s="125"/>
      <c r="G30" s="123" t="s">
        <v>138</v>
      </c>
      <c r="H30" s="123"/>
      <c r="I30" s="124">
        <v>3930</v>
      </c>
      <c r="J30" s="125"/>
      <c r="L30" s="123" t="s">
        <v>138</v>
      </c>
      <c r="M30" s="123"/>
      <c r="N30" s="124">
        <v>3700</v>
      </c>
      <c r="O30" s="125"/>
      <c r="Q30" s="123" t="s">
        <v>138</v>
      </c>
      <c r="R30" s="123"/>
      <c r="S30" s="124">
        <v>524</v>
      </c>
      <c r="T30" s="125"/>
      <c r="V30" s="123" t="s">
        <v>138</v>
      </c>
      <c r="W30" s="123"/>
      <c r="X30" s="124">
        <v>524</v>
      </c>
      <c r="Y30" s="125"/>
    </row>
    <row r="31" spans="2:25" ht="11.25" x14ac:dyDescent="0.15">
      <c r="B31" s="123" t="s">
        <v>140</v>
      </c>
      <c r="C31" s="123"/>
      <c r="D31" s="124">
        <v>1160</v>
      </c>
      <c r="E31" s="125"/>
      <c r="G31" s="123" t="s">
        <v>198</v>
      </c>
      <c r="H31" s="123"/>
      <c r="I31" s="124">
        <v>27.18</v>
      </c>
      <c r="J31" s="125"/>
      <c r="L31" s="123" t="s">
        <v>140</v>
      </c>
      <c r="M31" s="123"/>
      <c r="N31" s="124">
        <v>55</v>
      </c>
      <c r="O31" s="125"/>
      <c r="Q31" s="123" t="s">
        <v>140</v>
      </c>
      <c r="R31" s="123"/>
      <c r="S31" s="124">
        <v>23.58</v>
      </c>
      <c r="T31" s="125"/>
      <c r="V31" s="123" t="s">
        <v>140</v>
      </c>
      <c r="W31" s="123"/>
      <c r="X31" s="124">
        <v>23.58</v>
      </c>
      <c r="Y31" s="125"/>
    </row>
    <row r="32" spans="2:25" ht="11.25" x14ac:dyDescent="0.15">
      <c r="B32" s="123" t="s">
        <v>142</v>
      </c>
      <c r="C32" s="123"/>
      <c r="D32" s="124" t="s">
        <v>209</v>
      </c>
      <c r="E32" s="125"/>
      <c r="G32" s="123" t="s">
        <v>199</v>
      </c>
      <c r="H32" s="123"/>
      <c r="I32" s="124" t="s">
        <v>196</v>
      </c>
      <c r="J32" s="125"/>
      <c r="L32" s="123" t="s">
        <v>142</v>
      </c>
      <c r="M32" s="123"/>
      <c r="N32" s="124" t="s">
        <v>194</v>
      </c>
      <c r="O32" s="125"/>
      <c r="Q32" s="123" t="s">
        <v>142</v>
      </c>
      <c r="R32" s="123"/>
      <c r="S32" s="124" t="s">
        <v>192</v>
      </c>
      <c r="T32" s="125"/>
      <c r="V32" s="123" t="s">
        <v>142</v>
      </c>
      <c r="W32" s="123"/>
      <c r="X32" s="124" t="s">
        <v>192</v>
      </c>
      <c r="Y32" s="125"/>
    </row>
    <row r="33" spans="2:25" ht="11.25" x14ac:dyDescent="0.15">
      <c r="B33" s="123" t="s">
        <v>145</v>
      </c>
      <c r="C33" s="123"/>
      <c r="D33" s="124">
        <v>250</v>
      </c>
      <c r="E33" s="125"/>
      <c r="G33" s="123" t="s">
        <v>200</v>
      </c>
      <c r="H33" s="123"/>
      <c r="I33" s="124">
        <v>10000</v>
      </c>
      <c r="J33" s="125"/>
      <c r="L33" s="123" t="s">
        <v>145</v>
      </c>
      <c r="M33" s="123"/>
      <c r="N33" s="124">
        <v>5000</v>
      </c>
      <c r="O33" s="125"/>
      <c r="Q33" s="123" t="s">
        <v>145</v>
      </c>
      <c r="R33" s="123"/>
      <c r="S33" s="124">
        <v>10000</v>
      </c>
      <c r="T33" s="125"/>
      <c r="V33" s="123" t="s">
        <v>145</v>
      </c>
      <c r="W33" s="123"/>
      <c r="X33" s="124">
        <v>10000</v>
      </c>
      <c r="Y33" s="125"/>
    </row>
    <row r="34" spans="2:25" ht="12" thickBot="1" x14ac:dyDescent="0.2">
      <c r="B34" s="126" t="s">
        <v>147</v>
      </c>
      <c r="C34" s="126"/>
      <c r="D34" s="127" t="s">
        <v>148</v>
      </c>
      <c r="E34" s="128"/>
      <c r="G34" s="126" t="s">
        <v>147</v>
      </c>
      <c r="H34" s="126"/>
      <c r="I34" s="127" t="s">
        <v>148</v>
      </c>
      <c r="J34" s="128"/>
      <c r="L34" s="126" t="s">
        <v>147</v>
      </c>
      <c r="M34" s="126"/>
      <c r="N34" s="127" t="s">
        <v>148</v>
      </c>
      <c r="O34" s="128"/>
      <c r="Q34" s="126" t="s">
        <v>147</v>
      </c>
      <c r="R34" s="126"/>
      <c r="S34" s="127" t="s">
        <v>148</v>
      </c>
      <c r="T34" s="128"/>
      <c r="V34" s="126" t="s">
        <v>147</v>
      </c>
      <c r="W34" s="126"/>
      <c r="X34" s="127" t="s">
        <v>148</v>
      </c>
      <c r="Y34" s="128"/>
    </row>
    <row r="35" spans="2:25" ht="11.25" thickTop="1" x14ac:dyDescent="0.15"/>
    <row r="36" spans="2:25" ht="12" thickBot="1" x14ac:dyDescent="0.2">
      <c r="B36" s="130" t="s">
        <v>236</v>
      </c>
      <c r="C36" s="130"/>
      <c r="D36" s="130"/>
      <c r="E36" s="130"/>
      <c r="G36" s="130" t="s">
        <v>237</v>
      </c>
      <c r="H36" s="130"/>
      <c r="I36" s="130"/>
      <c r="J36" s="130"/>
      <c r="L36" s="130" t="s">
        <v>206</v>
      </c>
      <c r="M36" s="130"/>
      <c r="N36" s="130"/>
      <c r="O36" s="130"/>
      <c r="Q36" s="130" t="s">
        <v>121</v>
      </c>
      <c r="R36" s="130"/>
      <c r="S36" s="130"/>
      <c r="T36" s="130"/>
    </row>
    <row r="37" spans="2:25" ht="12" thickTop="1" x14ac:dyDescent="0.15">
      <c r="B37" s="123" t="s">
        <v>122</v>
      </c>
      <c r="C37" s="123"/>
      <c r="D37" s="129">
        <v>43229</v>
      </c>
      <c r="E37" s="131"/>
      <c r="G37" s="123" t="s">
        <v>122</v>
      </c>
      <c r="H37" s="123"/>
      <c r="I37" s="129">
        <v>43229</v>
      </c>
      <c r="J37" s="131"/>
      <c r="L37" s="123" t="s">
        <v>122</v>
      </c>
      <c r="M37" s="123"/>
      <c r="N37" s="129">
        <v>43214</v>
      </c>
      <c r="O37" s="131"/>
      <c r="Q37" s="123" t="s">
        <v>122</v>
      </c>
      <c r="R37" s="123"/>
      <c r="S37" s="129">
        <v>43209</v>
      </c>
      <c r="T37" s="131"/>
    </row>
    <row r="38" spans="2:25" ht="11.25" x14ac:dyDescent="0.15">
      <c r="B38" s="123" t="s">
        <v>124</v>
      </c>
      <c r="C38" s="123"/>
      <c r="D38" s="124" t="s">
        <v>187</v>
      </c>
      <c r="E38" s="125"/>
      <c r="G38" s="123" t="s">
        <v>124</v>
      </c>
      <c r="H38" s="123"/>
      <c r="I38" s="124" t="s">
        <v>187</v>
      </c>
      <c r="J38" s="125"/>
      <c r="L38" s="123" t="s">
        <v>124</v>
      </c>
      <c r="M38" s="123"/>
      <c r="N38" s="124" t="s">
        <v>204</v>
      </c>
      <c r="O38" s="125"/>
      <c r="Q38" s="123" t="s">
        <v>124</v>
      </c>
      <c r="R38" s="123"/>
      <c r="S38" s="124" t="s">
        <v>218</v>
      </c>
      <c r="T38" s="125"/>
    </row>
    <row r="39" spans="2:25" ht="11.25" x14ac:dyDescent="0.15">
      <c r="B39" s="123" t="s">
        <v>127</v>
      </c>
      <c r="C39" s="123"/>
      <c r="D39" s="124" t="s">
        <v>225</v>
      </c>
      <c r="E39" s="125"/>
      <c r="G39" s="123" t="s">
        <v>127</v>
      </c>
      <c r="H39" s="123"/>
      <c r="I39" s="124" t="s">
        <v>204</v>
      </c>
      <c r="J39" s="125"/>
      <c r="L39" s="123" t="s">
        <v>127</v>
      </c>
      <c r="M39" s="123"/>
      <c r="N39" s="124" t="s">
        <v>4</v>
      </c>
      <c r="O39" s="125"/>
      <c r="Q39" s="123" t="s">
        <v>127</v>
      </c>
      <c r="R39" s="123"/>
      <c r="S39" s="124" t="s">
        <v>204</v>
      </c>
      <c r="T39" s="125"/>
    </row>
    <row r="40" spans="2:25" ht="11.25" x14ac:dyDescent="0.15">
      <c r="B40" s="123" t="s">
        <v>179</v>
      </c>
      <c r="C40" s="123"/>
      <c r="D40" s="124">
        <f>D47*D45</f>
        <v>410500.00000000006</v>
      </c>
      <c r="E40" s="125"/>
      <c r="G40" s="123" t="s">
        <v>179</v>
      </c>
      <c r="H40" s="123"/>
      <c r="I40" s="124">
        <f>I45*I47</f>
        <v>410500.00000000006</v>
      </c>
      <c r="J40" s="125"/>
      <c r="L40" s="123" t="s">
        <v>129</v>
      </c>
      <c r="M40" s="123"/>
      <c r="N40" s="124">
        <f>N45*N47</f>
        <v>2117500</v>
      </c>
      <c r="O40" s="125"/>
      <c r="Q40" s="123" t="s">
        <v>179</v>
      </c>
      <c r="R40" s="123"/>
      <c r="S40" s="124">
        <f>S45*S47</f>
        <v>1045200</v>
      </c>
      <c r="T40" s="125"/>
    </row>
    <row r="41" spans="2:25" ht="11.25" x14ac:dyDescent="0.15">
      <c r="B41" s="123" t="s">
        <v>131</v>
      </c>
      <c r="C41" s="123"/>
      <c r="D41" s="124" t="s">
        <v>226</v>
      </c>
      <c r="E41" s="125"/>
      <c r="G41" s="123" t="s">
        <v>131</v>
      </c>
      <c r="H41" s="123"/>
      <c r="I41" s="124" t="s">
        <v>219</v>
      </c>
      <c r="J41" s="125"/>
      <c r="L41" s="123" t="s">
        <v>131</v>
      </c>
      <c r="M41" s="123"/>
      <c r="N41" s="124" t="s">
        <v>208</v>
      </c>
      <c r="O41" s="125"/>
      <c r="Q41" s="123" t="s">
        <v>131</v>
      </c>
      <c r="R41" s="123"/>
      <c r="S41" s="124" t="s">
        <v>219</v>
      </c>
      <c r="T41" s="125"/>
    </row>
    <row r="42" spans="2:25" ht="11.25" x14ac:dyDescent="0.15">
      <c r="B42" s="123" t="s">
        <v>134</v>
      </c>
      <c r="C42" s="123"/>
      <c r="D42" s="129">
        <f>D37+98</f>
        <v>43327</v>
      </c>
      <c r="E42" s="125"/>
      <c r="G42" s="123" t="s">
        <v>134</v>
      </c>
      <c r="H42" s="123"/>
      <c r="I42" s="129">
        <f>I37+98</f>
        <v>43327</v>
      </c>
      <c r="J42" s="125"/>
      <c r="L42" s="123" t="s">
        <v>134</v>
      </c>
      <c r="M42" s="123"/>
      <c r="N42" s="129">
        <v>43266</v>
      </c>
      <c r="O42" s="125"/>
      <c r="Q42" s="123" t="s">
        <v>134</v>
      </c>
      <c r="R42" s="123"/>
      <c r="S42" s="129">
        <v>43266</v>
      </c>
      <c r="T42" s="125"/>
    </row>
    <row r="43" spans="2:25" ht="11.25" x14ac:dyDescent="0.15">
      <c r="B43" s="123" t="s">
        <v>136</v>
      </c>
      <c r="C43" s="123"/>
      <c r="D43" s="124">
        <v>470.5</v>
      </c>
      <c r="E43" s="125"/>
      <c r="G43" s="123" t="s">
        <v>136</v>
      </c>
      <c r="H43" s="123"/>
      <c r="I43" s="124">
        <v>470.5</v>
      </c>
      <c r="J43" s="125"/>
      <c r="L43" s="123" t="s">
        <v>136</v>
      </c>
      <c r="M43" s="144"/>
      <c r="N43" s="124">
        <v>14535</v>
      </c>
      <c r="O43" s="125"/>
      <c r="Q43" s="123" t="s">
        <v>136</v>
      </c>
      <c r="R43" s="123"/>
      <c r="S43" s="124">
        <v>15250</v>
      </c>
      <c r="T43" s="125"/>
    </row>
    <row r="44" spans="2:25" ht="11.25" x14ac:dyDescent="0.15">
      <c r="B44" s="123" t="s">
        <v>138</v>
      </c>
      <c r="C44" s="123"/>
      <c r="D44" s="124">
        <v>470.5</v>
      </c>
      <c r="E44" s="125"/>
      <c r="F44" s="100">
        <f>D44*1.55/100</f>
        <v>7.2927499999999998</v>
      </c>
      <c r="G44" s="123" t="s">
        <v>138</v>
      </c>
      <c r="H44" s="123"/>
      <c r="I44" s="124">
        <v>470.5</v>
      </c>
      <c r="J44" s="125"/>
      <c r="L44" s="123" t="s">
        <v>138</v>
      </c>
      <c r="M44" s="123"/>
      <c r="N44" s="124">
        <v>14500</v>
      </c>
      <c r="O44" s="125"/>
      <c r="Q44" s="123" t="s">
        <v>138</v>
      </c>
      <c r="R44" s="123"/>
      <c r="S44" s="124">
        <v>14500</v>
      </c>
      <c r="T44" s="125"/>
    </row>
    <row r="45" spans="2:25" ht="11.25" x14ac:dyDescent="0.15">
      <c r="B45" s="123" t="s">
        <v>140</v>
      </c>
      <c r="C45" s="123"/>
      <c r="D45" s="124">
        <v>32.840000000000003</v>
      </c>
      <c r="E45" s="125"/>
      <c r="G45" s="123" t="s">
        <v>140</v>
      </c>
      <c r="H45" s="123"/>
      <c r="I45" s="124">
        <v>32.840000000000003</v>
      </c>
      <c r="J45" s="125"/>
      <c r="L45" s="123" t="s">
        <v>140</v>
      </c>
      <c r="M45" s="123"/>
      <c r="N45" s="124">
        <v>423.5</v>
      </c>
      <c r="O45" s="125"/>
      <c r="Q45" s="123" t="s">
        <v>198</v>
      </c>
      <c r="R45" s="123"/>
      <c r="S45" s="124">
        <v>209.04</v>
      </c>
      <c r="T45" s="125"/>
    </row>
    <row r="46" spans="2:25" ht="11.25" x14ac:dyDescent="0.15">
      <c r="B46" s="123" t="s">
        <v>199</v>
      </c>
      <c r="C46" s="123"/>
      <c r="D46" s="124" t="s">
        <v>202</v>
      </c>
      <c r="E46" s="125"/>
      <c r="G46" s="123" t="s">
        <v>142</v>
      </c>
      <c r="H46" s="123"/>
      <c r="I46" s="124" t="s">
        <v>202</v>
      </c>
      <c r="J46" s="125"/>
      <c r="L46" s="123" t="s">
        <v>142</v>
      </c>
      <c r="M46" s="123"/>
      <c r="N46" s="124" t="s">
        <v>210</v>
      </c>
      <c r="O46" s="125"/>
      <c r="Q46" s="123" t="s">
        <v>142</v>
      </c>
      <c r="R46" s="123"/>
      <c r="S46" s="124" t="s">
        <v>220</v>
      </c>
      <c r="T46" s="125"/>
    </row>
    <row r="47" spans="2:25" ht="11.25" x14ac:dyDescent="0.15">
      <c r="B47" s="123" t="s">
        <v>145</v>
      </c>
      <c r="C47" s="123"/>
      <c r="D47" s="124">
        <v>12500</v>
      </c>
      <c r="E47" s="125"/>
      <c r="G47" s="123" t="s">
        <v>145</v>
      </c>
      <c r="H47" s="123"/>
      <c r="I47" s="124">
        <v>12500</v>
      </c>
      <c r="J47" s="125"/>
      <c r="L47" s="123" t="s">
        <v>145</v>
      </c>
      <c r="M47" s="123"/>
      <c r="N47" s="124">
        <v>5000</v>
      </c>
      <c r="O47" s="125"/>
      <c r="Q47" s="123" t="s">
        <v>145</v>
      </c>
      <c r="R47" s="123"/>
      <c r="S47" s="124">
        <v>5000</v>
      </c>
      <c r="T47" s="125"/>
    </row>
    <row r="48" spans="2:25" ht="12" thickBot="1" x14ac:dyDescent="0.2">
      <c r="B48" s="126" t="s">
        <v>147</v>
      </c>
      <c r="C48" s="126"/>
      <c r="D48" s="127" t="s">
        <v>227</v>
      </c>
      <c r="E48" s="128"/>
      <c r="G48" s="126" t="s">
        <v>147</v>
      </c>
      <c r="H48" s="126"/>
      <c r="I48" s="127" t="s">
        <v>207</v>
      </c>
      <c r="J48" s="128"/>
      <c r="L48" s="126" t="s">
        <v>147</v>
      </c>
      <c r="M48" s="126"/>
      <c r="N48" s="127" t="s">
        <v>205</v>
      </c>
      <c r="O48" s="128"/>
      <c r="Q48" s="126" t="s">
        <v>147</v>
      </c>
      <c r="R48" s="126"/>
      <c r="S48" s="127" t="s">
        <v>207</v>
      </c>
      <c r="T48" s="128"/>
    </row>
    <row r="49" spans="2:20" ht="12.75" thickTop="1" thickBot="1" x14ac:dyDescent="0.2">
      <c r="B49" s="130" t="s">
        <v>121</v>
      </c>
      <c r="C49" s="130"/>
      <c r="D49" s="130"/>
      <c r="E49" s="130"/>
      <c r="G49" s="130" t="s">
        <v>206</v>
      </c>
      <c r="H49" s="130"/>
      <c r="I49" s="130"/>
      <c r="J49" s="130"/>
      <c r="L49" s="130" t="s">
        <v>189</v>
      </c>
      <c r="M49" s="130"/>
      <c r="N49" s="130"/>
      <c r="O49" s="130"/>
      <c r="Q49" s="130" t="s">
        <v>255</v>
      </c>
      <c r="R49" s="130"/>
      <c r="S49" s="130"/>
      <c r="T49" s="130"/>
    </row>
    <row r="50" spans="2:20" ht="12" thickTop="1" x14ac:dyDescent="0.15">
      <c r="B50" s="123" t="s">
        <v>122</v>
      </c>
      <c r="C50" s="123"/>
      <c r="D50" s="129">
        <v>43235</v>
      </c>
      <c r="E50" s="131"/>
      <c r="G50" s="123" t="s">
        <v>122</v>
      </c>
      <c r="H50" s="123"/>
      <c r="I50" s="129">
        <v>43236</v>
      </c>
      <c r="J50" s="131"/>
      <c r="L50" s="123" t="s">
        <v>122</v>
      </c>
      <c r="M50" s="123"/>
      <c r="N50" s="129">
        <v>43237</v>
      </c>
      <c r="O50" s="131"/>
      <c r="Q50" s="123" t="s">
        <v>122</v>
      </c>
      <c r="R50" s="123"/>
      <c r="S50" s="129">
        <v>43237</v>
      </c>
      <c r="T50" s="131"/>
    </row>
    <row r="51" spans="2:20" ht="11.25" x14ac:dyDescent="0.15">
      <c r="B51" s="123" t="s">
        <v>124</v>
      </c>
      <c r="C51" s="123"/>
      <c r="D51" s="124" t="s">
        <v>225</v>
      </c>
      <c r="E51" s="125"/>
      <c r="G51" s="123" t="s">
        <v>124</v>
      </c>
      <c r="H51" s="123"/>
      <c r="I51" s="124" t="s">
        <v>204</v>
      </c>
      <c r="J51" s="125"/>
      <c r="L51" s="123" t="s">
        <v>124</v>
      </c>
      <c r="M51" s="123"/>
      <c r="N51" s="124" t="s">
        <v>4</v>
      </c>
      <c r="O51" s="125"/>
      <c r="Q51" s="123" t="s">
        <v>124</v>
      </c>
      <c r="R51" s="123"/>
      <c r="S51" s="124" t="s">
        <v>4</v>
      </c>
      <c r="T51" s="125"/>
    </row>
    <row r="52" spans="2:20" ht="11.25" x14ac:dyDescent="0.15">
      <c r="B52" s="123" t="s">
        <v>127</v>
      </c>
      <c r="C52" s="123"/>
      <c r="D52" s="124" t="s">
        <v>250</v>
      </c>
      <c r="E52" s="125"/>
      <c r="G52" s="123" t="s">
        <v>127</v>
      </c>
      <c r="H52" s="123"/>
      <c r="I52" s="124" t="s">
        <v>4</v>
      </c>
      <c r="J52" s="125"/>
      <c r="L52" s="123" t="s">
        <v>127</v>
      </c>
      <c r="M52" s="123"/>
      <c r="N52" s="124" t="s">
        <v>36</v>
      </c>
      <c r="O52" s="125"/>
      <c r="Q52" s="123" t="s">
        <v>127</v>
      </c>
      <c r="R52" s="123"/>
      <c r="S52" s="124" t="s">
        <v>36</v>
      </c>
      <c r="T52" s="125"/>
    </row>
    <row r="53" spans="2:20" ht="11.25" x14ac:dyDescent="0.15">
      <c r="B53" s="123" t="s">
        <v>179</v>
      </c>
      <c r="C53" s="123"/>
      <c r="D53" s="124">
        <f>D58*D60</f>
        <v>280000</v>
      </c>
      <c r="E53" s="125"/>
      <c r="G53" s="123" t="s">
        <v>129</v>
      </c>
      <c r="H53" s="123"/>
      <c r="I53" s="124">
        <f>I58*I60</f>
        <v>936000</v>
      </c>
      <c r="J53" s="125"/>
      <c r="L53" s="123" t="s">
        <v>179</v>
      </c>
      <c r="M53" s="123"/>
      <c r="N53" s="124">
        <f>N58*N60</f>
        <v>1272000</v>
      </c>
      <c r="O53" s="125"/>
      <c r="Q53" s="123" t="s">
        <v>179</v>
      </c>
      <c r="R53" s="123"/>
      <c r="S53" s="124">
        <f>S58*S60</f>
        <v>1230000</v>
      </c>
      <c r="T53" s="125"/>
    </row>
    <row r="54" spans="2:20" ht="11.25" x14ac:dyDescent="0.15">
      <c r="B54" s="123" t="s">
        <v>131</v>
      </c>
      <c r="C54" s="123"/>
      <c r="D54" s="124" t="s">
        <v>190</v>
      </c>
      <c r="E54" s="125"/>
      <c r="G54" s="123" t="s">
        <v>131</v>
      </c>
      <c r="H54" s="123"/>
      <c r="I54" s="124" t="s">
        <v>208</v>
      </c>
      <c r="J54" s="125"/>
      <c r="L54" s="123" t="s">
        <v>131</v>
      </c>
      <c r="M54" s="123"/>
      <c r="N54" s="124" t="s">
        <v>132</v>
      </c>
      <c r="O54" s="125"/>
      <c r="Q54" s="123" t="s">
        <v>131</v>
      </c>
      <c r="R54" s="123"/>
      <c r="S54" s="124" t="s">
        <v>132</v>
      </c>
      <c r="T54" s="125"/>
    </row>
    <row r="55" spans="2:20" ht="11.25" x14ac:dyDescent="0.15">
      <c r="B55" s="123" t="s">
        <v>134</v>
      </c>
      <c r="C55" s="123"/>
      <c r="D55" s="129">
        <f>D50+87</f>
        <v>43322</v>
      </c>
      <c r="E55" s="125"/>
      <c r="G55" s="123" t="s">
        <v>134</v>
      </c>
      <c r="H55" s="123"/>
      <c r="I55" s="129">
        <v>43294</v>
      </c>
      <c r="J55" s="125"/>
      <c r="L55" s="123" t="s">
        <v>134</v>
      </c>
      <c r="M55" s="123"/>
      <c r="N55" s="129">
        <f>N50+85</f>
        <v>43322</v>
      </c>
      <c r="O55" s="125"/>
      <c r="Q55" s="123" t="s">
        <v>134</v>
      </c>
      <c r="R55" s="123"/>
      <c r="S55" s="129">
        <f>S50+85</f>
        <v>43322</v>
      </c>
      <c r="T55" s="125"/>
    </row>
    <row r="56" spans="2:20" ht="11.25" x14ac:dyDescent="0.15">
      <c r="B56" s="123" t="s">
        <v>136</v>
      </c>
      <c r="C56" s="123"/>
      <c r="D56" s="124">
        <v>14825</v>
      </c>
      <c r="E56" s="125"/>
      <c r="G56" s="123" t="s">
        <v>136</v>
      </c>
      <c r="H56" s="144"/>
      <c r="I56" s="124">
        <v>14730</v>
      </c>
      <c r="J56" s="125"/>
      <c r="L56" s="123" t="s">
        <v>136</v>
      </c>
      <c r="M56" s="123"/>
      <c r="N56" s="124">
        <v>482</v>
      </c>
      <c r="O56" s="125"/>
      <c r="Q56" s="123" t="s">
        <v>136</v>
      </c>
      <c r="R56" s="123"/>
      <c r="S56" s="124">
        <v>482.5</v>
      </c>
      <c r="T56" s="125"/>
    </row>
    <row r="57" spans="2:20" ht="11.25" x14ac:dyDescent="0.15">
      <c r="B57" s="123" t="s">
        <v>138</v>
      </c>
      <c r="C57" s="123"/>
      <c r="D57" s="124">
        <v>14100</v>
      </c>
      <c r="E57" s="125"/>
      <c r="G57" s="123" t="s">
        <v>138</v>
      </c>
      <c r="H57" s="123"/>
      <c r="I57" s="124">
        <v>14500</v>
      </c>
      <c r="J57" s="125"/>
      <c r="L57" s="123" t="s">
        <v>138</v>
      </c>
      <c r="M57" s="123"/>
      <c r="N57" s="124">
        <v>480</v>
      </c>
      <c r="O57" s="125"/>
      <c r="Q57" s="123" t="s">
        <v>138</v>
      </c>
      <c r="R57" s="123"/>
      <c r="S57" s="124">
        <v>430</v>
      </c>
      <c r="T57" s="125"/>
    </row>
    <row r="58" spans="2:20" ht="11.25" x14ac:dyDescent="0.15">
      <c r="B58" s="123" t="s">
        <v>140</v>
      </c>
      <c r="C58" s="123"/>
      <c r="D58" s="124">
        <v>140</v>
      </c>
      <c r="E58" s="125"/>
      <c r="G58" s="123" t="s">
        <v>140</v>
      </c>
      <c r="H58" s="123"/>
      <c r="I58" s="124">
        <v>312</v>
      </c>
      <c r="J58" s="125"/>
      <c r="L58" s="123" t="s">
        <v>140</v>
      </c>
      <c r="M58" s="123"/>
      <c r="N58" s="124">
        <v>31.8</v>
      </c>
      <c r="O58" s="125"/>
      <c r="Q58" s="123" t="s">
        <v>140</v>
      </c>
      <c r="R58" s="123"/>
      <c r="S58" s="124">
        <v>12.3</v>
      </c>
      <c r="T58" s="125"/>
    </row>
    <row r="59" spans="2:20" ht="11.25" x14ac:dyDescent="0.15">
      <c r="B59" s="123" t="s">
        <v>142</v>
      </c>
      <c r="C59" s="123"/>
      <c r="D59" s="124" t="s">
        <v>249</v>
      </c>
      <c r="E59" s="125"/>
      <c r="G59" s="123" t="s">
        <v>142</v>
      </c>
      <c r="H59" s="123"/>
      <c r="I59" s="124" t="s">
        <v>251</v>
      </c>
      <c r="J59" s="125"/>
      <c r="L59" s="123" t="s">
        <v>142</v>
      </c>
      <c r="M59" s="123"/>
      <c r="N59" s="124" t="s">
        <v>202</v>
      </c>
      <c r="O59" s="125"/>
      <c r="Q59" s="123" t="s">
        <v>142</v>
      </c>
      <c r="R59" s="123"/>
      <c r="S59" s="124" t="s">
        <v>202</v>
      </c>
      <c r="T59" s="125"/>
    </row>
    <row r="60" spans="2:20" ht="11.25" x14ac:dyDescent="0.15">
      <c r="B60" s="123" t="s">
        <v>145</v>
      </c>
      <c r="C60" s="123"/>
      <c r="D60" s="124">
        <v>2000</v>
      </c>
      <c r="E60" s="125"/>
      <c r="G60" s="123" t="s">
        <v>145</v>
      </c>
      <c r="H60" s="123"/>
      <c r="I60" s="124">
        <v>3000</v>
      </c>
      <c r="J60" s="125"/>
      <c r="L60" s="123" t="s">
        <v>145</v>
      </c>
      <c r="M60" s="123"/>
      <c r="N60" s="124">
        <v>40000</v>
      </c>
      <c r="O60" s="125"/>
      <c r="Q60" s="123" t="s">
        <v>145</v>
      </c>
      <c r="R60" s="123"/>
      <c r="S60" s="124">
        <v>100000</v>
      </c>
      <c r="T60" s="125"/>
    </row>
    <row r="61" spans="2:20" ht="12" thickBot="1" x14ac:dyDescent="0.2">
      <c r="B61" s="126" t="s">
        <v>147</v>
      </c>
      <c r="C61" s="126"/>
      <c r="D61" s="127" t="s">
        <v>207</v>
      </c>
      <c r="E61" s="128"/>
      <c r="G61" s="126" t="s">
        <v>147</v>
      </c>
      <c r="H61" s="126"/>
      <c r="I61" s="127" t="s">
        <v>205</v>
      </c>
      <c r="J61" s="128"/>
      <c r="L61" s="126" t="s">
        <v>147</v>
      </c>
      <c r="M61" s="126"/>
      <c r="N61" s="127" t="s">
        <v>207</v>
      </c>
      <c r="O61" s="128"/>
      <c r="Q61" s="126" t="s">
        <v>147</v>
      </c>
      <c r="R61" s="126"/>
      <c r="S61" s="127" t="s">
        <v>207</v>
      </c>
      <c r="T61" s="128"/>
    </row>
    <row r="62" spans="2:20" ht="11.25" thickTop="1" x14ac:dyDescent="0.15"/>
    <row r="63" spans="2:20" ht="12" thickBot="1" x14ac:dyDescent="0.2">
      <c r="G63" s="130" t="s">
        <v>256</v>
      </c>
      <c r="H63" s="130"/>
      <c r="I63" s="130"/>
      <c r="J63" s="130"/>
    </row>
    <row r="64" spans="2:20" ht="12" thickTop="1" x14ac:dyDescent="0.15">
      <c r="G64" s="123" t="s">
        <v>122</v>
      </c>
      <c r="H64" s="123"/>
      <c r="I64" s="129">
        <v>43237</v>
      </c>
      <c r="J64" s="131"/>
    </row>
    <row r="65" spans="7:10" ht="11.25" x14ac:dyDescent="0.15">
      <c r="G65" s="123" t="s">
        <v>124</v>
      </c>
      <c r="H65" s="123"/>
      <c r="I65" s="124" t="s">
        <v>4</v>
      </c>
      <c r="J65" s="125"/>
    </row>
    <row r="66" spans="7:10" ht="11.25" x14ac:dyDescent="0.15">
      <c r="G66" s="123" t="s">
        <v>127</v>
      </c>
      <c r="H66" s="123"/>
      <c r="I66" s="124" t="s">
        <v>36</v>
      </c>
      <c r="J66" s="125"/>
    </row>
    <row r="67" spans="7:10" ht="11.25" x14ac:dyDescent="0.15">
      <c r="G67" s="123" t="s">
        <v>179</v>
      </c>
      <c r="H67" s="123"/>
      <c r="I67" s="124">
        <f>I72*I74</f>
        <v>1230000</v>
      </c>
      <c r="J67" s="125"/>
    </row>
    <row r="68" spans="7:10" ht="11.25" x14ac:dyDescent="0.15">
      <c r="G68" s="123" t="s">
        <v>131</v>
      </c>
      <c r="H68" s="123"/>
      <c r="I68" s="124" t="s">
        <v>132</v>
      </c>
      <c r="J68" s="125"/>
    </row>
    <row r="69" spans="7:10" ht="11.25" x14ac:dyDescent="0.15">
      <c r="G69" s="123" t="s">
        <v>134</v>
      </c>
      <c r="H69" s="123"/>
      <c r="I69" s="129">
        <f>I64+85</f>
        <v>43322</v>
      </c>
      <c r="J69" s="125"/>
    </row>
    <row r="70" spans="7:10" ht="11.25" x14ac:dyDescent="0.15">
      <c r="G70" s="123" t="s">
        <v>136</v>
      </c>
      <c r="H70" s="123"/>
      <c r="I70" s="124">
        <v>482.5</v>
      </c>
      <c r="J70" s="125"/>
    </row>
    <row r="71" spans="7:10" ht="11.25" x14ac:dyDescent="0.15">
      <c r="G71" s="123" t="s">
        <v>138</v>
      </c>
      <c r="H71" s="123"/>
      <c r="I71" s="124">
        <v>430</v>
      </c>
      <c r="J71" s="125"/>
    </row>
    <row r="72" spans="7:10" ht="11.25" x14ac:dyDescent="0.15">
      <c r="G72" s="123" t="s">
        <v>140</v>
      </c>
      <c r="H72" s="123"/>
      <c r="I72" s="124">
        <v>12.3</v>
      </c>
      <c r="J72" s="125"/>
    </row>
    <row r="73" spans="7:10" ht="11.25" x14ac:dyDescent="0.15">
      <c r="G73" s="123" t="s">
        <v>142</v>
      </c>
      <c r="H73" s="123"/>
      <c r="I73" s="124" t="s">
        <v>202</v>
      </c>
      <c r="J73" s="125"/>
    </row>
    <row r="74" spans="7:10" ht="11.25" x14ac:dyDescent="0.15">
      <c r="G74" s="123" t="s">
        <v>145</v>
      </c>
      <c r="H74" s="123"/>
      <c r="I74" s="124">
        <v>100000</v>
      </c>
      <c r="J74" s="125"/>
    </row>
    <row r="75" spans="7:10" ht="12" thickBot="1" x14ac:dyDescent="0.2">
      <c r="G75" s="126" t="s">
        <v>147</v>
      </c>
      <c r="H75" s="126"/>
      <c r="I75" s="127" t="s">
        <v>207</v>
      </c>
      <c r="J75" s="128"/>
    </row>
    <row r="76" spans="7:10" ht="11.25" thickTop="1" x14ac:dyDescent="0.15"/>
  </sheetData>
  <mergeCells count="451">
    <mergeCell ref="L59:M59"/>
    <mergeCell ref="N59:O59"/>
    <mergeCell ref="L60:M60"/>
    <mergeCell ref="N60:O60"/>
    <mergeCell ref="L61:M61"/>
    <mergeCell ref="N61:O61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49:O49"/>
    <mergeCell ref="L50:M50"/>
    <mergeCell ref="N50:O50"/>
    <mergeCell ref="L51:M51"/>
    <mergeCell ref="N51:O51"/>
    <mergeCell ref="L52:M52"/>
    <mergeCell ref="N52:O52"/>
    <mergeCell ref="L53:M53"/>
    <mergeCell ref="N53:O53"/>
    <mergeCell ref="G59:H59"/>
    <mergeCell ref="I59:J59"/>
    <mergeCell ref="G60:H60"/>
    <mergeCell ref="I60:J60"/>
    <mergeCell ref="G61:H61"/>
    <mergeCell ref="I61:J61"/>
    <mergeCell ref="G54:H54"/>
    <mergeCell ref="I54:J54"/>
    <mergeCell ref="G55:H55"/>
    <mergeCell ref="I55:J55"/>
    <mergeCell ref="G56:H56"/>
    <mergeCell ref="I56:J56"/>
    <mergeCell ref="G57:H57"/>
    <mergeCell ref="I57:J57"/>
    <mergeCell ref="G58:H58"/>
    <mergeCell ref="I58:J58"/>
    <mergeCell ref="G49:J49"/>
    <mergeCell ref="G50:H50"/>
    <mergeCell ref="I50:J50"/>
    <mergeCell ref="G51:H51"/>
    <mergeCell ref="I51:J51"/>
    <mergeCell ref="G52:H52"/>
    <mergeCell ref="I52:J52"/>
    <mergeCell ref="G53:H53"/>
    <mergeCell ref="I53:J53"/>
    <mergeCell ref="L47:M47"/>
    <mergeCell ref="N47:O47"/>
    <mergeCell ref="L48:M48"/>
    <mergeCell ref="N48:O48"/>
    <mergeCell ref="N38:O38"/>
    <mergeCell ref="N39:O39"/>
    <mergeCell ref="L41:M41"/>
    <mergeCell ref="N41:O41"/>
    <mergeCell ref="L42:M42"/>
    <mergeCell ref="N42:O42"/>
    <mergeCell ref="L43:M43"/>
    <mergeCell ref="N43:O43"/>
    <mergeCell ref="L44:M44"/>
    <mergeCell ref="N44:O44"/>
    <mergeCell ref="L45:M45"/>
    <mergeCell ref="N45:O45"/>
    <mergeCell ref="L36:O36"/>
    <mergeCell ref="L37:M37"/>
    <mergeCell ref="N37:O37"/>
    <mergeCell ref="L38:M38"/>
    <mergeCell ref="L39:M39"/>
    <mergeCell ref="L40:M40"/>
    <mergeCell ref="N40:O40"/>
    <mergeCell ref="G46:H46"/>
    <mergeCell ref="I46:J46"/>
    <mergeCell ref="G36:J36"/>
    <mergeCell ref="G37:H37"/>
    <mergeCell ref="I37:J37"/>
    <mergeCell ref="G38:H38"/>
    <mergeCell ref="I38:J38"/>
    <mergeCell ref="G39:H39"/>
    <mergeCell ref="I39:J39"/>
    <mergeCell ref="G40:H40"/>
    <mergeCell ref="I40:J40"/>
    <mergeCell ref="L46:M46"/>
    <mergeCell ref="N46:O46"/>
    <mergeCell ref="G47:H47"/>
    <mergeCell ref="I47:J47"/>
    <mergeCell ref="G48:H48"/>
    <mergeCell ref="I48:J48"/>
    <mergeCell ref="G41:H41"/>
    <mergeCell ref="I41:J41"/>
    <mergeCell ref="G42:H42"/>
    <mergeCell ref="I42:J42"/>
    <mergeCell ref="G43:H43"/>
    <mergeCell ref="I43:J43"/>
    <mergeCell ref="G44:H44"/>
    <mergeCell ref="I44:J44"/>
    <mergeCell ref="G45:H45"/>
    <mergeCell ref="I45:J45"/>
    <mergeCell ref="V32:W32"/>
    <mergeCell ref="X32:Y32"/>
    <mergeCell ref="V33:W33"/>
    <mergeCell ref="X33:Y33"/>
    <mergeCell ref="V34:W34"/>
    <mergeCell ref="X34:Y34"/>
    <mergeCell ref="Q32:R32"/>
    <mergeCell ref="S32:T32"/>
    <mergeCell ref="Q33:R33"/>
    <mergeCell ref="S33:T33"/>
    <mergeCell ref="Q34:R34"/>
    <mergeCell ref="S34:T34"/>
    <mergeCell ref="V22:Y22"/>
    <mergeCell ref="V23:W23"/>
    <mergeCell ref="X23:Y23"/>
    <mergeCell ref="V24:W24"/>
    <mergeCell ref="X24:Y24"/>
    <mergeCell ref="V25:W25"/>
    <mergeCell ref="X25:Y25"/>
    <mergeCell ref="V26:W26"/>
    <mergeCell ref="X26:Y26"/>
    <mergeCell ref="V27:W27"/>
    <mergeCell ref="X27:Y27"/>
    <mergeCell ref="V28:W28"/>
    <mergeCell ref="X28:Y28"/>
    <mergeCell ref="V29:W29"/>
    <mergeCell ref="X29:Y29"/>
    <mergeCell ref="V30:W30"/>
    <mergeCell ref="X30:Y30"/>
    <mergeCell ref="V31:W31"/>
    <mergeCell ref="X31:Y31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22:T22"/>
    <mergeCell ref="Q23:R23"/>
    <mergeCell ref="S23:T23"/>
    <mergeCell ref="Q24:R24"/>
    <mergeCell ref="S24:T24"/>
    <mergeCell ref="Q25:R25"/>
    <mergeCell ref="S25:T25"/>
    <mergeCell ref="Q26:R26"/>
    <mergeCell ref="S26:T26"/>
    <mergeCell ref="L32:M32"/>
    <mergeCell ref="N32:O32"/>
    <mergeCell ref="L33:M33"/>
    <mergeCell ref="N33:O33"/>
    <mergeCell ref="L34:M34"/>
    <mergeCell ref="N34:O34"/>
    <mergeCell ref="L27:M27"/>
    <mergeCell ref="N27:O27"/>
    <mergeCell ref="L28:M28"/>
    <mergeCell ref="N28:O28"/>
    <mergeCell ref="L29:M29"/>
    <mergeCell ref="N29:O29"/>
    <mergeCell ref="L30:M30"/>
    <mergeCell ref="N30:O30"/>
    <mergeCell ref="L31:M31"/>
    <mergeCell ref="N31:O31"/>
    <mergeCell ref="L22:O22"/>
    <mergeCell ref="L23:M23"/>
    <mergeCell ref="N23:O23"/>
    <mergeCell ref="L24:M24"/>
    <mergeCell ref="N24:O24"/>
    <mergeCell ref="L25:M25"/>
    <mergeCell ref="N25:O25"/>
    <mergeCell ref="L26:M26"/>
    <mergeCell ref="N26:O26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G23:H23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G33:H33"/>
    <mergeCell ref="I33:J33"/>
    <mergeCell ref="G34:H34"/>
    <mergeCell ref="I34:J34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G26:H26"/>
    <mergeCell ref="I30:J30"/>
    <mergeCell ref="B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6:C46"/>
    <mergeCell ref="D46:E46"/>
    <mergeCell ref="B47:C47"/>
    <mergeCell ref="D47:E47"/>
    <mergeCell ref="B48:C48"/>
    <mergeCell ref="D48:E48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  <mergeCell ref="Q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6:R46"/>
    <mergeCell ref="S46:T46"/>
    <mergeCell ref="Q47:R47"/>
    <mergeCell ref="S47:T47"/>
    <mergeCell ref="Q48:R48"/>
    <mergeCell ref="S48:T48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B49:E49"/>
    <mergeCell ref="B50:C50"/>
    <mergeCell ref="D50:E50"/>
    <mergeCell ref="B51:C51"/>
    <mergeCell ref="D51:E51"/>
    <mergeCell ref="B52:C52"/>
    <mergeCell ref="D52:E52"/>
    <mergeCell ref="B53:C53"/>
    <mergeCell ref="D53:E53"/>
    <mergeCell ref="B59:C59"/>
    <mergeCell ref="D59:E59"/>
    <mergeCell ref="B60:C60"/>
    <mergeCell ref="D60:E60"/>
    <mergeCell ref="B61:C61"/>
    <mergeCell ref="D61:E61"/>
    <mergeCell ref="B54:C54"/>
    <mergeCell ref="D54:E54"/>
    <mergeCell ref="B55:C55"/>
    <mergeCell ref="D55:E55"/>
    <mergeCell ref="B56:C56"/>
    <mergeCell ref="D56:E56"/>
    <mergeCell ref="B57:C57"/>
    <mergeCell ref="D57:E57"/>
    <mergeCell ref="B58:C58"/>
    <mergeCell ref="D58:E58"/>
    <mergeCell ref="Q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9:R59"/>
    <mergeCell ref="S59:T59"/>
    <mergeCell ref="Q60:R60"/>
    <mergeCell ref="S60:T60"/>
    <mergeCell ref="Q61:R61"/>
    <mergeCell ref="S61:T61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G63:J63"/>
    <mergeCell ref="G64:H64"/>
    <mergeCell ref="I64:J64"/>
    <mergeCell ref="G65:H65"/>
    <mergeCell ref="I65:J65"/>
    <mergeCell ref="G66:H66"/>
    <mergeCell ref="I66:J66"/>
    <mergeCell ref="G67:H67"/>
    <mergeCell ref="I67:J67"/>
    <mergeCell ref="G73:H73"/>
    <mergeCell ref="I73:J73"/>
    <mergeCell ref="G74:H74"/>
    <mergeCell ref="I74:J74"/>
    <mergeCell ref="G75:H75"/>
    <mergeCell ref="I75:J75"/>
    <mergeCell ref="G68:H68"/>
    <mergeCell ref="I68:J68"/>
    <mergeCell ref="G69:H69"/>
    <mergeCell ref="I69:J69"/>
    <mergeCell ref="G70:H70"/>
    <mergeCell ref="I70:J70"/>
    <mergeCell ref="G71:H71"/>
    <mergeCell ref="I71:J71"/>
    <mergeCell ref="G72:H72"/>
    <mergeCell ref="I72:J7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40"/>
  <sheetViews>
    <sheetView tabSelected="1" topLeftCell="C4" zoomScaleNormal="100" workbookViewId="0">
      <selection activeCell="H46" sqref="H46"/>
    </sheetView>
  </sheetViews>
  <sheetFormatPr defaultColWidth="9" defaultRowHeight="11.25" x14ac:dyDescent="0.15"/>
  <cols>
    <col min="1" max="1" width="8.125" style="6" customWidth="1"/>
    <col min="2" max="2" width="27" style="6" customWidth="1"/>
    <col min="3" max="3" width="19.375" style="6" customWidth="1"/>
    <col min="4" max="4" width="13.875" style="6" bestFit="1" customWidth="1"/>
    <col min="5" max="6" width="9" style="6"/>
    <col min="7" max="7" width="9.75" style="6" bestFit="1" customWidth="1"/>
    <col min="8" max="8" width="15" style="6" customWidth="1"/>
    <col min="9" max="9" width="11" style="6" customWidth="1"/>
    <col min="10" max="10" width="8.125" style="6" customWidth="1"/>
    <col min="11" max="11" width="7.25" style="6" customWidth="1"/>
    <col min="12" max="12" width="15.75" style="6" customWidth="1"/>
    <col min="13" max="13" width="7.75" style="6" customWidth="1"/>
    <col min="14" max="14" width="10" style="6" customWidth="1"/>
    <col min="15" max="15" width="8.625" style="6" customWidth="1"/>
    <col min="16" max="16" width="13" style="6" bestFit="1" customWidth="1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25" width="9" style="6"/>
    <col min="26" max="26" width="15.5" style="6" bestFit="1" customWidth="1"/>
    <col min="27" max="16384" width="9" style="6"/>
  </cols>
  <sheetData>
    <row r="1" spans="1:26" ht="13.5" customHeight="1" thickBot="1" x14ac:dyDescent="0.2">
      <c r="B1" s="145" t="s">
        <v>37</v>
      </c>
      <c r="C1" s="145"/>
    </row>
    <row r="2" spans="1:26" ht="12" thickTop="1" x14ac:dyDescent="0.15">
      <c r="B2" s="3" t="s">
        <v>0</v>
      </c>
      <c r="C2" s="4">
        <v>43111</v>
      </c>
    </row>
    <row r="3" spans="1:26" ht="13.5" x14ac:dyDescent="0.15">
      <c r="A3" s="39" t="s">
        <v>193</v>
      </c>
      <c r="B3" s="3" t="s">
        <v>1</v>
      </c>
      <c r="C3" s="3">
        <v>0.02</v>
      </c>
    </row>
    <row r="4" spans="1:26" ht="12" thickBot="1" x14ac:dyDescent="0.2">
      <c r="B4" s="5" t="s">
        <v>18</v>
      </c>
      <c r="C4" s="5">
        <v>0.01</v>
      </c>
    </row>
    <row r="5" spans="1:26" ht="12" thickTop="1" x14ac:dyDescent="0.15"/>
    <row r="6" spans="1:26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6" ht="12.75" thickTop="1" thickBot="1" x14ac:dyDescent="0.2">
      <c r="B7" s="18" t="s">
        <v>170</v>
      </c>
      <c r="C7" s="18" t="s">
        <v>2</v>
      </c>
      <c r="D7" s="17" t="s">
        <v>181</v>
      </c>
      <c r="E7" s="17" t="s">
        <v>180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182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6" ht="10.5" customHeight="1" thickTop="1" x14ac:dyDescent="0.15">
      <c r="A8" s="34"/>
      <c r="B8" s="13" t="s">
        <v>172</v>
      </c>
      <c r="C8" s="10" t="s">
        <v>161</v>
      </c>
      <c r="D8" s="10" t="s">
        <v>203</v>
      </c>
      <c r="E8" s="8">
        <f t="shared" ref="E8:E9" ca="1" si="0">TODAY()</f>
        <v>43244</v>
      </c>
      <c r="F8" s="8">
        <f t="shared" ref="F8" ca="1" si="1">E8+H8</f>
        <v>43335</v>
      </c>
      <c r="G8" s="10">
        <v>11500</v>
      </c>
      <c r="H8" s="10">
        <v>91</v>
      </c>
      <c r="I8" s="12">
        <f>H8/365</f>
        <v>0.24931506849315069</v>
      </c>
      <c r="J8" s="12">
        <v>0</v>
      </c>
      <c r="K8" s="9">
        <v>0.21</v>
      </c>
      <c r="L8" s="13">
        <f>_xll.dnetGBlackScholesNGreeks("price",$Q8,$P8,$G8,$I8,$C$3,$J8,$K8,$C$4)*R8</f>
        <v>-3.6327982022677929</v>
      </c>
      <c r="M8" s="15"/>
      <c r="N8" s="13">
        <f t="shared" ref="N8" si="2">M8/10000*I8*P8</f>
        <v>0</v>
      </c>
      <c r="O8" s="13">
        <f>IF(L8&lt;=0,ABS(L8)+N8,L8-N8)</f>
        <v>3.6327982022677929</v>
      </c>
      <c r="P8" s="11">
        <f>RTD("wdf.rtq",,D8,"LastPrice")</f>
        <v>14800</v>
      </c>
      <c r="Q8" s="10" t="s">
        <v>85</v>
      </c>
      <c r="R8" s="10">
        <f t="shared" ref="R8" si="3">IF(S8="中金买入",1,-1)</f>
        <v>-1</v>
      </c>
      <c r="S8" s="10" t="s">
        <v>20</v>
      </c>
      <c r="T8" s="14">
        <f t="shared" ref="T8" si="4">O8/P8</f>
        <v>2.4545933799106711E-4</v>
      </c>
      <c r="U8" s="13">
        <f>_xll.dnetGBlackScholesNGreeks("delta",$Q8,$P8,$G8,$I8,$C$3,$J8,$K8,$C$4)*R8</f>
        <v>6.9432869970853517E-3</v>
      </c>
      <c r="V8" s="13">
        <f>_xll.dnetGBlackScholesNGreeks("vega",$Q8,$P8,$G8,$I8,$C$3,$J8,$K8,$C$4)*R8</f>
        <v>-1.4376044594581785</v>
      </c>
    </row>
    <row r="9" spans="1:26" ht="10.5" customHeight="1" x14ac:dyDescent="0.15">
      <c r="A9" s="34"/>
      <c r="B9" s="13" t="s">
        <v>172</v>
      </c>
      <c r="C9" s="10" t="s">
        <v>161</v>
      </c>
      <c r="D9" s="10" t="s">
        <v>203</v>
      </c>
      <c r="E9" s="8">
        <f t="shared" ca="1" si="0"/>
        <v>43244</v>
      </c>
      <c r="F9" s="8">
        <f t="shared" ref="F9" ca="1" si="5">E9+H9</f>
        <v>43791.5</v>
      </c>
      <c r="G9" s="10">
        <v>100</v>
      </c>
      <c r="H9" s="10">
        <f>365*1.5</f>
        <v>547.5</v>
      </c>
      <c r="I9" s="12">
        <f>H9/365</f>
        <v>1.5</v>
      </c>
      <c r="J9" s="12">
        <v>-0.02</v>
      </c>
      <c r="K9" s="9">
        <v>0.24</v>
      </c>
      <c r="L9" s="13">
        <f>_xll.dnetGBlackScholesNGreeks("price",$Q9,$P9,$G9,$I9,$C$3,$J9,$K9,$C$4)*R9</f>
        <v>-9.7951575710743981</v>
      </c>
      <c r="M9" s="15"/>
      <c r="N9" s="13">
        <f t="shared" ref="N9:N10" si="6">M9/10000*I9*P9</f>
        <v>0</v>
      </c>
      <c r="O9" s="13">
        <f>IF(L9&lt;=0,ABS(L9)+N9,L9-N9)</f>
        <v>9.7951575710743981</v>
      </c>
      <c r="P9" s="11">
        <v>100</v>
      </c>
      <c r="Q9" s="10" t="s">
        <v>39</v>
      </c>
      <c r="R9" s="10">
        <f t="shared" ref="R9" si="7">IF(S9="中金买入",1,-1)</f>
        <v>-1</v>
      </c>
      <c r="S9" s="10" t="s">
        <v>20</v>
      </c>
      <c r="T9" s="14">
        <f t="shared" ref="T9" si="8">O9/P9</f>
        <v>9.7951575710743977E-2</v>
      </c>
      <c r="U9" s="13">
        <f>_xll.dnetGBlackScholesNGreeks("delta",$Q9,$P9,$G9,$I9,$C$3,$J9,$K9,$C$4)*R9</f>
        <v>-0.48774870742995802</v>
      </c>
      <c r="V9" s="13">
        <f>_xll.dnetGBlackScholesNGreeks("vega",$Q9,$P9,$G9,$I9,$C$3,$J9,$K9,$C$4)*R9</f>
        <v>-0.45967774731490252</v>
      </c>
    </row>
    <row r="10" spans="1:26" x14ac:dyDescent="0.15">
      <c r="N10" s="6">
        <f t="shared" si="6"/>
        <v>0</v>
      </c>
    </row>
    <row r="11" spans="1:26" x14ac:dyDescent="0.15">
      <c r="E11" s="117"/>
      <c r="F11" s="117"/>
    </row>
    <row r="12" spans="1:26" ht="10.5" customHeight="1" x14ac:dyDescent="0.15">
      <c r="A12" s="34"/>
      <c r="B12" s="13" t="s">
        <v>172</v>
      </c>
      <c r="C12" s="10" t="s">
        <v>160</v>
      </c>
      <c r="D12" s="10" t="s">
        <v>202</v>
      </c>
      <c r="E12" s="8">
        <f t="shared" ref="E12:E40" ca="1" si="9">TODAY()</f>
        <v>43244</v>
      </c>
      <c r="F12" s="8">
        <f t="shared" ref="F12" ca="1" si="10">E12+H12</f>
        <v>43325</v>
      </c>
      <c r="G12" s="11">
        <v>480</v>
      </c>
      <c r="H12" s="10">
        <v>81</v>
      </c>
      <c r="I12" s="12">
        <f t="shared" ref="I12:I13" si="11">H12/365</f>
        <v>0.22191780821917809</v>
      </c>
      <c r="J12" s="12">
        <v>0</v>
      </c>
      <c r="K12" s="116">
        <v>0.36499999999999999</v>
      </c>
      <c r="L12" s="13">
        <f>_xll.dnetGBlackScholesNGreeks("price",$Q12,$P12,$G12,$I12,$C$3,$J12,$K12,$C$4)*R12</f>
        <v>-43.269485409732511</v>
      </c>
      <c r="M12" s="15"/>
      <c r="N12" s="13">
        <f t="shared" ref="N12" si="12">M12/10000*I12*P12</f>
        <v>0</v>
      </c>
      <c r="O12" s="13">
        <f t="shared" ref="O12:O13" si="13">IF(L12&lt;=0,ABS(L12)+N12,L12-N12)</f>
        <v>43.269485409732511</v>
      </c>
      <c r="P12" s="121">
        <f>RTD("wdf.rtq",,D12,"LastPrice")</f>
        <v>459.5</v>
      </c>
      <c r="Q12" s="10" t="s">
        <v>85</v>
      </c>
      <c r="R12" s="10">
        <f t="shared" ref="R12" si="14">IF(S12="中金买入",1,-1)</f>
        <v>-1</v>
      </c>
      <c r="S12" s="10" t="s">
        <v>20</v>
      </c>
      <c r="T12" s="14">
        <f t="shared" ref="T12" si="15">O12/P12</f>
        <v>9.4166453557633326E-2</v>
      </c>
      <c r="U12" s="13">
        <f>_xll.dnetGBlackScholesNGreeks("delta",$Q12,$P12,$G12,$I12,$C$3,$J12,$K12,$C$4)*R12</f>
        <v>0.56414844360119787</v>
      </c>
      <c r="V12" s="13">
        <f>_xll.dnetGBlackScholesNGreeks("vega",$Q12,$P12,$G12,$I12,$C$3,$J12,$K12,$C$4)*R12</f>
        <v>-0.84768395430526766</v>
      </c>
      <c r="W12" s="114">
        <v>37.799999999999997</v>
      </c>
      <c r="X12" s="115">
        <f t="shared" ref="X12:X13" si="16">G12-W12</f>
        <v>442.2</v>
      </c>
      <c r="Y12" s="6">
        <f t="shared" ref="Y12:Y13" si="17">500*U12</f>
        <v>282.07422180059893</v>
      </c>
      <c r="Z12" s="6">
        <f t="shared" ref="Z12:Z13" si="18">1000000/P12/10</f>
        <v>217.6278563656148</v>
      </c>
    </row>
    <row r="13" spans="1:26" ht="10.5" customHeight="1" x14ac:dyDescent="0.15">
      <c r="A13" s="34"/>
      <c r="B13" s="13" t="s">
        <v>172</v>
      </c>
      <c r="C13" s="10" t="s">
        <v>160</v>
      </c>
      <c r="D13" s="10" t="s">
        <v>202</v>
      </c>
      <c r="E13" s="8">
        <f t="shared" ca="1" si="9"/>
        <v>43244</v>
      </c>
      <c r="F13" s="8">
        <f t="shared" ref="F13" ca="1" si="19">E13+H13</f>
        <v>43325</v>
      </c>
      <c r="G13" s="11">
        <v>430</v>
      </c>
      <c r="H13" s="10">
        <v>81</v>
      </c>
      <c r="I13" s="12">
        <f t="shared" si="11"/>
        <v>0.22191780821917809</v>
      </c>
      <c r="J13" s="12">
        <v>0</v>
      </c>
      <c r="K13" s="116">
        <v>0.36499999999999999</v>
      </c>
      <c r="L13" s="13">
        <f>_xll.dnetGBlackScholesNGreeks("price",$Q13,$P13,$G13,$I13,$C$3,$J13,$K13,$C$4)*R13</f>
        <v>-17.87558512457619</v>
      </c>
      <c r="M13" s="15"/>
      <c r="N13" s="13">
        <f t="shared" ref="N13" si="20">M13/10000*I13*P13</f>
        <v>0</v>
      </c>
      <c r="O13" s="13">
        <f t="shared" si="13"/>
        <v>17.87558512457619</v>
      </c>
      <c r="P13" s="121">
        <f>RTD("wdf.rtq",,D13,"LastPrice")</f>
        <v>459.5</v>
      </c>
      <c r="Q13" s="10" t="s">
        <v>85</v>
      </c>
      <c r="R13" s="10">
        <f t="shared" ref="R13" si="21">IF(S13="中金买入",1,-1)</f>
        <v>-1</v>
      </c>
      <c r="S13" s="10" t="s">
        <v>20</v>
      </c>
      <c r="T13" s="14">
        <f t="shared" ref="T13" si="22">O13/P13</f>
        <v>3.8902252719425878E-2</v>
      </c>
      <c r="U13" s="13">
        <f>_xll.dnetGBlackScholesNGreeks("delta",$Q13,$P13,$G13,$I13,$C$3,$J13,$K13,$C$4)*R13</f>
        <v>0.31709790085869827</v>
      </c>
      <c r="V13" s="13">
        <f>_xll.dnetGBlackScholesNGreeks("vega",$Q13,$P13,$G13,$I13,$C$3,$J13,$K13,$C$4)*R13</f>
        <v>-0.76911172214587964</v>
      </c>
      <c r="W13" s="114">
        <v>37.799999999999997</v>
      </c>
      <c r="X13" s="115">
        <f t="shared" si="16"/>
        <v>392.2</v>
      </c>
      <c r="Y13" s="6">
        <f t="shared" si="17"/>
        <v>158.54895042934913</v>
      </c>
      <c r="Z13" s="6">
        <f t="shared" si="18"/>
        <v>217.6278563656148</v>
      </c>
    </row>
    <row r="14" spans="1:26" ht="10.5" customHeight="1" x14ac:dyDescent="0.15">
      <c r="A14" s="34"/>
      <c r="B14" s="13" t="s">
        <v>172</v>
      </c>
      <c r="C14" s="10" t="s">
        <v>160</v>
      </c>
      <c r="D14" s="10" t="s">
        <v>202</v>
      </c>
      <c r="E14" s="8">
        <f t="shared" ca="1" si="9"/>
        <v>43244</v>
      </c>
      <c r="F14" s="8">
        <f t="shared" ref="F14" ca="1" si="23">E14+H14</f>
        <v>43325</v>
      </c>
      <c r="G14" s="11">
        <v>465</v>
      </c>
      <c r="H14" s="10">
        <v>81</v>
      </c>
      <c r="I14" s="12">
        <f t="shared" ref="I14" si="24">H14/365</f>
        <v>0.22191780821917809</v>
      </c>
      <c r="J14" s="12">
        <v>0</v>
      </c>
      <c r="K14" s="116">
        <v>0.36499999999999999</v>
      </c>
      <c r="L14" s="13">
        <f>_xll.dnetGBlackScholesNGreeks("price",$Q14,$P14,$G14,$I14,$C$3,$J14,$K14,$C$4)*R14</f>
        <v>-34.342344338017426</v>
      </c>
      <c r="M14" s="15"/>
      <c r="N14" s="13">
        <f t="shared" ref="N14" si="25">M14/10000*I14*P14</f>
        <v>0</v>
      </c>
      <c r="O14" s="13">
        <f t="shared" ref="O14" si="26">IF(L14&lt;=0,ABS(L14)+N14,L14-N14)</f>
        <v>34.342344338017426</v>
      </c>
      <c r="P14" s="121">
        <f>RTD("wdf.rtq",,D14,"LastPrice")</f>
        <v>459.5</v>
      </c>
      <c r="Q14" s="10" t="s">
        <v>85</v>
      </c>
      <c r="R14" s="10">
        <f t="shared" ref="R14" si="27">IF(S14="中金买入",1,-1)</f>
        <v>-1</v>
      </c>
      <c r="S14" s="10" t="s">
        <v>20</v>
      </c>
      <c r="T14" s="14">
        <f t="shared" ref="T14" si="28">O14/P14</f>
        <v>7.4738507808525409E-2</v>
      </c>
      <c r="U14" s="13">
        <f>_xll.dnetGBlackScholesNGreeks("delta",$Q14,$P14,$G14,$I14,$C$3,$J14,$K14,$C$4)*R14</f>
        <v>0.49112421069850143</v>
      </c>
      <c r="V14" s="13">
        <f>_xll.dnetGBlackScholesNGreeks("vega",$Q14,$P14,$G14,$I14,$C$3,$J14,$K14,$C$4)*R14</f>
        <v>-0.85961073771429142</v>
      </c>
      <c r="W14" s="114">
        <v>37.799999999999997</v>
      </c>
      <c r="X14" s="115">
        <f t="shared" ref="X14" si="29">G14-W14</f>
        <v>427.2</v>
      </c>
      <c r="Y14" s="6">
        <f t="shared" ref="Y14" si="30">500*U14</f>
        <v>245.56210534925071</v>
      </c>
      <c r="Z14" s="6">
        <f t="shared" ref="Z14" si="31">1000000/P14/10</f>
        <v>217.6278563656148</v>
      </c>
    </row>
    <row r="15" spans="1:26" x14ac:dyDescent="0.15">
      <c r="F15" s="117"/>
      <c r="G15" s="117"/>
    </row>
    <row r="16" spans="1:26" x14ac:dyDescent="0.15">
      <c r="K16" s="6" t="s">
        <v>258</v>
      </c>
    </row>
    <row r="17" spans="1:25" ht="10.5" customHeight="1" x14ac:dyDescent="0.15">
      <c r="A17" s="34"/>
      <c r="B17" s="13" t="s">
        <v>172</v>
      </c>
      <c r="C17" s="10" t="s">
        <v>160</v>
      </c>
      <c r="D17" s="10" t="s">
        <v>203</v>
      </c>
      <c r="E17" s="8">
        <f t="shared" ca="1" si="9"/>
        <v>43244</v>
      </c>
      <c r="F17" s="8">
        <f t="shared" ref="F17:F20" ca="1" si="32">E17+H17</f>
        <v>43295</v>
      </c>
      <c r="G17" s="11">
        <v>13800</v>
      </c>
      <c r="H17" s="10">
        <v>51</v>
      </c>
      <c r="I17" s="12">
        <f t="shared" ref="I17:I20" si="33">H17/365</f>
        <v>0.13972602739726028</v>
      </c>
      <c r="J17" s="12">
        <v>0</v>
      </c>
      <c r="K17" s="116">
        <v>0.14000000000000001</v>
      </c>
      <c r="L17" s="13">
        <f>_xll.dnetGBlackScholesNGreeks("price",$Q17,$P17,$G17,$I17,$C$3,$J17,$K17,$C$4)*R17</f>
        <v>31.37412824265607</v>
      </c>
      <c r="M17" s="15">
        <v>30</v>
      </c>
      <c r="N17" s="13">
        <f t="shared" ref="N17:N20" si="34">M17/10000*I17*P17</f>
        <v>6.203835616438357</v>
      </c>
      <c r="O17" s="13">
        <f t="shared" ref="O17:O20" si="35">IF(L17&lt;=0,ABS(L17)+N17,L17-N17)</f>
        <v>25.170292626217712</v>
      </c>
      <c r="P17" s="11">
        <f>RTD("wdf.rtq",,D17,"LastPrice")</f>
        <v>14800</v>
      </c>
      <c r="Q17" s="10" t="s">
        <v>85</v>
      </c>
      <c r="R17" s="10">
        <f t="shared" ref="R17:R20" si="36">IF(S17="中金买入",1,-1)</f>
        <v>1</v>
      </c>
      <c r="S17" s="10" t="s">
        <v>151</v>
      </c>
      <c r="T17" s="14">
        <f t="shared" ref="T17:T20" si="37">O17/P17</f>
        <v>1.700695447717413E-3</v>
      </c>
      <c r="U17" s="13">
        <f>_xll.dnetGBlackScholesNGreeks("delta",$Q17,$P17,$G17,$I17,$C$3,$J17,$K17,$C$4)*R17</f>
        <v>-8.6201553085629712E-2</v>
      </c>
      <c r="V17" s="13">
        <f>_xll.dnetGBlackScholesNGreeks("vega",$Q17,$P17,$G17,$I17,$C$3,$J17,$K17,$C$4)*R17</f>
        <v>8.6774977524584074</v>
      </c>
      <c r="W17" s="114"/>
      <c r="X17" s="115">
        <v>400</v>
      </c>
      <c r="Y17" s="6">
        <f>X17*U17</f>
        <v>-34.480621234251885</v>
      </c>
    </row>
    <row r="18" spans="1:25" ht="10.5" customHeight="1" x14ac:dyDescent="0.15">
      <c r="A18" s="34"/>
      <c r="B18" s="13" t="s">
        <v>172</v>
      </c>
      <c r="C18" s="10" t="s">
        <v>160</v>
      </c>
      <c r="D18" s="10" t="s">
        <v>203</v>
      </c>
      <c r="E18" s="8">
        <f t="shared" ca="1" si="9"/>
        <v>43244</v>
      </c>
      <c r="F18" s="8">
        <f t="shared" ca="1" si="32"/>
        <v>43295</v>
      </c>
      <c r="G18" s="11">
        <v>14000</v>
      </c>
      <c r="H18" s="10">
        <v>51</v>
      </c>
      <c r="I18" s="12">
        <f t="shared" si="33"/>
        <v>0.13972602739726028</v>
      </c>
      <c r="J18" s="12">
        <v>0</v>
      </c>
      <c r="K18" s="116">
        <v>0.14000000000000001</v>
      </c>
      <c r="L18" s="13">
        <f>_xll.dnetGBlackScholesNGreeks("price",$Q18,$P18,$G18,$I18,$C$3,$J18,$K18,$C$4)*R18</f>
        <v>55.539920301929897</v>
      </c>
      <c r="M18" s="15">
        <v>30</v>
      </c>
      <c r="N18" s="13">
        <f t="shared" si="34"/>
        <v>6.203835616438357</v>
      </c>
      <c r="O18" s="13">
        <f t="shared" si="35"/>
        <v>49.336084685491542</v>
      </c>
      <c r="P18" s="11">
        <f>RTD("wdf.rtq",,D18,"LastPrice")</f>
        <v>14800</v>
      </c>
      <c r="Q18" s="10" t="s">
        <v>85</v>
      </c>
      <c r="R18" s="10">
        <f t="shared" si="36"/>
        <v>1</v>
      </c>
      <c r="S18" s="10" t="s">
        <v>151</v>
      </c>
      <c r="T18" s="14">
        <f t="shared" si="37"/>
        <v>3.3335192355061854E-3</v>
      </c>
      <c r="U18" s="13">
        <f>_xll.dnetGBlackScholesNGreeks("delta",$Q18,$P18,$G18,$I18,$C$3,$J18,$K18,$C$4)*R18</f>
        <v>-0.13790306159080501</v>
      </c>
      <c r="V18" s="13">
        <f>_xll.dnetGBlackScholesNGreeks("vega",$Q18,$P18,$G18,$I18,$C$3,$J18,$K18,$C$4)*R18</f>
        <v>12.154883528465234</v>
      </c>
      <c r="W18" s="114"/>
      <c r="X18" s="115">
        <v>400</v>
      </c>
      <c r="Y18" s="6">
        <f>X18*U18</f>
        <v>-55.161224636322004</v>
      </c>
    </row>
    <row r="19" spans="1:25" ht="10.5" customHeight="1" x14ac:dyDescent="0.15">
      <c r="A19" s="34"/>
      <c r="B19" s="13" t="s">
        <v>172</v>
      </c>
      <c r="C19" s="10" t="s">
        <v>160</v>
      </c>
      <c r="D19" s="10" t="s">
        <v>260</v>
      </c>
      <c r="E19" s="8">
        <f t="shared" ca="1" si="9"/>
        <v>43244</v>
      </c>
      <c r="F19" s="8">
        <f t="shared" ca="1" si="32"/>
        <v>43327</v>
      </c>
      <c r="G19" s="11">
        <v>13800</v>
      </c>
      <c r="H19" s="10">
        <v>83</v>
      </c>
      <c r="I19" s="12">
        <f t="shared" si="33"/>
        <v>0.22739726027397261</v>
      </c>
      <c r="J19" s="12">
        <v>0</v>
      </c>
      <c r="K19" s="116">
        <v>0.14000000000000001</v>
      </c>
      <c r="L19" s="13">
        <f>_xll.dnetGBlackScholesNGreeks("price",$Q19,$P19,$G19,$I19,$C$3,$J19,$K19,$C$4)*R19</f>
        <v>61.708254139316068</v>
      </c>
      <c r="M19" s="15">
        <v>30</v>
      </c>
      <c r="N19" s="13">
        <f t="shared" si="34"/>
        <v>10.151013698630138</v>
      </c>
      <c r="O19" s="13">
        <f t="shared" si="35"/>
        <v>51.557240440685931</v>
      </c>
      <c r="P19" s="11">
        <f>RTD("wdf.rtq",,D19,"LastPrice")</f>
        <v>14880</v>
      </c>
      <c r="Q19" s="10" t="s">
        <v>85</v>
      </c>
      <c r="R19" s="10">
        <f t="shared" si="36"/>
        <v>1</v>
      </c>
      <c r="S19" s="10" t="s">
        <v>151</v>
      </c>
      <c r="T19" s="14">
        <f t="shared" si="37"/>
        <v>3.4648683091858825E-3</v>
      </c>
      <c r="U19" s="13">
        <f>_xll.dnetGBlackScholesNGreeks("delta",$Q19,$P19,$G19,$I19,$C$3,$J19,$K19,$C$4)*R19</f>
        <v>-0.12205516684389295</v>
      </c>
      <c r="V19" s="13">
        <f>_xll.dnetGBlackScholesNGreeks("vega",$Q19,$P19,$G19,$I19,$C$3,$J19,$K19,$C$4)*R19</f>
        <v>14.318583800340548</v>
      </c>
      <c r="W19" s="114"/>
      <c r="X19" s="115">
        <v>400</v>
      </c>
      <c r="Y19" s="6">
        <f>X19*U19</f>
        <v>-48.822066737557179</v>
      </c>
    </row>
    <row r="20" spans="1:25" ht="10.5" customHeight="1" x14ac:dyDescent="0.15">
      <c r="A20" s="34"/>
      <c r="B20" s="13" t="s">
        <v>172</v>
      </c>
      <c r="C20" s="10" t="s">
        <v>160</v>
      </c>
      <c r="D20" s="10" t="s">
        <v>260</v>
      </c>
      <c r="E20" s="8">
        <f t="shared" ca="1" si="9"/>
        <v>43244</v>
      </c>
      <c r="F20" s="8">
        <f t="shared" ca="1" si="32"/>
        <v>43327</v>
      </c>
      <c r="G20" s="11">
        <v>14000</v>
      </c>
      <c r="H20" s="10">
        <v>83</v>
      </c>
      <c r="I20" s="12">
        <f t="shared" si="33"/>
        <v>0.22739726027397261</v>
      </c>
      <c r="J20" s="12">
        <v>0</v>
      </c>
      <c r="K20" s="116">
        <v>0.14000000000000001</v>
      </c>
      <c r="L20" s="13">
        <f>_xll.dnetGBlackScholesNGreeks("price",$Q20,$P20,$G20,$I20,$C$3,$J20,$K20,$C$4)*R20</f>
        <v>94.006683715169856</v>
      </c>
      <c r="M20" s="15">
        <v>30</v>
      </c>
      <c r="N20" s="13">
        <f t="shared" si="34"/>
        <v>10.151013698630138</v>
      </c>
      <c r="O20" s="13">
        <f t="shared" si="35"/>
        <v>83.855670016539719</v>
      </c>
      <c r="P20" s="11">
        <f>RTD("wdf.rtq",,D20,"LastPrice")</f>
        <v>14880</v>
      </c>
      <c r="Q20" s="10" t="s">
        <v>85</v>
      </c>
      <c r="R20" s="10">
        <f t="shared" si="36"/>
        <v>1</v>
      </c>
      <c r="S20" s="10" t="s">
        <v>151</v>
      </c>
      <c r="T20" s="14">
        <f t="shared" si="37"/>
        <v>5.6354616946599273E-3</v>
      </c>
      <c r="U20" s="13">
        <f>_xll.dnetGBlackScholesNGreeks("delta",$Q20,$P20,$G20,$I20,$C$3,$J20,$K20,$C$4)*R20</f>
        <v>-0.17116573005750979</v>
      </c>
      <c r="V20" s="13">
        <f>_xll.dnetGBlackScholesNGreeks("vega",$Q20,$P20,$G20,$I20,$C$3,$J20,$K20,$C$4)*R20</f>
        <v>17.977351394847119</v>
      </c>
      <c r="W20" s="114"/>
      <c r="X20" s="115">
        <v>400</v>
      </c>
      <c r="Y20" s="6">
        <f>X20*U20</f>
        <v>-68.466292023003916</v>
      </c>
    </row>
    <row r="21" spans="1:25" ht="10.5" customHeight="1" x14ac:dyDescent="0.15">
      <c r="A21" s="34"/>
      <c r="B21" s="13" t="s">
        <v>172</v>
      </c>
      <c r="C21" s="10" t="s">
        <v>160</v>
      </c>
      <c r="D21" s="10" t="s">
        <v>260</v>
      </c>
      <c r="E21" s="8">
        <f t="shared" ca="1" si="9"/>
        <v>43244</v>
      </c>
      <c r="F21" s="8">
        <f t="shared" ref="F21" ca="1" si="38">E21+H21</f>
        <v>43327</v>
      </c>
      <c r="G21" s="11">
        <v>14000</v>
      </c>
      <c r="H21" s="10">
        <v>83</v>
      </c>
      <c r="I21" s="12">
        <f t="shared" ref="I21" si="39">H21/365</f>
        <v>0.22739726027397261</v>
      </c>
      <c r="J21" s="12">
        <v>0</v>
      </c>
      <c r="K21" s="116">
        <v>0.14000000000000001</v>
      </c>
      <c r="L21" s="13">
        <f>_xll.dnetGBlackScholesNGreeks("price",$Q21,$P21,$G21,$I21,$C$3,$J21,$K21,$C$4)*R21</f>
        <v>160.63140236371419</v>
      </c>
      <c r="M21" s="15">
        <v>30</v>
      </c>
      <c r="N21" s="13">
        <f t="shared" ref="N21" si="40">M21/10000*I21*P21</f>
        <v>9.9395342465753433</v>
      </c>
      <c r="O21" s="13">
        <f t="shared" ref="O21" si="41">IF(L21&lt;=0,ABS(L21)+N21,L21-N21)</f>
        <v>150.69186811713885</v>
      </c>
      <c r="P21" s="11">
        <v>14570</v>
      </c>
      <c r="Q21" s="10" t="s">
        <v>85</v>
      </c>
      <c r="R21" s="10">
        <f t="shared" ref="R21" si="42">IF(S21="中金买入",1,-1)</f>
        <v>1</v>
      </c>
      <c r="S21" s="10" t="s">
        <v>151</v>
      </c>
      <c r="T21" s="14">
        <f t="shared" ref="T21" si="43">O21/P21</f>
        <v>1.0342612773997176E-2</v>
      </c>
      <c r="U21" s="13">
        <f>_xll.dnetGBlackScholesNGreeks("delta",$Q21,$P21,$G21,$I21,$C$3,$J21,$K21,$C$4)*R21</f>
        <v>-0.26277444619609014</v>
      </c>
      <c r="V21" s="13">
        <f>_xll.dnetGBlackScholesNGreeks("vega",$Q21,$P21,$G21,$I21,$C$3,$J21,$K21,$C$4)*R21</f>
        <v>22.591054407461115</v>
      </c>
      <c r="W21" s="114"/>
      <c r="X21" s="115">
        <v>400</v>
      </c>
      <c r="Y21" s="6">
        <f>X21*U21</f>
        <v>-105.10977847843606</v>
      </c>
    </row>
    <row r="23" spans="1:25" ht="10.5" customHeight="1" x14ac:dyDescent="0.15">
      <c r="A23" s="34"/>
      <c r="B23" s="13" t="s">
        <v>172</v>
      </c>
      <c r="C23" s="10" t="s">
        <v>160</v>
      </c>
      <c r="D23" s="10" t="s">
        <v>261</v>
      </c>
      <c r="E23" s="8">
        <f t="shared" ca="1" si="9"/>
        <v>43244</v>
      </c>
      <c r="F23" s="8">
        <f t="shared" ref="F23:F24" ca="1" si="44">E23+H23</f>
        <v>43276</v>
      </c>
      <c r="G23" s="11">
        <f>P23</f>
        <v>100</v>
      </c>
      <c r="H23" s="10">
        <v>32</v>
      </c>
      <c r="I23" s="12">
        <f t="shared" ref="I23:I24" si="45">H23/365</f>
        <v>8.7671232876712329E-2</v>
      </c>
      <c r="J23" s="12">
        <v>0</v>
      </c>
      <c r="K23" s="116">
        <v>0.115</v>
      </c>
      <c r="L23" s="13">
        <f>_xll.dnetGBlackScholesNGreeks("price",$Q23,$P23,$G23,$I23,$C$3,$J23,$K23,$C$4)*R23</f>
        <v>1.3559821728240848</v>
      </c>
      <c r="M23" s="15"/>
      <c r="N23" s="13">
        <f t="shared" ref="N23:N24" si="46">M23/10000*I23*P23</f>
        <v>0</v>
      </c>
      <c r="O23" s="13">
        <f t="shared" ref="O23:O24" si="47">IF(L23&lt;=0,ABS(L23)+N23,L23-N23)</f>
        <v>1.3559821728240848</v>
      </c>
      <c r="P23" s="11">
        <v>100</v>
      </c>
      <c r="Q23" s="10" t="s">
        <v>85</v>
      </c>
      <c r="R23" s="10">
        <f t="shared" ref="R23:R24" si="48">IF(S23="中金买入",1,-1)</f>
        <v>1</v>
      </c>
      <c r="S23" s="10" t="s">
        <v>151</v>
      </c>
      <c r="T23" s="14">
        <f t="shared" ref="T23:T24" si="49">O23/P23</f>
        <v>1.3559821728240849E-2</v>
      </c>
      <c r="U23" s="13">
        <f>_xll.dnetGBlackScholesNGreeks("delta",$Q23,$P23,$G23,$I23,$C$3,$J23,$K23,$C$4)*R23</f>
        <v>-0.4923441742175072</v>
      </c>
      <c r="V23" s="13">
        <f>_xll.dnetGBlackScholesNGreeks("vega",$Q23,$P23,$G23,$I23,$C$3,$J23,$K23,$C$4)*R23</f>
        <v>0.11790005794639313</v>
      </c>
      <c r="W23" s="114"/>
      <c r="X23" s="115">
        <v>200</v>
      </c>
      <c r="Y23" s="6">
        <f t="shared" ref="Y23:Y24" si="50">X23*U23</f>
        <v>-98.46883484350144</v>
      </c>
    </row>
    <row r="24" spans="1:25" ht="10.5" customHeight="1" x14ac:dyDescent="0.15">
      <c r="A24" s="34"/>
      <c r="B24" s="13" t="s">
        <v>172</v>
      </c>
      <c r="C24" s="10" t="s">
        <v>160</v>
      </c>
      <c r="D24" s="10" t="s">
        <v>261</v>
      </c>
      <c r="E24" s="8">
        <f t="shared" ca="1" si="9"/>
        <v>43244</v>
      </c>
      <c r="F24" s="8">
        <f t="shared" ca="1" si="44"/>
        <v>43276</v>
      </c>
      <c r="G24" s="11">
        <f t="shared" ref="G24" si="51">P24</f>
        <v>100</v>
      </c>
      <c r="H24" s="10">
        <v>32</v>
      </c>
      <c r="I24" s="12">
        <f t="shared" si="45"/>
        <v>8.7671232876712329E-2</v>
      </c>
      <c r="J24" s="12">
        <v>0</v>
      </c>
      <c r="K24" s="116">
        <v>0.22500000000000001</v>
      </c>
      <c r="L24" s="13">
        <f>_xll.dnetGBlackScholesNGreeks("price",$Q24,$P24,$G24,$I24,$C$3,$J24,$K24,$C$4)*R24</f>
        <v>-2.6526462008723612</v>
      </c>
      <c r="M24" s="15"/>
      <c r="N24" s="13">
        <f t="shared" si="46"/>
        <v>0</v>
      </c>
      <c r="O24" s="13">
        <f t="shared" si="47"/>
        <v>2.6526462008723612</v>
      </c>
      <c r="P24" s="11">
        <v>100</v>
      </c>
      <c r="Q24" s="10" t="s">
        <v>85</v>
      </c>
      <c r="R24" s="10">
        <f t="shared" si="48"/>
        <v>-1</v>
      </c>
      <c r="S24" s="10" t="s">
        <v>20</v>
      </c>
      <c r="T24" s="14">
        <f t="shared" si="49"/>
        <v>2.6526462008723613E-2</v>
      </c>
      <c r="U24" s="13">
        <f>_xll.dnetGBlackScholesNGreeks("delta",$Q24,$P24,$G24,$I24,$C$3,$J24,$K24,$C$4)*R24</f>
        <v>0.48586083977859573</v>
      </c>
      <c r="V24" s="13">
        <f>_xll.dnetGBlackScholesNGreeks("vega",$Q24,$P24,$G24,$I24,$C$3,$J24,$K24,$C$4)*R24</f>
        <v>-0.11785174501013884</v>
      </c>
      <c r="W24" s="114"/>
      <c r="X24" s="115">
        <v>400</v>
      </c>
      <c r="Y24" s="6">
        <f t="shared" si="50"/>
        <v>194.34433591143829</v>
      </c>
    </row>
    <row r="25" spans="1:25" ht="10.5" customHeight="1" x14ac:dyDescent="0.15">
      <c r="A25" s="34"/>
      <c r="B25" s="13" t="s">
        <v>172</v>
      </c>
      <c r="C25" s="10" t="s">
        <v>160</v>
      </c>
      <c r="D25" s="10" t="s">
        <v>261</v>
      </c>
      <c r="E25" s="8">
        <f t="shared" ca="1" si="9"/>
        <v>43244</v>
      </c>
      <c r="F25" s="8">
        <f t="shared" ref="F25:F28" ca="1" si="52">E25+H25</f>
        <v>43304</v>
      </c>
      <c r="G25" s="11">
        <f>P25</f>
        <v>100</v>
      </c>
      <c r="H25" s="10">
        <v>60</v>
      </c>
      <c r="I25" s="12">
        <f t="shared" ref="I25:I28" si="53">H25/365</f>
        <v>0.16438356164383561</v>
      </c>
      <c r="J25" s="12">
        <v>0</v>
      </c>
      <c r="K25" s="116">
        <v>0.11799999999999999</v>
      </c>
      <c r="L25" s="13">
        <f>_xll.dnetGBlackScholesNGreeks("price",$Q25,$P25,$G25,$I25,$C$3,$J25,$K25,$C$4)*R25</f>
        <v>1.9021818418049463</v>
      </c>
      <c r="M25" s="15"/>
      <c r="N25" s="13">
        <f t="shared" ref="N25:N28" si="54">M25/10000*I25*P25</f>
        <v>0</v>
      </c>
      <c r="O25" s="13">
        <f t="shared" ref="O25:O28" si="55">IF(L25&lt;=0,ABS(L25)+N25,L25-N25)</f>
        <v>1.9021818418049463</v>
      </c>
      <c r="P25" s="11">
        <v>100</v>
      </c>
      <c r="Q25" s="10" t="s">
        <v>85</v>
      </c>
      <c r="R25" s="10">
        <f t="shared" ref="R25:R28" si="56">IF(S25="中金买入",1,-1)</f>
        <v>1</v>
      </c>
      <c r="S25" s="10" t="s">
        <v>151</v>
      </c>
      <c r="T25" s="14">
        <f t="shared" ref="T25:T28" si="57">O25/P25</f>
        <v>1.9021818418049462E-2</v>
      </c>
      <c r="U25" s="13">
        <f>_xll.dnetGBlackScholesNGreeks("delta",$Q25,$P25,$G25,$I25,$C$3,$J25,$K25,$C$4)*R25</f>
        <v>-0.48884797518340406</v>
      </c>
      <c r="V25" s="13">
        <f>_xll.dnetGBlackScholesNGreeks("vega",$Q25,$P25,$G25,$I25,$C$3,$J25,$K25,$C$4)*R25</f>
        <v>0.16117099542144686</v>
      </c>
      <c r="W25" s="114"/>
      <c r="X25" s="115">
        <v>200</v>
      </c>
      <c r="Y25" s="6">
        <f t="shared" ref="Y25:Y28" si="58">X25*U25</f>
        <v>-97.769595036680812</v>
      </c>
    </row>
    <row r="26" spans="1:25" ht="10.5" customHeight="1" x14ac:dyDescent="0.15">
      <c r="A26" s="34"/>
      <c r="B26" s="13" t="s">
        <v>172</v>
      </c>
      <c r="C26" s="10" t="s">
        <v>160</v>
      </c>
      <c r="D26" s="10" t="s">
        <v>261</v>
      </c>
      <c r="E26" s="8">
        <f t="shared" ca="1" si="9"/>
        <v>43244</v>
      </c>
      <c r="F26" s="8">
        <f t="shared" ca="1" si="52"/>
        <v>43304</v>
      </c>
      <c r="G26" s="11">
        <f t="shared" ref="G26:G28" si="59">P26</f>
        <v>100</v>
      </c>
      <c r="H26" s="10">
        <v>60</v>
      </c>
      <c r="I26" s="12">
        <f t="shared" si="53"/>
        <v>0.16438356164383561</v>
      </c>
      <c r="J26" s="12">
        <v>0</v>
      </c>
      <c r="K26" s="116">
        <v>0.23</v>
      </c>
      <c r="L26" s="13">
        <f>_xll.dnetGBlackScholesNGreeks("price",$Q26,$P26,$G26,$I26,$C$3,$J26,$K26,$C$4)*R26</f>
        <v>-3.7066530980644856</v>
      </c>
      <c r="M26" s="15"/>
      <c r="N26" s="13">
        <f t="shared" si="54"/>
        <v>0</v>
      </c>
      <c r="O26" s="13">
        <f t="shared" si="55"/>
        <v>3.7066530980644856</v>
      </c>
      <c r="P26" s="11">
        <v>100</v>
      </c>
      <c r="Q26" s="10" t="s">
        <v>85</v>
      </c>
      <c r="R26" s="10">
        <f t="shared" si="56"/>
        <v>-1</v>
      </c>
      <c r="S26" s="10" t="s">
        <v>20</v>
      </c>
      <c r="T26" s="14">
        <f t="shared" si="57"/>
        <v>3.7066530980644857E-2</v>
      </c>
      <c r="U26" s="13">
        <f>_xll.dnetGBlackScholesNGreeks("delta",$Q26,$P26,$G26,$I26,$C$3,$J26,$K26,$C$4)*R26</f>
        <v>0.47982560877848357</v>
      </c>
      <c r="V26" s="13">
        <f>_xll.dnetGBlackScholesNGreeks("vega",$Q26,$P26,$G26,$I26,$C$3,$J26,$K26,$C$4)*R26</f>
        <v>-0.16104196917521207</v>
      </c>
      <c r="W26" s="114"/>
      <c r="X26" s="115">
        <v>400</v>
      </c>
      <c r="Y26" s="6">
        <f t="shared" si="58"/>
        <v>191.93024351139343</v>
      </c>
    </row>
    <row r="27" spans="1:25" ht="10.5" customHeight="1" x14ac:dyDescent="0.15">
      <c r="A27" s="34"/>
      <c r="B27" s="13" t="s">
        <v>172</v>
      </c>
      <c r="C27" s="10" t="s">
        <v>160</v>
      </c>
      <c r="D27" s="10" t="s">
        <v>263</v>
      </c>
      <c r="E27" s="8">
        <f t="shared" ca="1" si="9"/>
        <v>43244</v>
      </c>
      <c r="F27" s="8">
        <f t="shared" ca="1" si="52"/>
        <v>43276</v>
      </c>
      <c r="G27" s="11">
        <f t="shared" si="59"/>
        <v>100</v>
      </c>
      <c r="H27" s="10">
        <v>32</v>
      </c>
      <c r="I27" s="12">
        <f t="shared" si="53"/>
        <v>8.7671232876712329E-2</v>
      </c>
      <c r="J27" s="12">
        <v>0</v>
      </c>
      <c r="K27" s="116">
        <v>0.14499999999999999</v>
      </c>
      <c r="L27" s="13">
        <f>_xll.dnetGBlackScholesNGreeks("price",$Q27,$P27,$G27,$I27,$C$3,$J27,$K27,$C$4)*R27</f>
        <v>-1.7096679406089024</v>
      </c>
      <c r="M27" s="15"/>
      <c r="N27" s="13">
        <f t="shared" si="54"/>
        <v>0</v>
      </c>
      <c r="O27" s="13">
        <f t="shared" si="55"/>
        <v>1.7096679406089024</v>
      </c>
      <c r="P27" s="11">
        <v>100</v>
      </c>
      <c r="Q27" s="10" t="s">
        <v>85</v>
      </c>
      <c r="R27" s="10">
        <f t="shared" si="56"/>
        <v>-1</v>
      </c>
      <c r="S27" s="10" t="s">
        <v>20</v>
      </c>
      <c r="T27" s="14">
        <f t="shared" si="57"/>
        <v>1.7096679406089024E-2</v>
      </c>
      <c r="U27" s="13">
        <f>_xll.dnetGBlackScholesNGreeks("delta",$Q27,$P27,$G27,$I27,$C$3,$J27,$K27,$C$4)*R27</f>
        <v>0.49057573932813625</v>
      </c>
      <c r="V27" s="13">
        <f>_xll.dnetGBlackScholesNGreeks("vega",$Q27,$P27,$G27,$I27,$C$3,$J27,$K27,$C$4)*R27</f>
        <v>-0.11788998035212117</v>
      </c>
      <c r="W27" s="114"/>
      <c r="X27" s="115">
        <v>200</v>
      </c>
      <c r="Y27" s="6">
        <f t="shared" si="58"/>
        <v>98.11514786562725</v>
      </c>
    </row>
    <row r="28" spans="1:25" ht="10.5" customHeight="1" x14ac:dyDescent="0.15">
      <c r="A28" s="34"/>
      <c r="B28" s="13" t="s">
        <v>172</v>
      </c>
      <c r="C28" s="10" t="s">
        <v>160</v>
      </c>
      <c r="D28" s="10" t="s">
        <v>27</v>
      </c>
      <c r="E28" s="8">
        <f t="shared" ca="1" si="9"/>
        <v>43244</v>
      </c>
      <c r="F28" s="8">
        <f t="shared" ca="1" si="52"/>
        <v>43276</v>
      </c>
      <c r="G28" s="11">
        <f t="shared" si="59"/>
        <v>100</v>
      </c>
      <c r="H28" s="10">
        <v>32</v>
      </c>
      <c r="I28" s="12">
        <f t="shared" si="53"/>
        <v>8.7671232876712329E-2</v>
      </c>
      <c r="J28" s="12">
        <v>0</v>
      </c>
      <c r="K28" s="116">
        <v>0.115</v>
      </c>
      <c r="L28" s="13">
        <f>_xll.dnetGBlackScholesNGreeks("price",$Q28,$P28,$G28,$I28,$C$3,$J28,$K28,$C$4)*R28</f>
        <v>-1.3559821728240848</v>
      </c>
      <c r="M28" s="15"/>
      <c r="N28" s="13">
        <f t="shared" si="54"/>
        <v>0</v>
      </c>
      <c r="O28" s="13">
        <f t="shared" si="55"/>
        <v>1.3559821728240848</v>
      </c>
      <c r="P28" s="11">
        <v>100</v>
      </c>
      <c r="Q28" s="10" t="s">
        <v>85</v>
      </c>
      <c r="R28" s="10">
        <f t="shared" si="56"/>
        <v>-1</v>
      </c>
      <c r="S28" s="10" t="s">
        <v>20</v>
      </c>
      <c r="T28" s="14">
        <f t="shared" si="57"/>
        <v>1.3559821728240849E-2</v>
      </c>
      <c r="U28" s="13">
        <f>_xll.dnetGBlackScholesNGreeks("delta",$Q28,$P28,$G28,$I28,$C$3,$J28,$K28,$C$4)*R28</f>
        <v>0.4923441742175072</v>
      </c>
      <c r="V28" s="13">
        <f>_xll.dnetGBlackScholesNGreeks("vega",$Q28,$P28,$G28,$I28,$C$3,$J28,$K28,$C$4)*R28</f>
        <v>-0.11790005794639313</v>
      </c>
      <c r="W28" s="114"/>
      <c r="X28" s="115">
        <v>400</v>
      </c>
      <c r="Y28" s="6">
        <f t="shared" si="58"/>
        <v>196.93766968700288</v>
      </c>
    </row>
    <row r="30" spans="1:25" ht="10.5" customHeight="1" x14ac:dyDescent="0.15">
      <c r="A30" s="34"/>
      <c r="B30" s="13" t="s">
        <v>172</v>
      </c>
      <c r="C30" s="10" t="s">
        <v>160</v>
      </c>
      <c r="D30" s="10" t="s">
        <v>203</v>
      </c>
      <c r="E30" s="8">
        <f t="shared" ca="1" si="9"/>
        <v>43244</v>
      </c>
      <c r="F30" s="8">
        <f t="shared" ref="F30:F34" ca="1" si="60">E30+H30</f>
        <v>43301</v>
      </c>
      <c r="G30" s="11">
        <v>3300</v>
      </c>
      <c r="H30" s="10">
        <v>57</v>
      </c>
      <c r="I30" s="12">
        <f t="shared" ref="I30:I34" si="61">H30/365</f>
        <v>0.15616438356164383</v>
      </c>
      <c r="J30" s="12">
        <v>0</v>
      </c>
      <c r="K30" s="116">
        <v>0.18</v>
      </c>
      <c r="L30" s="13">
        <f>_xll.dnetGBlackScholesNGreeks("price",$Q30,$P30,$G30,$I30,$C$3,$J30,$K30,$C$4)*R30</f>
        <v>9.7907121091538997E-98</v>
      </c>
      <c r="M30" s="15"/>
      <c r="N30" s="13">
        <f t="shared" ref="N30:N34" si="62">M30/10000*I30*P30</f>
        <v>0</v>
      </c>
      <c r="O30" s="13">
        <f t="shared" ref="O30:O34" si="63">IF(L30&lt;=0,ABS(L30)+N30,L30-N30)</f>
        <v>9.7907121091538997E-98</v>
      </c>
      <c r="P30" s="11">
        <f>RTD("wdf.rtq",,D30,"LastPrice")</f>
        <v>14800</v>
      </c>
      <c r="Q30" s="10" t="s">
        <v>85</v>
      </c>
      <c r="R30" s="10">
        <f t="shared" ref="R30:R34" si="64">IF(S30="中金买入",1,-1)</f>
        <v>1</v>
      </c>
      <c r="S30" s="10" t="s">
        <v>151</v>
      </c>
      <c r="T30" s="14">
        <f t="shared" ref="T30:T34" si="65">O30/P30</f>
        <v>6.6153460196985807E-102</v>
      </c>
      <c r="U30" s="13">
        <f>_xll.dnetGBlackScholesNGreeks("delta",$Q30,$P30,$G30,$I30,$C$3,$J30,$K30,$C$4)*R30</f>
        <v>-1.9675486438787383E-99</v>
      </c>
      <c r="V30" s="13">
        <f>_xll.dnetGBlackScholesNGreeks("vega",$Q30,$P30,$G30,$I30,$C$3,$J30,$K30,$C$4)*R30</f>
        <v>4.6364663425357856E-88</v>
      </c>
      <c r="W30" s="114"/>
      <c r="X30" s="115">
        <v>400</v>
      </c>
      <c r="Y30" s="6">
        <f>X30*U30</f>
        <v>-7.8701945755149531E-97</v>
      </c>
    </row>
    <row r="31" spans="1:25" ht="10.5" customHeight="1" x14ac:dyDescent="0.15">
      <c r="A31" s="34"/>
      <c r="B31" s="13" t="s">
        <v>172</v>
      </c>
      <c r="C31" s="10" t="s">
        <v>160</v>
      </c>
      <c r="D31" s="10" t="s">
        <v>203</v>
      </c>
      <c r="E31" s="8">
        <f t="shared" ca="1" si="9"/>
        <v>43244</v>
      </c>
      <c r="F31" s="8">
        <f t="shared" ca="1" si="60"/>
        <v>43301</v>
      </c>
      <c r="G31" s="11">
        <v>3350</v>
      </c>
      <c r="H31" s="10">
        <v>57</v>
      </c>
      <c r="I31" s="12">
        <f t="shared" si="61"/>
        <v>0.15616438356164383</v>
      </c>
      <c r="J31" s="12">
        <v>0</v>
      </c>
      <c r="K31" s="116">
        <v>0.18</v>
      </c>
      <c r="L31" s="13">
        <f>_xll.dnetGBlackScholesNGreeks("price",$Q31,$P31,$G31,$I31,$C$3,$J31,$K31,$C$4)*R31</f>
        <v>8.5134559021761884E-96</v>
      </c>
      <c r="M31" s="15"/>
      <c r="N31" s="13">
        <f t="shared" si="62"/>
        <v>0</v>
      </c>
      <c r="O31" s="13">
        <f t="shared" si="63"/>
        <v>8.5134559021761884E-96</v>
      </c>
      <c r="P31" s="11">
        <f>RTD("wdf.rtq",,D31,"LastPrice")</f>
        <v>14800</v>
      </c>
      <c r="Q31" s="10" t="s">
        <v>85</v>
      </c>
      <c r="R31" s="10">
        <f t="shared" si="64"/>
        <v>1</v>
      </c>
      <c r="S31" s="10" t="s">
        <v>151</v>
      </c>
      <c r="T31" s="14">
        <f t="shared" si="65"/>
        <v>5.752335069037965E-100</v>
      </c>
      <c r="U31" s="13">
        <f>_xll.dnetGBlackScholesNGreeks("delta",$Q31,$P31,$G31,$I31,$C$3,$J31,$K31,$C$4)*R31</f>
        <v>-1.6938500332838515E-97</v>
      </c>
      <c r="V31" s="13">
        <f>_xll.dnetGBlackScholesNGreeks("vega",$Q31,$P31,$G31,$I31,$C$3,$J31,$K31,$C$4)*R31</f>
        <v>2.5581937670600144E-86</v>
      </c>
      <c r="W31" s="114"/>
      <c r="X31" s="115">
        <v>400</v>
      </c>
      <c r="Y31" s="6">
        <f>X31*U31</f>
        <v>-6.775400133135406E-95</v>
      </c>
    </row>
    <row r="32" spans="1:25" ht="10.5" customHeight="1" x14ac:dyDescent="0.15">
      <c r="A32" s="34"/>
      <c r="B32" s="13" t="s">
        <v>172</v>
      </c>
      <c r="C32" s="10" t="s">
        <v>160</v>
      </c>
      <c r="D32" s="10" t="s">
        <v>260</v>
      </c>
      <c r="E32" s="8">
        <f t="shared" ca="1" si="9"/>
        <v>43244</v>
      </c>
      <c r="F32" s="8">
        <f t="shared" ca="1" si="60"/>
        <v>43301</v>
      </c>
      <c r="G32" s="11">
        <v>3400</v>
      </c>
      <c r="H32" s="10">
        <v>57</v>
      </c>
      <c r="I32" s="12">
        <f t="shared" si="61"/>
        <v>0.15616438356164383</v>
      </c>
      <c r="J32" s="12">
        <v>0</v>
      </c>
      <c r="K32" s="116">
        <v>0.18</v>
      </c>
      <c r="L32" s="13">
        <f>_xll.dnetGBlackScholesNGreeks("price",$Q32,$P32,$G32,$I32,$C$3,$J32,$K32,$C$4)*R32</f>
        <v>1.3738886122580167E-94</v>
      </c>
      <c r="M32" s="15"/>
      <c r="N32" s="13">
        <f t="shared" si="62"/>
        <v>0</v>
      </c>
      <c r="O32" s="13">
        <f t="shared" si="63"/>
        <v>1.3738886122580167E-94</v>
      </c>
      <c r="P32" s="11">
        <f>RTD("wdf.rtq",,D32,"LastPrice")</f>
        <v>14880</v>
      </c>
      <c r="Q32" s="10" t="s">
        <v>85</v>
      </c>
      <c r="R32" s="10">
        <f t="shared" si="64"/>
        <v>1</v>
      </c>
      <c r="S32" s="10" t="s">
        <v>151</v>
      </c>
      <c r="T32" s="14">
        <f t="shared" si="65"/>
        <v>9.2331223942071012E-99</v>
      </c>
      <c r="U32" s="13">
        <f>_xll.dnetGBlackScholesNGreeks("delta",$Q32,$P32,$G32,$I32,$C$3,$J32,$K32,$C$4)*R32</f>
        <v>-2.7016933123290246E-96</v>
      </c>
      <c r="V32" s="13">
        <f>_xll.dnetGBlackScholesNGreeks("vega",$Q32,$P32,$G32,$I32,$C$3,$J32,$K32,$C$4)*R32</f>
        <v>3.1116547378135225E-85</v>
      </c>
      <c r="W32" s="114"/>
      <c r="X32" s="115">
        <v>400</v>
      </c>
      <c r="Y32" s="6">
        <f>X32*U32</f>
        <v>-1.0806773249316099E-93</v>
      </c>
    </row>
    <row r="33" spans="1:25" ht="10.5" customHeight="1" x14ac:dyDescent="0.15">
      <c r="A33" s="34"/>
      <c r="B33" s="13" t="s">
        <v>172</v>
      </c>
      <c r="C33" s="10" t="s">
        <v>160</v>
      </c>
      <c r="D33" s="10" t="s">
        <v>260</v>
      </c>
      <c r="E33" s="8">
        <f t="shared" ca="1" si="9"/>
        <v>43244</v>
      </c>
      <c r="F33" s="8">
        <f t="shared" ca="1" si="60"/>
        <v>43301</v>
      </c>
      <c r="G33" s="11">
        <v>3450</v>
      </c>
      <c r="H33" s="10">
        <v>57</v>
      </c>
      <c r="I33" s="12">
        <f t="shared" si="61"/>
        <v>0.15616438356164383</v>
      </c>
      <c r="J33" s="12">
        <v>0</v>
      </c>
      <c r="K33" s="116">
        <v>0.18</v>
      </c>
      <c r="L33" s="13">
        <f>_xll.dnetGBlackScholesNGreeks("price",$Q33,$P33,$G33,$I33,$C$3,$J33,$K33,$C$4)*R33</f>
        <v>9.7809079797696768E-93</v>
      </c>
      <c r="M33" s="15"/>
      <c r="N33" s="13">
        <f t="shared" si="62"/>
        <v>0</v>
      </c>
      <c r="O33" s="13">
        <f t="shared" si="63"/>
        <v>9.7809079797696768E-93</v>
      </c>
      <c r="P33" s="11">
        <f>RTD("wdf.rtq",,D33,"LastPrice")</f>
        <v>14880</v>
      </c>
      <c r="Q33" s="10" t="s">
        <v>85</v>
      </c>
      <c r="R33" s="10">
        <f t="shared" si="64"/>
        <v>1</v>
      </c>
      <c r="S33" s="10" t="s">
        <v>151</v>
      </c>
      <c r="T33" s="14">
        <f t="shared" si="65"/>
        <v>6.5731908466194067E-97</v>
      </c>
      <c r="U33" s="13">
        <f>_xll.dnetGBlackScholesNGreeks("delta",$Q33,$P33,$G33,$I33,$C$3,$J33,$K33,$C$4)*R33</f>
        <v>-1.9044953731591477E-94</v>
      </c>
      <c r="V33" s="13">
        <f>_xll.dnetGBlackScholesNGreeks("vega",$Q33,$P33,$G33,$I33,$C$3,$J33,$K33,$C$4)*R33</f>
        <v>1.4346795169884489E-83</v>
      </c>
      <c r="W33" s="114"/>
      <c r="X33" s="115">
        <v>400</v>
      </c>
      <c r="Y33" s="6">
        <f>X33*U33</f>
        <v>-7.6179814926365907E-92</v>
      </c>
    </row>
    <row r="34" spans="1:25" ht="10.5" customHeight="1" x14ac:dyDescent="0.15">
      <c r="A34" s="34"/>
      <c r="B34" s="13" t="s">
        <v>172</v>
      </c>
      <c r="C34" s="10" t="s">
        <v>160</v>
      </c>
      <c r="D34" s="10" t="s">
        <v>260</v>
      </c>
      <c r="E34" s="8">
        <f t="shared" ca="1" si="9"/>
        <v>43244</v>
      </c>
      <c r="F34" s="8">
        <f t="shared" ca="1" si="60"/>
        <v>43301</v>
      </c>
      <c r="G34" s="11">
        <v>3500</v>
      </c>
      <c r="H34" s="10">
        <v>57</v>
      </c>
      <c r="I34" s="12">
        <f t="shared" si="61"/>
        <v>0.15616438356164383</v>
      </c>
      <c r="J34" s="12">
        <v>0</v>
      </c>
      <c r="K34" s="116">
        <v>0.18</v>
      </c>
      <c r="L34" s="13">
        <f>_xll.dnetGBlackScholesNGreeks("price",$Q34,$P34,$G34,$I34,$C$3,$J34,$K34,$C$4)*R34</f>
        <v>2.5275324401046921E-88</v>
      </c>
      <c r="M34" s="15"/>
      <c r="N34" s="13">
        <f t="shared" si="62"/>
        <v>0</v>
      </c>
      <c r="O34" s="13">
        <f t="shared" si="63"/>
        <v>2.5275324401046921E-88</v>
      </c>
      <c r="P34" s="11">
        <v>14570</v>
      </c>
      <c r="Q34" s="10" t="s">
        <v>85</v>
      </c>
      <c r="R34" s="10">
        <f t="shared" si="64"/>
        <v>1</v>
      </c>
      <c r="S34" s="10" t="s">
        <v>151</v>
      </c>
      <c r="T34" s="14">
        <f t="shared" si="65"/>
        <v>1.7347511599894934E-92</v>
      </c>
      <c r="U34" s="13">
        <f>_xll.dnetGBlackScholesNGreeks("delta",$Q34,$P34,$G34,$I34,$C$3,$J34,$K34,$C$4)*R34</f>
        <v>-4.9052749761641461E-90</v>
      </c>
      <c r="V34" s="13">
        <f>_xll.dnetGBlackScholesNGreeks("vega",$Q34,$P34,$G34,$I34,$C$3,$J34,$K34,$C$4)*R34</f>
        <v>1.3147545182399271E-79</v>
      </c>
      <c r="W34" s="114"/>
      <c r="X34" s="115">
        <v>400</v>
      </c>
      <c r="Y34" s="6">
        <f>X34*U34</f>
        <v>-1.9621099904656584E-87</v>
      </c>
    </row>
    <row r="36" spans="1:25" ht="10.5" customHeight="1" x14ac:dyDescent="0.15">
      <c r="A36" s="34"/>
      <c r="B36" s="13" t="s">
        <v>172</v>
      </c>
      <c r="C36" s="10" t="s">
        <v>160</v>
      </c>
      <c r="D36" s="10" t="s">
        <v>203</v>
      </c>
      <c r="E36" s="8">
        <f t="shared" ca="1" si="9"/>
        <v>43244</v>
      </c>
      <c r="F36" s="8">
        <f t="shared" ref="F36:F40" ca="1" si="66">E36+H36</f>
        <v>43273</v>
      </c>
      <c r="G36" s="11">
        <v>3300</v>
      </c>
      <c r="H36" s="10">
        <v>29</v>
      </c>
      <c r="I36" s="12">
        <f t="shared" ref="I36:I40" si="67">H36/365</f>
        <v>7.9452054794520555E-2</v>
      </c>
      <c r="J36" s="12">
        <v>0</v>
      </c>
      <c r="K36" s="116">
        <v>0.18</v>
      </c>
      <c r="L36" s="13">
        <f>_xll.dnetGBlackScholesNGreeks("price",$Q36,$P36,$G36,$I36,$C$3,$J36,$K36,$C$4)*R36</f>
        <v>1.7066803146460334E-191</v>
      </c>
      <c r="M36" s="15"/>
      <c r="N36" s="13">
        <f t="shared" ref="N36:N40" si="68">M36/10000*I36*P36</f>
        <v>0</v>
      </c>
      <c r="O36" s="13">
        <f t="shared" ref="O36:O40" si="69">IF(L36&lt;=0,ABS(L36)+N36,L36-N36)</f>
        <v>1.7066803146460334E-191</v>
      </c>
      <c r="P36" s="11">
        <f>RTD("wdf.rtq",,D36,"LastPrice")</f>
        <v>14800</v>
      </c>
      <c r="Q36" s="10" t="s">
        <v>85</v>
      </c>
      <c r="R36" s="10">
        <f t="shared" ref="R36:R40" si="70">IF(S36="中金买入",1,-1)</f>
        <v>1</v>
      </c>
      <c r="S36" s="10" t="s">
        <v>151</v>
      </c>
      <c r="T36" s="14">
        <f t="shared" ref="T36:T40" si="71">O36/P36</f>
        <v>1.1531623747608334E-195</v>
      </c>
      <c r="U36" s="13">
        <f>_xll.dnetGBlackScholesNGreeks("delta",$Q36,$P36,$G36,$I36,$C$3,$J36,$K36,$C$4)*R36</f>
        <v>-6.7321238088912429E-193</v>
      </c>
      <c r="V36" s="13">
        <f>_xll.dnetGBlackScholesNGreeks("vega",$Q36,$P36,$G36,$I36,$C$3,$J36,$K36,$C$4)*R36</f>
        <v>2.967718007487279E-172</v>
      </c>
      <c r="W36" s="114"/>
      <c r="X36" s="115">
        <v>400</v>
      </c>
      <c r="Y36" s="6">
        <f>X36*U36</f>
        <v>-2.6928495235564972E-190</v>
      </c>
    </row>
    <row r="37" spans="1:25" ht="10.5" customHeight="1" x14ac:dyDescent="0.15">
      <c r="A37" s="34"/>
      <c r="B37" s="13" t="s">
        <v>172</v>
      </c>
      <c r="C37" s="10" t="s">
        <v>160</v>
      </c>
      <c r="D37" s="10" t="s">
        <v>203</v>
      </c>
      <c r="E37" s="8">
        <f t="shared" ca="1" si="9"/>
        <v>43244</v>
      </c>
      <c r="F37" s="8">
        <f t="shared" ca="1" si="66"/>
        <v>43273</v>
      </c>
      <c r="G37" s="11">
        <v>3350</v>
      </c>
      <c r="H37" s="10">
        <v>29</v>
      </c>
      <c r="I37" s="12">
        <f t="shared" si="67"/>
        <v>7.9452054794520555E-2</v>
      </c>
      <c r="J37" s="12">
        <v>0</v>
      </c>
      <c r="K37" s="116">
        <v>0.18</v>
      </c>
      <c r="L37" s="13">
        <f>_xll.dnetGBlackScholesNGreeks("price",$Q37,$P37,$G37,$I37,$C$3,$J37,$K37,$C$4)*R37</f>
        <v>1.0773320755272907E-187</v>
      </c>
      <c r="M37" s="15"/>
      <c r="N37" s="13">
        <f t="shared" si="68"/>
        <v>0</v>
      </c>
      <c r="O37" s="13">
        <f t="shared" si="69"/>
        <v>1.0773320755272907E-187</v>
      </c>
      <c r="P37" s="11">
        <f>RTD("wdf.rtq",,D37,"LastPrice")</f>
        <v>14800</v>
      </c>
      <c r="Q37" s="10" t="s">
        <v>85</v>
      </c>
      <c r="R37" s="10">
        <f t="shared" si="70"/>
        <v>1</v>
      </c>
      <c r="S37" s="10" t="s">
        <v>151</v>
      </c>
      <c r="T37" s="14">
        <f t="shared" si="71"/>
        <v>7.2792707805898018E-192</v>
      </c>
      <c r="U37" s="13">
        <f>_xll.dnetGBlackScholesNGreeks("delta",$Q37,$P37,$G37,$I37,$C$3,$J37,$K37,$C$4)*R37</f>
        <v>-4.2071888884478116E-189</v>
      </c>
      <c r="V37" s="13">
        <f>_xll.dnetGBlackScholesNGreeks("vega",$Q37,$P37,$G37,$I37,$C$3,$J37,$K37,$C$4)*R37</f>
        <v>7.6621544338714229E-169</v>
      </c>
      <c r="W37" s="114"/>
      <c r="X37" s="115">
        <v>400</v>
      </c>
      <c r="Y37" s="6">
        <f>X37*U37</f>
        <v>-1.6828755553791247E-186</v>
      </c>
    </row>
    <row r="38" spans="1:25" ht="10.5" customHeight="1" x14ac:dyDescent="0.15">
      <c r="A38" s="34"/>
      <c r="B38" s="13" t="s">
        <v>172</v>
      </c>
      <c r="C38" s="10" t="s">
        <v>160</v>
      </c>
      <c r="D38" s="10" t="s">
        <v>260</v>
      </c>
      <c r="E38" s="8">
        <f t="shared" ca="1" si="9"/>
        <v>43244</v>
      </c>
      <c r="F38" s="8">
        <f t="shared" ca="1" si="66"/>
        <v>43273</v>
      </c>
      <c r="G38" s="11">
        <v>3400</v>
      </c>
      <c r="H38" s="10">
        <v>29</v>
      </c>
      <c r="I38" s="12">
        <f t="shared" si="67"/>
        <v>7.9452054794520555E-2</v>
      </c>
      <c r="J38" s="12">
        <v>0</v>
      </c>
      <c r="K38" s="116">
        <v>0.18</v>
      </c>
      <c r="L38" s="13">
        <f>_xll.dnetGBlackScholesNGreeks("price",$Q38,$P38,$G38,$I38,$C$3,$J38,$K38,$C$4)*R38</f>
        <v>2.4938626080778527E-185</v>
      </c>
      <c r="M38" s="15"/>
      <c r="N38" s="13">
        <f t="shared" si="68"/>
        <v>0</v>
      </c>
      <c r="O38" s="13">
        <f t="shared" si="69"/>
        <v>2.4938626080778527E-185</v>
      </c>
      <c r="P38" s="11">
        <f>RTD("wdf.rtq",,D38,"LastPrice")</f>
        <v>14880</v>
      </c>
      <c r="Q38" s="10" t="s">
        <v>85</v>
      </c>
      <c r="R38" s="10">
        <f t="shared" si="70"/>
        <v>1</v>
      </c>
      <c r="S38" s="10" t="s">
        <v>151</v>
      </c>
      <c r="T38" s="14">
        <f t="shared" si="71"/>
        <v>1.6759829355361913E-189</v>
      </c>
      <c r="U38" s="13">
        <f>_xll.dnetGBlackScholesNGreeks("delta",$Q38,$P38,$G38,$I38,$C$3,$J38,$K38,$C$4)*R38</f>
        <v>-9.6254383859624513E-187</v>
      </c>
      <c r="V38" s="13">
        <f>_xll.dnetGBlackScholesNGreeks("vega",$Q38,$P38,$G38,$I38,$C$3,$J38,$K38,$C$4)*R38</f>
        <v>1.0175099644301373E-166</v>
      </c>
      <c r="W38" s="114"/>
      <c r="X38" s="115">
        <v>400</v>
      </c>
      <c r="Y38" s="6">
        <f>X38*U38</f>
        <v>-3.8501753543849805E-184</v>
      </c>
    </row>
    <row r="39" spans="1:25" ht="10.5" customHeight="1" x14ac:dyDescent="0.15">
      <c r="A39" s="34"/>
      <c r="B39" s="13" t="s">
        <v>172</v>
      </c>
      <c r="C39" s="10" t="s">
        <v>160</v>
      </c>
      <c r="D39" s="10" t="s">
        <v>260</v>
      </c>
      <c r="E39" s="8">
        <f t="shared" ca="1" si="9"/>
        <v>43244</v>
      </c>
      <c r="F39" s="8">
        <f t="shared" ca="1" si="66"/>
        <v>43273</v>
      </c>
      <c r="G39" s="11">
        <v>3450</v>
      </c>
      <c r="H39" s="10">
        <v>29</v>
      </c>
      <c r="I39" s="12">
        <f t="shared" si="67"/>
        <v>7.9452054794520555E-2</v>
      </c>
      <c r="J39" s="12">
        <v>0</v>
      </c>
      <c r="K39" s="116">
        <v>0.18</v>
      </c>
      <c r="L39" s="13">
        <f>_xll.dnetGBlackScholesNGreeks("price",$Q39,$P39,$G39,$I39,$C$3,$J39,$K39,$C$4)*R39</f>
        <v>1.0630220952692441E-181</v>
      </c>
      <c r="M39" s="15"/>
      <c r="N39" s="13">
        <f t="shared" si="68"/>
        <v>0</v>
      </c>
      <c r="O39" s="13">
        <f t="shared" si="69"/>
        <v>1.0630220952692441E-181</v>
      </c>
      <c r="P39" s="11">
        <f>RTD("wdf.rtq",,D39,"LastPrice")</f>
        <v>14880</v>
      </c>
      <c r="Q39" s="10" t="s">
        <v>85</v>
      </c>
      <c r="R39" s="10">
        <f t="shared" si="70"/>
        <v>1</v>
      </c>
      <c r="S39" s="10" t="s">
        <v>151</v>
      </c>
      <c r="T39" s="14">
        <f t="shared" si="71"/>
        <v>7.1439656940137372E-186</v>
      </c>
      <c r="U39" s="13">
        <f>_xll.dnetGBlackScholesNGreeks("delta",$Q39,$P39,$G39,$I39,$C$3,$J39,$K39,$C$4)*R39</f>
        <v>-4.0624754213178721E-183</v>
      </c>
      <c r="V39" s="13">
        <f>_xll.dnetGBlackScholesNGreeks("vega",$Q39,$P39,$G39,$I39,$C$3,$J39,$K39,$C$4)*R39</f>
        <v>1.8466963411534914E-163</v>
      </c>
      <c r="W39" s="114"/>
      <c r="X39" s="115">
        <v>400</v>
      </c>
      <c r="Y39" s="6">
        <f>X39*U39</f>
        <v>-1.6249901685271488E-180</v>
      </c>
    </row>
    <row r="40" spans="1:25" ht="10.5" customHeight="1" x14ac:dyDescent="0.15">
      <c r="A40" s="34"/>
      <c r="B40" s="13" t="s">
        <v>172</v>
      </c>
      <c r="C40" s="10" t="s">
        <v>160</v>
      </c>
      <c r="D40" s="10" t="s">
        <v>260</v>
      </c>
      <c r="E40" s="8">
        <f t="shared" ca="1" si="9"/>
        <v>43244</v>
      </c>
      <c r="F40" s="8">
        <f t="shared" ca="1" si="66"/>
        <v>43273</v>
      </c>
      <c r="G40" s="11">
        <v>3500</v>
      </c>
      <c r="H40" s="10">
        <v>29</v>
      </c>
      <c r="I40" s="12">
        <f t="shared" si="67"/>
        <v>7.9452054794520555E-2</v>
      </c>
      <c r="J40" s="12">
        <v>0</v>
      </c>
      <c r="K40" s="116">
        <v>0.18</v>
      </c>
      <c r="L40" s="13">
        <f>_xll.dnetGBlackScholesNGreeks("price",$Q40,$P40,$G40,$I40,$C$3,$J40,$K40,$C$4)*R40</f>
        <v>4.7869790501171855E-173</v>
      </c>
      <c r="M40" s="15"/>
      <c r="N40" s="13">
        <f t="shared" si="68"/>
        <v>0</v>
      </c>
      <c r="O40" s="13">
        <f t="shared" si="69"/>
        <v>4.7869790501171855E-173</v>
      </c>
      <c r="P40" s="11">
        <v>14570</v>
      </c>
      <c r="Q40" s="10" t="s">
        <v>85</v>
      </c>
      <c r="R40" s="10">
        <f t="shared" si="70"/>
        <v>1</v>
      </c>
      <c r="S40" s="10" t="s">
        <v>151</v>
      </c>
      <c r="T40" s="14">
        <f t="shared" si="71"/>
        <v>3.2855038092774092E-177</v>
      </c>
      <c r="U40" s="13">
        <f>_xll.dnetGBlackScholesNGreeks("delta",$Q40,$P40,$G40,$I40,$C$3,$J40,$K40,$C$4)*R40</f>
        <v>-1.8232045573439186E-174</v>
      </c>
      <c r="V40" s="13">
        <f>_xll.dnetGBlackScholesNGreeks("vega",$Q40,$P40,$G40,$I40,$C$3,$J40,$K40,$C$4)*R40</f>
        <v>1.0839493699415516E-155</v>
      </c>
      <c r="W40" s="114"/>
      <c r="X40" s="115">
        <v>400</v>
      </c>
      <c r="Y40" s="6">
        <f>X40*U40</f>
        <v>-7.2928182293756742E-172</v>
      </c>
    </row>
  </sheetData>
  <mergeCells count="1">
    <mergeCell ref="B1:C1"/>
  </mergeCells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configs!$B$1:$B$2</xm:f>
          </x14:formula1>
          <xm:sqref>S8:S9 S12:S14 S17:S21 S23:S28 S30:S34 S36:S40</xm:sqref>
        </x14:dataValidation>
        <x14:dataValidation type="list" allowBlank="1" showInputMessage="1" showErrorMessage="1">
          <x14:formula1>
            <xm:f>configs!$C$1:$C$2</xm:f>
          </x14:formula1>
          <xm:sqref>Q8:Q9 Q12:Q14 Q17:Q21 Q23:Q28 Q30:Q34 Q36:Q40</xm:sqref>
        </x14:dataValidation>
        <x14:dataValidation type="list" allowBlank="1" showInputMessage="1">
          <x14:formula1>
            <xm:f>configs!$A$1:$A$36</xm:f>
          </x14:formula1>
          <xm:sqref>C8:C9 C12:C14 C17:C21 C23:C28 C30:C34 C36:C40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>
      <selection activeCell="U24" sqref="U24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1"/>
  <sheetViews>
    <sheetView topLeftCell="A10" zoomScale="85" zoomScaleNormal="85" workbookViewId="0">
      <selection activeCell="N46" sqref="N46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9" style="6"/>
    <col min="5" max="5" width="11.625" style="6" bestFit="1" customWidth="1"/>
    <col min="6" max="6" width="10.5" style="6" bestFit="1" customWidth="1"/>
    <col min="7" max="7" width="11.5" style="6" customWidth="1"/>
    <col min="8" max="9" width="8.125" style="6" customWidth="1"/>
    <col min="10" max="10" width="9.25" style="6" bestFit="1" customWidth="1"/>
    <col min="11" max="11" width="7.25" style="6" customWidth="1"/>
    <col min="12" max="12" width="9.25" style="6" bestFit="1" customWidth="1"/>
    <col min="13" max="13" width="10.125" style="6" customWidth="1"/>
    <col min="14" max="14" width="6.5" style="6" customWidth="1"/>
    <col min="15" max="15" width="15.25" style="6" customWidth="1"/>
    <col min="16" max="16" width="10.5" style="6" bestFit="1" customWidth="1"/>
    <col min="17" max="17" width="9" style="6"/>
    <col min="18" max="18" width="9.375" style="6" customWidth="1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 x14ac:dyDescent="0.2">
      <c r="B1" s="146" t="s">
        <v>37</v>
      </c>
      <c r="C1" s="145"/>
    </row>
    <row r="2" spans="1:22" ht="12" thickTop="1" x14ac:dyDescent="0.15">
      <c r="B2" s="29" t="s">
        <v>0</v>
      </c>
      <c r="C2" s="4">
        <v>43061</v>
      </c>
    </row>
    <row r="3" spans="1:22" x14ac:dyDescent="0.15">
      <c r="B3" s="29" t="s">
        <v>1</v>
      </c>
      <c r="C3" s="29">
        <v>0.02</v>
      </c>
    </row>
    <row r="4" spans="1:22" ht="12" thickBot="1" x14ac:dyDescent="0.2">
      <c r="B4" s="30" t="s">
        <v>18</v>
      </c>
      <c r="C4" s="30">
        <v>0.01</v>
      </c>
    </row>
    <row r="5" spans="1:22" ht="12" thickTop="1" x14ac:dyDescent="0.15"/>
    <row r="6" spans="1:22" ht="12" thickBo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 x14ac:dyDescent="0.2">
      <c r="A7" s="39"/>
      <c r="B7" s="40" t="s">
        <v>29</v>
      </c>
      <c r="C7" s="40" t="s">
        <v>2</v>
      </c>
      <c r="D7" s="41" t="s">
        <v>181</v>
      </c>
      <c r="E7" s="41" t="s">
        <v>183</v>
      </c>
      <c r="F7" s="41" t="s">
        <v>10</v>
      </c>
      <c r="G7" s="41" t="s">
        <v>7</v>
      </c>
      <c r="H7" s="41" t="s">
        <v>11</v>
      </c>
      <c r="I7" s="41" t="s">
        <v>12</v>
      </c>
      <c r="J7" s="41" t="s">
        <v>47</v>
      </c>
      <c r="K7" s="41" t="s">
        <v>13</v>
      </c>
      <c r="L7" s="41" t="s">
        <v>14</v>
      </c>
      <c r="M7" s="41" t="s">
        <v>26</v>
      </c>
      <c r="N7" s="41" t="s">
        <v>28</v>
      </c>
      <c r="O7" s="41" t="s">
        <v>182</v>
      </c>
      <c r="P7" s="41" t="s">
        <v>8</v>
      </c>
      <c r="Q7" s="41" t="s">
        <v>23</v>
      </c>
      <c r="R7" s="41"/>
      <c r="S7" s="41" t="s">
        <v>30</v>
      </c>
      <c r="T7" s="40" t="s">
        <v>33</v>
      </c>
      <c r="U7" s="40" t="s">
        <v>16</v>
      </c>
      <c r="V7" s="40" t="s">
        <v>17</v>
      </c>
    </row>
    <row r="8" spans="1:22" ht="14.25" thickTop="1" x14ac:dyDescent="0.15">
      <c r="A8" s="42"/>
      <c r="B8" s="43" t="s">
        <v>173</v>
      </c>
      <c r="C8" s="44" t="s">
        <v>160</v>
      </c>
      <c r="D8" s="44" t="s">
        <v>159</v>
      </c>
      <c r="E8" s="46">
        <f ca="1">TODAY()</f>
        <v>43244</v>
      </c>
      <c r="F8" s="46">
        <f ca="1">E8+H8</f>
        <v>43274</v>
      </c>
      <c r="G8" s="44">
        <v>100</v>
      </c>
      <c r="H8" s="44">
        <v>30</v>
      </c>
      <c r="I8" s="47">
        <f>H8/365</f>
        <v>8.2191780821917804E-2</v>
      </c>
      <c r="J8" s="47">
        <v>0</v>
      </c>
      <c r="K8" s="48">
        <v>0.32</v>
      </c>
      <c r="L8" s="43">
        <f>_xll.dnetGBlackScholesNGreeks("price",$Q8,$P8,$G8,$I8,$C$3,$J8,$K8,$C$4)*R8</f>
        <v>-3.6526499295562971</v>
      </c>
      <c r="M8" s="49"/>
      <c r="N8" s="43"/>
      <c r="O8" s="43">
        <f t="shared" ref="O8:O10" si="0">IF(L8&lt;=0,ABS(L8)+N8,L8-N8)</f>
        <v>3.6526499295562971</v>
      </c>
      <c r="P8" s="45">
        <v>100</v>
      </c>
      <c r="Q8" s="44" t="s">
        <v>39</v>
      </c>
      <c r="R8" s="44">
        <f>IF(S8="中金买入",1,-1)</f>
        <v>-1</v>
      </c>
      <c r="S8" s="48" t="s">
        <v>20</v>
      </c>
      <c r="T8" s="50"/>
      <c r="U8" s="43">
        <f>_xll.dnetGBlackScholesNGreeks("delta",$Q8,$P8,$G8,$I8,$C$3,$J8,$K8,$C$4)*R8</f>
        <v>-0.51744199617651532</v>
      </c>
      <c r="V8" s="43">
        <f>_xll.dnetGBlackScholesNGreeks("vega",$Q8,$P8,$G8,$I8,$C$3,$J8,$K8,$C$4)*R8</f>
        <v>-0.11406523569462124</v>
      </c>
    </row>
    <row r="9" spans="1:22" ht="13.5" x14ac:dyDescent="0.15">
      <c r="A9" s="42"/>
      <c r="B9" s="51" t="s">
        <v>174</v>
      </c>
      <c r="C9" s="52" t="s">
        <v>160</v>
      </c>
      <c r="D9" s="52" t="s">
        <v>159</v>
      </c>
      <c r="E9" s="54">
        <f ca="1">E8</f>
        <v>43244</v>
      </c>
      <c r="F9" s="54">
        <f ca="1">F8</f>
        <v>43274</v>
      </c>
      <c r="G9" s="52">
        <v>100</v>
      </c>
      <c r="H9" s="52">
        <f>H8</f>
        <v>30</v>
      </c>
      <c r="I9" s="55">
        <f>H9/365</f>
        <v>8.2191780821917804E-2</v>
      </c>
      <c r="J9" s="55">
        <f>J8</f>
        <v>0</v>
      </c>
      <c r="K9" s="56">
        <v>0.3</v>
      </c>
      <c r="L9" s="51">
        <f>_xll.dnetGBlackScholesNGreeks("price",$Q9,$P9,$G9,$I9,$C$3,$J9,$K9,$C$4)*R9</f>
        <v>3.4245046917201378</v>
      </c>
      <c r="M9" s="57"/>
      <c r="N9" s="51"/>
      <c r="O9" s="51">
        <f t="shared" si="0"/>
        <v>3.4245046917201378</v>
      </c>
      <c r="P9" s="53">
        <v>100</v>
      </c>
      <c r="Q9" s="52" t="s">
        <v>39</v>
      </c>
      <c r="R9" s="52">
        <f>IF(S9="中金买入",1,-1)</f>
        <v>1</v>
      </c>
      <c r="S9" s="56" t="s">
        <v>151</v>
      </c>
      <c r="T9" s="58"/>
      <c r="U9" s="51">
        <f>_xll.dnetGBlackScholesNGreeks("delta",$Q9,$P9,$G9,$I9,$C$3,$J9,$K9,$C$4)*R9</f>
        <v>0.51630126926376363</v>
      </c>
      <c r="V9" s="51">
        <f>_xll.dnetGBlackScholesNGreeks("vega",$Q9,$P9,$G9,$I9,$C$3,$J9,$K9,$C$4)*R9</f>
        <v>0.11407976820886745</v>
      </c>
    </row>
    <row r="10" spans="1:22" ht="14.25" thickBot="1" x14ac:dyDescent="0.2">
      <c r="A10" s="42"/>
      <c r="B10" s="59" t="s">
        <v>175</v>
      </c>
      <c r="C10" s="60" t="s">
        <v>160</v>
      </c>
      <c r="D10" s="60" t="str">
        <f>D9</f>
        <v>RB1805</v>
      </c>
      <c r="E10" s="62">
        <f ca="1">E9</f>
        <v>43244</v>
      </c>
      <c r="F10" s="62">
        <f ca="1">F9</f>
        <v>43274</v>
      </c>
      <c r="G10" s="60" t="str">
        <f>G8 &amp; "|" &amp; G9</f>
        <v>100|100</v>
      </c>
      <c r="H10" s="60">
        <f>H9</f>
        <v>30</v>
      </c>
      <c r="I10" s="63">
        <f>I9</f>
        <v>8.2191780821917804E-2</v>
      </c>
      <c r="J10" s="63"/>
      <c r="K10" s="60"/>
      <c r="L10" s="59">
        <f>L9+L8</f>
        <v>-0.22814523783615925</v>
      </c>
      <c r="M10" s="60"/>
      <c r="N10" s="59">
        <f>M10/10000*I10*P10</f>
        <v>0</v>
      </c>
      <c r="O10" s="59">
        <f t="shared" si="0"/>
        <v>0.22814523783615925</v>
      </c>
      <c r="P10" s="61">
        <f>P9</f>
        <v>100</v>
      </c>
      <c r="Q10" s="60"/>
      <c r="R10" s="60"/>
      <c r="S10" s="56" t="s">
        <v>151</v>
      </c>
      <c r="T10" s="64">
        <f>O10/P10</f>
        <v>2.2814523783615927E-3</v>
      </c>
      <c r="U10" s="64">
        <f>U9+U8</f>
        <v>-1.1407269127516884E-3</v>
      </c>
      <c r="V10" s="64">
        <f>V9+V8</f>
        <v>1.4532514246212713E-5</v>
      </c>
    </row>
    <row r="11" spans="1:22" s="95" customFormat="1" ht="14.25" thickTop="1" x14ac:dyDescent="0.15">
      <c r="A11" s="96"/>
      <c r="B11" s="43" t="s">
        <v>173</v>
      </c>
      <c r="C11" s="44" t="s">
        <v>160</v>
      </c>
      <c r="D11" s="44" t="s">
        <v>202</v>
      </c>
      <c r="E11" s="46">
        <f ca="1">TODAY()</f>
        <v>43244</v>
      </c>
      <c r="F11" s="46">
        <f ca="1">E11+H11</f>
        <v>43259</v>
      </c>
      <c r="G11" s="113">
        <f>P11-20</f>
        <v>439.5</v>
      </c>
      <c r="H11" s="44">
        <v>15</v>
      </c>
      <c r="I11" s="47">
        <f>H11/365</f>
        <v>4.1095890410958902E-2</v>
      </c>
      <c r="J11" s="47">
        <v>0</v>
      </c>
      <c r="K11" s="48">
        <v>0.3</v>
      </c>
      <c r="L11" s="43">
        <f>_xll.dnetGBlackScholesNGreeks("price",$Q11,$P11,$G11,$I11,$C$3,$J11,$K11,$C$4)*R11</f>
        <v>-3.6953310893291729</v>
      </c>
      <c r="M11" s="49"/>
      <c r="N11" s="43"/>
      <c r="O11" s="43">
        <f t="shared" ref="O11:O13" si="1">IF(L11&lt;=0,ABS(L11)+N11,L11-N11)</f>
        <v>3.6953310893291729</v>
      </c>
      <c r="P11" s="110">
        <f>RTD("wdf.rtq",,D11,"LastPrice")</f>
        <v>459.5</v>
      </c>
      <c r="Q11" s="44" t="s">
        <v>85</v>
      </c>
      <c r="R11" s="44">
        <f>IF(S11="中金买入",1,-1)</f>
        <v>-1</v>
      </c>
      <c r="S11" s="48" t="s">
        <v>20</v>
      </c>
      <c r="T11" s="50"/>
      <c r="U11" s="43">
        <f>_xll.dnetGBlackScholesNGreeks("delta",$Q11,$P11,$G11,$I11,$C$3,$J11,$K11,$C$4)*R11</f>
        <v>0.22280524386673051</v>
      </c>
      <c r="V11" s="43">
        <f>_xll.dnetGBlackScholesNGreeks("vega",$Q11,$P11,$G11,$I11,$C$3,$J11,$K11,$C$4)*R11</f>
        <v>-0.27765156822788839</v>
      </c>
    </row>
    <row r="12" spans="1:22" s="95" customFormat="1" ht="13.5" x14ac:dyDescent="0.15">
      <c r="A12" s="96"/>
      <c r="B12" s="51" t="s">
        <v>174</v>
      </c>
      <c r="C12" s="52" t="s">
        <v>160</v>
      </c>
      <c r="D12" s="52" t="s">
        <v>202</v>
      </c>
      <c r="E12" s="54">
        <f t="shared" ref="E12:F12" ca="1" si="2">E11</f>
        <v>43244</v>
      </c>
      <c r="F12" s="54">
        <f t="shared" ca="1" si="2"/>
        <v>43259</v>
      </c>
      <c r="G12" s="52">
        <f>G11+50</f>
        <v>489.5</v>
      </c>
      <c r="H12" s="52">
        <f>H11</f>
        <v>15</v>
      </c>
      <c r="I12" s="55">
        <f>H12/365</f>
        <v>4.1095890410958902E-2</v>
      </c>
      <c r="J12" s="55">
        <f>J11</f>
        <v>0</v>
      </c>
      <c r="K12" s="56">
        <v>0.28999999999999998</v>
      </c>
      <c r="L12" s="51">
        <f>_xll.dnetGBlackScholesNGreeks("price",$Q12,$P12,$G12,$I12,$C$3,$J12,$K12,$C$4)*R12</f>
        <v>2.0043266499227457</v>
      </c>
      <c r="M12" s="57"/>
      <c r="N12" s="51"/>
      <c r="O12" s="51">
        <f t="shared" si="1"/>
        <v>2.0043266499227457</v>
      </c>
      <c r="P12" s="94">
        <f>P11</f>
        <v>459.5</v>
      </c>
      <c r="Q12" s="52" t="s">
        <v>39</v>
      </c>
      <c r="R12" s="52">
        <f>IF(S12="中金买入",1,-1)</f>
        <v>1</v>
      </c>
      <c r="S12" s="56" t="s">
        <v>151</v>
      </c>
      <c r="T12" s="58"/>
      <c r="U12" s="51">
        <f>_xll.dnetGBlackScholesNGreeks("delta",$Q12,$P12,$G12,$I12,$C$3,$J12,$K12,$C$4)*R12</f>
        <v>0.14756502293877816</v>
      </c>
      <c r="V12" s="51">
        <f>_xll.dnetGBlackScholesNGreeks("vega",$Q12,$P12,$G12,$I12,$C$3,$J12,$K12,$C$4)*R12</f>
        <v>0.21467643550595383</v>
      </c>
    </row>
    <row r="13" spans="1:22" s="98" customFormat="1" ht="14.25" thickBot="1" x14ac:dyDescent="0.2">
      <c r="A13" s="97"/>
      <c r="B13" s="59" t="s">
        <v>175</v>
      </c>
      <c r="C13" s="60" t="s">
        <v>160</v>
      </c>
      <c r="D13" s="60" t="str">
        <f t="shared" ref="D13:F13" si="3">D12</f>
        <v>i1809</v>
      </c>
      <c r="E13" s="62">
        <f t="shared" ca="1" si="3"/>
        <v>43244</v>
      </c>
      <c r="F13" s="62">
        <f t="shared" ca="1" si="3"/>
        <v>43259</v>
      </c>
      <c r="G13" s="60" t="str">
        <f>G11 &amp; "|" &amp; G12</f>
        <v>439.5|489.5</v>
      </c>
      <c r="H13" s="60">
        <f>H12</f>
        <v>15</v>
      </c>
      <c r="I13" s="63">
        <f>I12</f>
        <v>4.1095890410958902E-2</v>
      </c>
      <c r="J13" s="63"/>
      <c r="K13" s="60"/>
      <c r="L13" s="59">
        <f>L12+L11</f>
        <v>-1.6910044394064272</v>
      </c>
      <c r="M13" s="60">
        <v>0</v>
      </c>
      <c r="N13" s="59">
        <f>M13/10000*I13*P13</f>
        <v>0</v>
      </c>
      <c r="O13" s="59">
        <f t="shared" si="1"/>
        <v>1.6910044394064272</v>
      </c>
      <c r="P13" s="111">
        <f>P12</f>
        <v>459.5</v>
      </c>
      <c r="Q13" s="60"/>
      <c r="R13" s="60"/>
      <c r="S13" s="56" t="s">
        <v>151</v>
      </c>
      <c r="T13" s="64">
        <f>O13/P13</f>
        <v>3.6800967125275889E-3</v>
      </c>
      <c r="U13" s="64">
        <f>U12+U11</f>
        <v>0.37037026680550866</v>
      </c>
      <c r="V13" s="64">
        <f>V12+V11</f>
        <v>-6.2975132721934557E-2</v>
      </c>
    </row>
    <row r="14" spans="1:22" s="95" customFormat="1" ht="14.25" thickTop="1" x14ac:dyDescent="0.15">
      <c r="A14" s="96"/>
      <c r="B14" s="43" t="s">
        <v>173</v>
      </c>
      <c r="C14" s="44" t="s">
        <v>160</v>
      </c>
      <c r="D14" s="44" t="s">
        <v>211</v>
      </c>
      <c r="E14" s="46">
        <f ca="1">TODAY()</f>
        <v>43244</v>
      </c>
      <c r="F14" s="46">
        <f ca="1">E14+H14</f>
        <v>43335</v>
      </c>
      <c r="G14" s="113">
        <v>3480</v>
      </c>
      <c r="H14" s="44">
        <v>91</v>
      </c>
      <c r="I14" s="47">
        <f>H14/365</f>
        <v>0.24931506849315069</v>
      </c>
      <c r="J14" s="47">
        <v>0</v>
      </c>
      <c r="K14" s="48">
        <f>K15+0.02</f>
        <v>0.30000000000000004</v>
      </c>
      <c r="L14" s="43">
        <f>_xll.dnetGBlackScholesNGreeks("price",$Q14,$P14,$G14,$I14,$C$3,$J14,$K14,$C$4)*R14</f>
        <v>-264.99503799563013</v>
      </c>
      <c r="M14" s="49"/>
      <c r="N14" s="43"/>
      <c r="O14" s="43">
        <f t="shared" ref="O14:O16" si="4">IF(L14&lt;=0,ABS(L14)+N14,L14-N14)</f>
        <v>264.99503799563013</v>
      </c>
      <c r="P14" s="110">
        <f>RTD("wdf.rtq",,D14,"LastPrice")</f>
        <v>3583</v>
      </c>
      <c r="Q14" s="44" t="s">
        <v>39</v>
      </c>
      <c r="R14" s="44">
        <f>IF(S14="中金买入",1,-1)</f>
        <v>-1</v>
      </c>
      <c r="S14" s="48" t="s">
        <v>20</v>
      </c>
      <c r="T14" s="50"/>
      <c r="U14" s="43">
        <f>_xll.dnetGBlackScholesNGreeks("delta",$Q14,$P14,$G14,$I14,$C$3,$J14,$K14,$C$4)*R14</f>
        <v>-0.60325754676568977</v>
      </c>
      <c r="V14" s="43">
        <f>_xll.dnetGBlackScholesNGreeks("vega",$Q14,$P14,$G14,$I14,$C$3,$J14,$K14,$C$4)*R14</f>
        <v>-6.8481106493269408</v>
      </c>
    </row>
    <row r="15" spans="1:22" s="95" customFormat="1" ht="13.5" x14ac:dyDescent="0.15">
      <c r="A15" s="96"/>
      <c r="B15" s="51" t="s">
        <v>174</v>
      </c>
      <c r="C15" s="52" t="s">
        <v>160</v>
      </c>
      <c r="D15" s="52" t="str">
        <f>D14</f>
        <v>rb1810</v>
      </c>
      <c r="E15" s="54">
        <f t="shared" ref="E15:F15" ca="1" si="5">E14</f>
        <v>43244</v>
      </c>
      <c r="F15" s="54">
        <f t="shared" ca="1" si="5"/>
        <v>43335</v>
      </c>
      <c r="G15" s="52">
        <v>3280</v>
      </c>
      <c r="H15" s="52">
        <f>H14</f>
        <v>91</v>
      </c>
      <c r="I15" s="55">
        <f>H15/365</f>
        <v>0.24931506849315069</v>
      </c>
      <c r="J15" s="55">
        <f>J14</f>
        <v>0</v>
      </c>
      <c r="K15" s="56">
        <v>0.28000000000000003</v>
      </c>
      <c r="L15" s="51">
        <f>_xll.dnetGBlackScholesNGreeks("price",$Q15,$P15,$G15,$I15,$C$3,$J15,$K15,$C$4)*R15</f>
        <v>76.235044072163987</v>
      </c>
      <c r="M15" s="57"/>
      <c r="N15" s="51"/>
      <c r="O15" s="51">
        <f t="shared" si="4"/>
        <v>76.235044072163987</v>
      </c>
      <c r="P15" s="94">
        <f>P14</f>
        <v>3583</v>
      </c>
      <c r="Q15" s="52" t="s">
        <v>85</v>
      </c>
      <c r="R15" s="52">
        <f>IF(S15="中金买入",1,-1)</f>
        <v>1</v>
      </c>
      <c r="S15" s="56" t="s">
        <v>151</v>
      </c>
      <c r="T15" s="58"/>
      <c r="U15" s="51">
        <f>_xll.dnetGBlackScholesNGreeks("delta",$Q15,$P15,$G15,$I15,$C$3,$J15,$K15,$C$4)*R15</f>
        <v>-0.24017272089054131</v>
      </c>
      <c r="V15" s="51">
        <f>_xll.dnetGBlackScholesNGreeks("vega",$Q15,$P15,$G15,$I15,$C$3,$J15,$K15,$C$4)*R15</f>
        <v>5.54997133642172</v>
      </c>
    </row>
    <row r="16" spans="1:22" s="98" customFormat="1" ht="14.25" thickBot="1" x14ac:dyDescent="0.2">
      <c r="A16" s="97"/>
      <c r="B16" s="59" t="s">
        <v>175</v>
      </c>
      <c r="C16" s="60" t="s">
        <v>160</v>
      </c>
      <c r="D16" s="60" t="str">
        <f>D15</f>
        <v>rb1810</v>
      </c>
      <c r="E16" s="62">
        <f t="shared" ref="E16:F16" ca="1" si="6">E15</f>
        <v>43244</v>
      </c>
      <c r="F16" s="62">
        <f t="shared" ca="1" si="6"/>
        <v>43335</v>
      </c>
      <c r="G16" s="60" t="str">
        <f>G14 &amp; "|" &amp; G15</f>
        <v>3480|3280</v>
      </c>
      <c r="H16" s="60">
        <f>H15</f>
        <v>91</v>
      </c>
      <c r="I16" s="63">
        <f>I15</f>
        <v>0.24931506849315069</v>
      </c>
      <c r="J16" s="63"/>
      <c r="K16" s="60"/>
      <c r="L16" s="59">
        <f>L15+L14</f>
        <v>-188.75999392346614</v>
      </c>
      <c r="M16" s="60">
        <v>0</v>
      </c>
      <c r="N16" s="59">
        <f>M16/10000*I16*P16</f>
        <v>0</v>
      </c>
      <c r="O16" s="59">
        <f t="shared" si="4"/>
        <v>188.75999392346614</v>
      </c>
      <c r="P16" s="111">
        <f>P15</f>
        <v>3583</v>
      </c>
      <c r="Q16" s="60"/>
      <c r="R16" s="60"/>
      <c r="S16" s="56" t="s">
        <v>151</v>
      </c>
      <c r="T16" s="64">
        <f>O16/P16</f>
        <v>5.2682108267782905E-2</v>
      </c>
      <c r="U16" s="64">
        <f>U15+U14</f>
        <v>-0.84343026765623108</v>
      </c>
      <c r="V16" s="64">
        <f>V15+V14</f>
        <v>-1.2981393129052208</v>
      </c>
    </row>
    <row r="17" spans="1:22" ht="12" thickBot="1" x14ac:dyDescent="0.2"/>
    <row r="18" spans="1:22" s="95" customFormat="1" ht="14.25" thickTop="1" x14ac:dyDescent="0.15">
      <c r="A18" s="96"/>
      <c r="B18" s="43" t="s">
        <v>173</v>
      </c>
      <c r="C18" s="44" t="s">
        <v>160</v>
      </c>
      <c r="D18" s="44" t="s">
        <v>241</v>
      </c>
      <c r="E18" s="46">
        <f ca="1">TODAY()</f>
        <v>43244</v>
      </c>
      <c r="F18" s="46">
        <f ca="1">E18+H18</f>
        <v>43275</v>
      </c>
      <c r="G18" s="118">
        <v>3000</v>
      </c>
      <c r="H18" s="44">
        <v>31</v>
      </c>
      <c r="I18" s="47">
        <f>H18/365</f>
        <v>8.4931506849315067E-2</v>
      </c>
      <c r="J18" s="47">
        <v>0</v>
      </c>
      <c r="K18" s="48">
        <v>0.16</v>
      </c>
      <c r="L18" s="43">
        <f>_xll.dnetGBlackScholesNGreeks("price",$Q18,$P18,$G18,$I18,$C$3,$J18,$K18,$C$4)*R18</f>
        <v>36.865888585146422</v>
      </c>
      <c r="M18" s="49"/>
      <c r="N18" s="43"/>
      <c r="O18" s="43">
        <f t="shared" ref="O18:O20" si="7">IF(L18&lt;=0,ABS(L18)+N18,L18-N18)</f>
        <v>36.865888585146422</v>
      </c>
      <c r="P18" s="110">
        <f>RTD("wdf.rtq",,D18,"LastPrice")</f>
        <v>3044</v>
      </c>
      <c r="Q18" s="44" t="s">
        <v>85</v>
      </c>
      <c r="R18" s="44">
        <f>IF(S18="中金买入",1,-1)</f>
        <v>1</v>
      </c>
      <c r="S18" s="48" t="s">
        <v>151</v>
      </c>
      <c r="T18" s="50"/>
      <c r="U18" s="43">
        <f>_xll.dnetGBlackScholesNGreeks("delta",$Q18,$P18,$G18,$I18,$C$3,$J18,$K18,$C$4)*R18</f>
        <v>-0.36797165250845865</v>
      </c>
      <c r="V18" s="43">
        <f>_xll.dnetGBlackScholesNGreeks("vega",$Q18,$P18,$G18,$I18,$C$3,$J18,$K18,$C$4)*R18</f>
        <v>3.3390155930551373</v>
      </c>
    </row>
    <row r="19" spans="1:22" s="95" customFormat="1" ht="13.5" x14ac:dyDescent="0.15">
      <c r="A19" s="96"/>
      <c r="B19" s="51" t="s">
        <v>174</v>
      </c>
      <c r="C19" s="52" t="s">
        <v>160</v>
      </c>
      <c r="D19" s="52" t="str">
        <f>D18</f>
        <v>m1809</v>
      </c>
      <c r="E19" s="54">
        <f t="shared" ref="E19:F19" ca="1" si="8">E18</f>
        <v>43244</v>
      </c>
      <c r="F19" s="54">
        <f t="shared" ca="1" si="8"/>
        <v>43275</v>
      </c>
      <c r="G19" s="119">
        <v>3280</v>
      </c>
      <c r="H19" s="52">
        <f>H18</f>
        <v>31</v>
      </c>
      <c r="I19" s="55">
        <f>H19/365</f>
        <v>8.4931506849315067E-2</v>
      </c>
      <c r="J19" s="55">
        <f>J18</f>
        <v>0</v>
      </c>
      <c r="K19" s="56">
        <v>0.18</v>
      </c>
      <c r="L19" s="51">
        <f>_xll.dnetGBlackScholesNGreeks("price",$Q19,$P19,$G19,$I19,$C$3,$J19,$K19,$C$4)*R19</f>
        <v>-5.7594555040135731</v>
      </c>
      <c r="M19" s="57"/>
      <c r="N19" s="51"/>
      <c r="O19" s="51">
        <f t="shared" si="7"/>
        <v>5.7594555040135731</v>
      </c>
      <c r="P19" s="94">
        <f>P18</f>
        <v>3044</v>
      </c>
      <c r="Q19" s="52" t="s">
        <v>39</v>
      </c>
      <c r="R19" s="52">
        <f>IF(S19="中金买入",1,-1)</f>
        <v>-1</v>
      </c>
      <c r="S19" s="56" t="s">
        <v>20</v>
      </c>
      <c r="T19" s="58"/>
      <c r="U19" s="51">
        <f>_xll.dnetGBlackScholesNGreeks("delta",$Q19,$P19,$G19,$I19,$C$3,$J19,$K19,$C$4)*R19</f>
        <v>-8.1034409575408972E-2</v>
      </c>
      <c r="V19" s="51">
        <f>_xll.dnetGBlackScholesNGreeks("vega",$Q19,$P19,$G19,$I19,$C$3,$J19,$K19,$C$4)*R19</f>
        <v>-1.3297967727293809</v>
      </c>
    </row>
    <row r="20" spans="1:22" s="98" customFormat="1" ht="14.25" thickBot="1" x14ac:dyDescent="0.2">
      <c r="A20" s="97"/>
      <c r="B20" s="59" t="s">
        <v>175</v>
      </c>
      <c r="C20" s="60" t="s">
        <v>160</v>
      </c>
      <c r="D20" s="60" t="str">
        <f>D19</f>
        <v>m1809</v>
      </c>
      <c r="E20" s="62">
        <f t="shared" ref="E20:F20" ca="1" si="9">E19</f>
        <v>43244</v>
      </c>
      <c r="F20" s="62">
        <f t="shared" ca="1" si="9"/>
        <v>43275</v>
      </c>
      <c r="G20" s="60" t="str">
        <f>G18 &amp; "|" &amp; G19</f>
        <v>3000|3280</v>
      </c>
      <c r="H20" s="60">
        <f>H19</f>
        <v>31</v>
      </c>
      <c r="I20" s="63">
        <f>I19</f>
        <v>8.4931506849315067E-2</v>
      </c>
      <c r="J20" s="63"/>
      <c r="K20" s="60"/>
      <c r="L20" s="59">
        <f>L19+L18</f>
        <v>31.106433081132849</v>
      </c>
      <c r="M20" s="60">
        <v>0</v>
      </c>
      <c r="N20" s="59">
        <f>M20/10000*I20*P20</f>
        <v>0</v>
      </c>
      <c r="O20" s="59">
        <f t="shared" si="7"/>
        <v>31.106433081132849</v>
      </c>
      <c r="P20" s="111">
        <f>P19</f>
        <v>3044</v>
      </c>
      <c r="Q20" s="60"/>
      <c r="R20" s="60"/>
      <c r="S20" s="56"/>
      <c r="T20" s="64">
        <f>O20/P20</f>
        <v>1.0218933338085693E-2</v>
      </c>
      <c r="U20" s="64">
        <f>U19+U18</f>
        <v>-0.44900606208386762</v>
      </c>
      <c r="V20" s="64">
        <f>V19+V18</f>
        <v>2.0092188203257564</v>
      </c>
    </row>
    <row r="21" spans="1:22" s="95" customFormat="1" ht="14.25" thickTop="1" x14ac:dyDescent="0.15">
      <c r="A21" s="96"/>
      <c r="B21" s="43" t="s">
        <v>173</v>
      </c>
      <c r="C21" s="44" t="s">
        <v>160</v>
      </c>
      <c r="D21" s="44" t="s">
        <v>241</v>
      </c>
      <c r="E21" s="46">
        <f ca="1">TODAY()</f>
        <v>43244</v>
      </c>
      <c r="F21" s="46">
        <f ca="1">E21+H21</f>
        <v>43336</v>
      </c>
      <c r="G21" s="118">
        <v>3000</v>
      </c>
      <c r="H21" s="44">
        <v>92</v>
      </c>
      <c r="I21" s="47">
        <f>H21/365</f>
        <v>0.25205479452054796</v>
      </c>
      <c r="J21" s="47">
        <v>0</v>
      </c>
      <c r="K21" s="48">
        <v>0.16</v>
      </c>
      <c r="L21" s="43">
        <f>_xll.dnetGBlackScholesNGreeks("price",$Q21,$P21,$G21,$I21,$C$3,$J21,$K21,$C$4)*R21</f>
        <v>76.018850235218224</v>
      </c>
      <c r="M21" s="49"/>
      <c r="N21" s="43"/>
      <c r="O21" s="43">
        <f t="shared" ref="O21:O23" si="10">IF(L21&lt;=0,ABS(L21)+N21,L21-N21)</f>
        <v>76.018850235218224</v>
      </c>
      <c r="P21" s="110">
        <f>RTD("wdf.rtq",,D21,"LastPrice")</f>
        <v>3044</v>
      </c>
      <c r="Q21" s="44" t="s">
        <v>85</v>
      </c>
      <c r="R21" s="44">
        <f>IF(S21="中金买入",1,-1)</f>
        <v>1</v>
      </c>
      <c r="S21" s="48" t="s">
        <v>151</v>
      </c>
      <c r="T21" s="50"/>
      <c r="U21" s="43">
        <f>_xll.dnetGBlackScholesNGreeks("delta",$Q21,$P21,$G21,$I21,$C$3,$J21,$K21,$C$4)*R21</f>
        <v>-0.41030808733921731</v>
      </c>
      <c r="V21" s="43">
        <f>_xll.dnetGBlackScholesNGreeks("vega",$Q21,$P21,$G21,$I21,$C$3,$J21,$K21,$C$4)*R21</f>
        <v>5.9188650250603132</v>
      </c>
    </row>
    <row r="22" spans="1:22" s="95" customFormat="1" ht="13.5" x14ac:dyDescent="0.15">
      <c r="A22" s="96"/>
      <c r="B22" s="51" t="s">
        <v>174</v>
      </c>
      <c r="C22" s="52" t="s">
        <v>160</v>
      </c>
      <c r="D22" s="52" t="str">
        <f>D21</f>
        <v>m1809</v>
      </c>
      <c r="E22" s="54">
        <f t="shared" ref="E22:F22" ca="1" si="11">E21</f>
        <v>43244</v>
      </c>
      <c r="F22" s="54">
        <f t="shared" ca="1" si="11"/>
        <v>43336</v>
      </c>
      <c r="G22" s="119">
        <v>3280</v>
      </c>
      <c r="H22" s="52">
        <f>H21</f>
        <v>92</v>
      </c>
      <c r="I22" s="55">
        <f>H22/365</f>
        <v>0.25205479452054796</v>
      </c>
      <c r="J22" s="55">
        <f>J21</f>
        <v>0</v>
      </c>
      <c r="K22" s="56">
        <v>0.18</v>
      </c>
      <c r="L22" s="51">
        <f>_xll.dnetGBlackScholesNGreeks("price",$Q22,$P22,$G22,$I22,$C$3,$J22,$K22,$C$4)*R22</f>
        <v>-32.578408131203901</v>
      </c>
      <c r="M22" s="57"/>
      <c r="N22" s="51"/>
      <c r="O22" s="51">
        <f t="shared" si="10"/>
        <v>32.578408131203901</v>
      </c>
      <c r="P22" s="94">
        <f>P21</f>
        <v>3044</v>
      </c>
      <c r="Q22" s="52" t="s">
        <v>39</v>
      </c>
      <c r="R22" s="52">
        <f>IF(S22="中金买入",1,-1)</f>
        <v>-1</v>
      </c>
      <c r="S22" s="56" t="s">
        <v>20</v>
      </c>
      <c r="T22" s="58"/>
      <c r="U22" s="51">
        <f>_xll.dnetGBlackScholesNGreeks("delta",$Q22,$P22,$G22,$I22,$C$3,$J22,$K22,$C$4)*R22</f>
        <v>-0.21627755661484116</v>
      </c>
      <c r="V22" s="51">
        <f>_xll.dnetGBlackScholesNGreeks("vega",$Q22,$P22,$G22,$I22,$C$3,$J22,$K22,$C$4)*R22</f>
        <v>-4.4675671702050863</v>
      </c>
    </row>
    <row r="23" spans="1:22" s="98" customFormat="1" ht="14.25" thickBot="1" x14ac:dyDescent="0.2">
      <c r="A23" s="97"/>
      <c r="B23" s="59" t="s">
        <v>175</v>
      </c>
      <c r="C23" s="60" t="s">
        <v>160</v>
      </c>
      <c r="D23" s="60" t="str">
        <f>D22</f>
        <v>m1809</v>
      </c>
      <c r="E23" s="62">
        <f t="shared" ref="E23:F23" ca="1" si="12">E22</f>
        <v>43244</v>
      </c>
      <c r="F23" s="62">
        <f t="shared" ca="1" si="12"/>
        <v>43336</v>
      </c>
      <c r="G23" s="60" t="str">
        <f>G21 &amp; "|" &amp; G22</f>
        <v>3000|3280</v>
      </c>
      <c r="H23" s="60">
        <f>H22</f>
        <v>92</v>
      </c>
      <c r="I23" s="63">
        <f>I22</f>
        <v>0.25205479452054796</v>
      </c>
      <c r="J23" s="63"/>
      <c r="K23" s="60"/>
      <c r="L23" s="59">
        <f>L22+L21</f>
        <v>43.440442104014323</v>
      </c>
      <c r="M23" s="60">
        <v>0</v>
      </c>
      <c r="N23" s="59">
        <f>M23/10000*I23*P23</f>
        <v>0</v>
      </c>
      <c r="O23" s="59">
        <f t="shared" si="10"/>
        <v>43.440442104014323</v>
      </c>
      <c r="P23" s="111">
        <f>P22</f>
        <v>3044</v>
      </c>
      <c r="Q23" s="60"/>
      <c r="R23" s="60"/>
      <c r="S23" s="56"/>
      <c r="T23" s="64">
        <f>O23/P23</f>
        <v>1.4270841689886441E-2</v>
      </c>
      <c r="U23" s="64">
        <f>U22+U21</f>
        <v>-0.62658564395405847</v>
      </c>
      <c r="V23" s="64">
        <f>V22+V21</f>
        <v>1.4512978548552269</v>
      </c>
    </row>
    <row r="25" spans="1:22" ht="12" thickBot="1" x14ac:dyDescent="0.2"/>
    <row r="26" spans="1:22" s="95" customFormat="1" ht="14.25" thickTop="1" x14ac:dyDescent="0.15">
      <c r="A26" s="96"/>
      <c r="B26" s="43" t="s">
        <v>173</v>
      </c>
      <c r="C26" s="44" t="s">
        <v>160</v>
      </c>
      <c r="D26" s="44" t="s">
        <v>241</v>
      </c>
      <c r="E26" s="46">
        <f ca="1">TODAY()</f>
        <v>43244</v>
      </c>
      <c r="F26" s="46">
        <f ca="1">E26+H26</f>
        <v>43275</v>
      </c>
      <c r="G26" s="118">
        <v>2950</v>
      </c>
      <c r="H26" s="44">
        <v>31</v>
      </c>
      <c r="I26" s="47">
        <f>H26/365</f>
        <v>8.4931506849315067E-2</v>
      </c>
      <c r="J26" s="47">
        <v>0</v>
      </c>
      <c r="K26" s="48">
        <v>0.16</v>
      </c>
      <c r="L26" s="43">
        <f>_xll.dnetGBlackScholesNGreeks("price",$Q26,$P26,$G26,$I26,$C$3,$J26,$K26,$C$4)*R26</f>
        <v>20.865115200904825</v>
      </c>
      <c r="M26" s="49"/>
      <c r="N26" s="43"/>
      <c r="O26" s="43">
        <f t="shared" ref="O26:O31" si="13">IF(L26&lt;=0,ABS(L26)+N26,L26-N26)</f>
        <v>20.865115200904825</v>
      </c>
      <c r="P26" s="110">
        <f>RTD("wdf.rtq",,D26,"LastPrice")</f>
        <v>3044</v>
      </c>
      <c r="Q26" s="44" t="s">
        <v>85</v>
      </c>
      <c r="R26" s="44">
        <f>IF(S26="中金买入",1,-1)</f>
        <v>1</v>
      </c>
      <c r="S26" s="48" t="s">
        <v>151</v>
      </c>
      <c r="T26" s="50"/>
      <c r="U26" s="43">
        <f>_xll.dnetGBlackScholesNGreeks("delta",$Q26,$P26,$G26,$I26,$C$3,$J26,$K26,$C$4)*R26</f>
        <v>-0.24279669835323148</v>
      </c>
      <c r="V26" s="43">
        <f>_xll.dnetGBlackScholesNGreeks("vega",$Q26,$P26,$G26,$I26,$C$3,$J26,$K26,$C$4)*R26</f>
        <v>2.7709580236397073</v>
      </c>
    </row>
    <row r="27" spans="1:22" s="95" customFormat="1" ht="13.5" x14ac:dyDescent="0.15">
      <c r="A27" s="96"/>
      <c r="B27" s="51" t="s">
        <v>174</v>
      </c>
      <c r="C27" s="52" t="s">
        <v>160</v>
      </c>
      <c r="D27" s="52" t="str">
        <f>D26</f>
        <v>m1809</v>
      </c>
      <c r="E27" s="54">
        <f t="shared" ref="E27:F27" ca="1" si="14">E26</f>
        <v>43244</v>
      </c>
      <c r="F27" s="54">
        <f t="shared" ca="1" si="14"/>
        <v>43275</v>
      </c>
      <c r="G27" s="119">
        <v>3350</v>
      </c>
      <c r="H27" s="52">
        <f>H26</f>
        <v>31</v>
      </c>
      <c r="I27" s="55">
        <f>H27/365</f>
        <v>8.4931506849315067E-2</v>
      </c>
      <c r="J27" s="55">
        <f>J26</f>
        <v>0</v>
      </c>
      <c r="K27" s="56">
        <v>0.18</v>
      </c>
      <c r="L27" s="51">
        <f>_xll.dnetGBlackScholesNGreeks("price",$Q27,$P27,$G27,$I27,$C$3,$J27,$K27,$C$4)*R27</f>
        <v>-2.2348132162403687</v>
      </c>
      <c r="M27" s="57"/>
      <c r="N27" s="51"/>
      <c r="O27" s="51">
        <f t="shared" si="13"/>
        <v>2.2348132162403687</v>
      </c>
      <c r="P27" s="94">
        <f>P26</f>
        <v>3044</v>
      </c>
      <c r="Q27" s="52" t="s">
        <v>39</v>
      </c>
      <c r="R27" s="52">
        <f>IF(S27="中金买入",1,-1)</f>
        <v>-1</v>
      </c>
      <c r="S27" s="56" t="s">
        <v>20</v>
      </c>
      <c r="T27" s="58"/>
      <c r="U27" s="51">
        <f>_xll.dnetGBlackScholesNGreeks("delta",$Q27,$P27,$G27,$I27,$C$3,$J27,$K27,$C$4)*R27</f>
        <v>-3.5886378623928294E-2</v>
      </c>
      <c r="V27" s="51">
        <f>_xll.dnetGBlackScholesNGreeks("vega",$Q27,$P27,$G27,$I27,$C$3,$J27,$K27,$C$4)*R27</f>
        <v>-0.69986489494451831</v>
      </c>
    </row>
    <row r="28" spans="1:22" s="98" customFormat="1" ht="14.25" thickBot="1" x14ac:dyDescent="0.2">
      <c r="A28" s="97"/>
      <c r="B28" s="59" t="s">
        <v>175</v>
      </c>
      <c r="C28" s="60" t="s">
        <v>160</v>
      </c>
      <c r="D28" s="60" t="str">
        <f>D27</f>
        <v>m1809</v>
      </c>
      <c r="E28" s="62">
        <f t="shared" ref="E28:F28" ca="1" si="15">E27</f>
        <v>43244</v>
      </c>
      <c r="F28" s="62">
        <f t="shared" ca="1" si="15"/>
        <v>43275</v>
      </c>
      <c r="G28" s="60" t="str">
        <f>G26 &amp; "|" &amp; G27</f>
        <v>2950|3350</v>
      </c>
      <c r="H28" s="60">
        <f>H27</f>
        <v>31</v>
      </c>
      <c r="I28" s="63">
        <f>I27</f>
        <v>8.4931506849315067E-2</v>
      </c>
      <c r="J28" s="63"/>
      <c r="K28" s="60"/>
      <c r="L28" s="59">
        <f>L27+L26</f>
        <v>18.630301984664456</v>
      </c>
      <c r="M28" s="60">
        <v>0</v>
      </c>
      <c r="N28" s="59">
        <f>M28/10000*I28*P28</f>
        <v>0</v>
      </c>
      <c r="O28" s="59">
        <f t="shared" si="13"/>
        <v>18.630301984664456</v>
      </c>
      <c r="P28" s="111">
        <f>P27</f>
        <v>3044</v>
      </c>
      <c r="Q28" s="60"/>
      <c r="R28" s="60"/>
      <c r="S28" s="56"/>
      <c r="T28" s="64">
        <f>O28/P28</f>
        <v>6.1203357374061945E-3</v>
      </c>
      <c r="U28" s="64">
        <f>U27+U26</f>
        <v>-0.27868307697715977</v>
      </c>
      <c r="V28" s="64">
        <f>V27+V26</f>
        <v>2.071093128695189</v>
      </c>
    </row>
    <row r="29" spans="1:22" s="95" customFormat="1" ht="14.25" thickTop="1" x14ac:dyDescent="0.15">
      <c r="A29" s="96"/>
      <c r="B29" s="43" t="s">
        <v>173</v>
      </c>
      <c r="C29" s="44" t="s">
        <v>160</v>
      </c>
      <c r="D29" s="44" t="s">
        <v>241</v>
      </c>
      <c r="E29" s="46">
        <f ca="1">TODAY()</f>
        <v>43244</v>
      </c>
      <c r="F29" s="46">
        <f ca="1">E29+H29</f>
        <v>43336</v>
      </c>
      <c r="G29" s="118">
        <v>2950</v>
      </c>
      <c r="H29" s="44">
        <v>92</v>
      </c>
      <c r="I29" s="47">
        <f>H29/365</f>
        <v>0.25205479452054796</v>
      </c>
      <c r="J29" s="47">
        <v>0</v>
      </c>
      <c r="K29" s="48">
        <v>0.16</v>
      </c>
      <c r="L29" s="43">
        <f>_xll.dnetGBlackScholesNGreeks("price",$Q29,$P29,$G29,$I29,$C$3,$J29,$K29,$C$4)*R29</f>
        <v>55.958236900354336</v>
      </c>
      <c r="M29" s="49"/>
      <c r="N29" s="43"/>
      <c r="O29" s="43">
        <f t="shared" si="13"/>
        <v>55.958236900354336</v>
      </c>
      <c r="P29" s="110">
        <f>RTD("wdf.rtq",,D29,"LastPrice")</f>
        <v>3044</v>
      </c>
      <c r="Q29" s="44" t="s">
        <v>85</v>
      </c>
      <c r="R29" s="44">
        <f>IF(S29="中金买入",1,-1)</f>
        <v>1</v>
      </c>
      <c r="S29" s="48" t="s">
        <v>151</v>
      </c>
      <c r="T29" s="50"/>
      <c r="U29" s="43">
        <f>_xll.dnetGBlackScholesNGreeks("delta",$Q29,$P29,$G29,$I29,$C$3,$J29,$K29,$C$4)*R29</f>
        <v>-0.33168391313438406</v>
      </c>
      <c r="V29" s="43">
        <f>_xll.dnetGBlackScholesNGreeks("vega",$Q29,$P29,$G29,$I29,$C$3,$J29,$K29,$C$4)*R29</f>
        <v>5.5273432564957261</v>
      </c>
    </row>
    <row r="30" spans="1:22" s="95" customFormat="1" ht="13.5" x14ac:dyDescent="0.15">
      <c r="A30" s="96"/>
      <c r="B30" s="51" t="s">
        <v>174</v>
      </c>
      <c r="C30" s="52" t="s">
        <v>160</v>
      </c>
      <c r="D30" s="52" t="str">
        <f>D29</f>
        <v>m1809</v>
      </c>
      <c r="E30" s="54">
        <f t="shared" ref="E30:F30" ca="1" si="16">E29</f>
        <v>43244</v>
      </c>
      <c r="F30" s="54">
        <f t="shared" ca="1" si="16"/>
        <v>43336</v>
      </c>
      <c r="G30" s="119">
        <v>3350</v>
      </c>
      <c r="H30" s="52">
        <f>H29</f>
        <v>92</v>
      </c>
      <c r="I30" s="55">
        <f>H30/365</f>
        <v>0.25205479452054796</v>
      </c>
      <c r="J30" s="55">
        <f>J29</f>
        <v>0</v>
      </c>
      <c r="K30" s="56">
        <v>0.18</v>
      </c>
      <c r="L30" s="51">
        <f>_xll.dnetGBlackScholesNGreeks("price",$Q30,$P30,$G30,$I30,$C$3,$J30,$K30,$C$4)*R30</f>
        <v>-21.298958049117687</v>
      </c>
      <c r="M30" s="57"/>
      <c r="N30" s="51"/>
      <c r="O30" s="51">
        <f t="shared" si="13"/>
        <v>21.298958049117687</v>
      </c>
      <c r="P30" s="94">
        <f>P29</f>
        <v>3044</v>
      </c>
      <c r="Q30" s="52" t="s">
        <v>39</v>
      </c>
      <c r="R30" s="52">
        <f>IF(S30="中金买入",1,-1)</f>
        <v>-1</v>
      </c>
      <c r="S30" s="56" t="s">
        <v>20</v>
      </c>
      <c r="T30" s="58"/>
      <c r="U30" s="51">
        <f>_xll.dnetGBlackScholesNGreeks("delta",$Q30,$P30,$G30,$I30,$C$3,$J30,$K30,$C$4)*R30</f>
        <v>-0.15432579757259646</v>
      </c>
      <c r="V30" s="51">
        <f>_xll.dnetGBlackScholesNGreeks("vega",$Q30,$P30,$G30,$I30,$C$3,$J30,$K30,$C$4)*R30</f>
        <v>-3.6209907417562022</v>
      </c>
    </row>
    <row r="31" spans="1:22" s="98" customFormat="1" ht="14.25" thickBot="1" x14ac:dyDescent="0.2">
      <c r="A31" s="97"/>
      <c r="B31" s="59" t="s">
        <v>175</v>
      </c>
      <c r="C31" s="60" t="s">
        <v>160</v>
      </c>
      <c r="D31" s="60" t="str">
        <f>D30</f>
        <v>m1809</v>
      </c>
      <c r="E31" s="62">
        <f t="shared" ref="E31:F31" ca="1" si="17">E30</f>
        <v>43244</v>
      </c>
      <c r="F31" s="62">
        <f t="shared" ca="1" si="17"/>
        <v>43336</v>
      </c>
      <c r="G31" s="60" t="str">
        <f>G29 &amp; "|" &amp; G30</f>
        <v>2950|3350</v>
      </c>
      <c r="H31" s="60">
        <f>H30</f>
        <v>92</v>
      </c>
      <c r="I31" s="63">
        <f>I30</f>
        <v>0.25205479452054796</v>
      </c>
      <c r="J31" s="63"/>
      <c r="K31" s="60"/>
      <c r="L31" s="59">
        <f>L30+L29</f>
        <v>34.65927885123665</v>
      </c>
      <c r="M31" s="60">
        <v>0</v>
      </c>
      <c r="N31" s="59">
        <f>M31/10000*I31*P31</f>
        <v>0</v>
      </c>
      <c r="O31" s="59">
        <f t="shared" si="13"/>
        <v>34.65927885123665</v>
      </c>
      <c r="P31" s="111">
        <f>P30</f>
        <v>3044</v>
      </c>
      <c r="Q31" s="60"/>
      <c r="R31" s="60"/>
      <c r="S31" s="56"/>
      <c r="T31" s="64">
        <f>O31/P31</f>
        <v>1.1386096863086942E-2</v>
      </c>
      <c r="U31" s="64">
        <f>U30+U29</f>
        <v>-0.48600971070698051</v>
      </c>
      <c r="V31" s="64">
        <f>V30+V29</f>
        <v>1.9063525147395239</v>
      </c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configs!$A$1:$A$36</xm:f>
          </x14:formula1>
          <xm:sqref>C8:C16 C18:C23 C26:C31</xm:sqref>
        </x14:dataValidation>
        <x14:dataValidation type="list" allowBlank="1" showInputMessage="1" showErrorMessage="1">
          <x14:formula1>
            <xm:f>configs!$C$1:$C$2</xm:f>
          </x14:formula1>
          <xm:sqref>Q8:Q16 Q18:Q23 Q26:Q31</xm:sqref>
        </x14:dataValidation>
        <x14:dataValidation type="list" allowBlank="1" showInputMessage="1" showErrorMessage="1">
          <x14:formula1>
            <xm:f>configs!$B$1:$B$2</xm:f>
          </x14:formula1>
          <xm:sqref>S8:S16 S18:S23 S26:S31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5"/>
  <sheetViews>
    <sheetView workbookViewId="0">
      <selection activeCell="J25" sqref="J25"/>
    </sheetView>
  </sheetViews>
  <sheetFormatPr defaultColWidth="9" defaultRowHeight="11.25" x14ac:dyDescent="0.1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 x14ac:dyDescent="0.2">
      <c r="B1" s="122" t="s">
        <v>158</v>
      </c>
      <c r="C1" s="122"/>
      <c r="D1" s="122"/>
    </row>
    <row r="2" spans="1:21" ht="12" thickTop="1" x14ac:dyDescent="0.15"/>
    <row r="3" spans="1:2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 x14ac:dyDescent="0.2">
      <c r="A4" s="35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 x14ac:dyDescent="0.15">
      <c r="B5" s="10"/>
      <c r="C5" s="10"/>
      <c r="D5" s="10"/>
      <c r="E5" s="10"/>
      <c r="F5" s="10"/>
      <c r="G5" s="10"/>
      <c r="H5" s="10"/>
      <c r="I5" s="10"/>
      <c r="J5" s="10"/>
      <c r="K5" s="38"/>
      <c r="L5" s="38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 x14ac:dyDescent="0.2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 x14ac:dyDescent="0.15">
      <c r="B8" s="10"/>
      <c r="C8" s="10"/>
      <c r="D8" s="10"/>
      <c r="E8" s="10"/>
      <c r="F8" s="10"/>
      <c r="G8" s="10"/>
      <c r="H8" s="10"/>
      <c r="I8" s="10"/>
      <c r="J8" s="10"/>
      <c r="K8" s="38"/>
      <c r="L8" s="38"/>
      <c r="M8" s="10"/>
      <c r="N8" s="10"/>
      <c r="O8" s="10"/>
      <c r="P8" s="10"/>
      <c r="Q8" s="10"/>
      <c r="R8" s="10"/>
      <c r="S8" s="10"/>
      <c r="T8" s="13"/>
      <c r="U8" s="10"/>
    </row>
    <row r="9" spans="1:21" ht="12" thickBot="1" x14ac:dyDescent="0.2">
      <c r="B9" s="17" t="s">
        <v>30</v>
      </c>
      <c r="C9" s="17"/>
      <c r="D9" s="17" t="s">
        <v>32</v>
      </c>
      <c r="E9" s="17" t="s">
        <v>23</v>
      </c>
      <c r="F9" s="17" t="s">
        <v>8</v>
      </c>
      <c r="G9" s="17" t="s">
        <v>7</v>
      </c>
      <c r="H9" s="17" t="s">
        <v>44</v>
      </c>
      <c r="I9" s="17" t="s">
        <v>45</v>
      </c>
      <c r="J9" s="17" t="s">
        <v>46</v>
      </c>
      <c r="K9" s="17" t="s">
        <v>9</v>
      </c>
      <c r="L9" s="17" t="s">
        <v>10</v>
      </c>
      <c r="M9" s="17" t="s">
        <v>11</v>
      </c>
      <c r="N9" s="17" t="s">
        <v>12</v>
      </c>
      <c r="O9" s="17" t="s">
        <v>47</v>
      </c>
      <c r="P9" s="17" t="s">
        <v>13</v>
      </c>
      <c r="Q9" s="17" t="s">
        <v>14</v>
      </c>
      <c r="R9" s="17" t="s">
        <v>26</v>
      </c>
      <c r="S9" s="17" t="s">
        <v>28</v>
      </c>
      <c r="T9" s="17" t="s">
        <v>15</v>
      </c>
      <c r="U9" s="10"/>
    </row>
    <row r="10" spans="1:21" ht="12" thickTop="1" x14ac:dyDescent="0.15">
      <c r="A10" s="6" t="str">
        <f>pricer_sf!C11</f>
        <v>Example</v>
      </c>
      <c r="B10" s="10" t="str">
        <f>pricer_sf!D11</f>
        <v>中金卖出</v>
      </c>
      <c r="C10" s="10">
        <f>pricer_sf!E11</f>
        <v>-1</v>
      </c>
      <c r="D10" s="10" t="s">
        <v>215</v>
      </c>
      <c r="E10" s="10" t="str">
        <f>pricer_sf!G11</f>
        <v>cuo</v>
      </c>
      <c r="F10" s="10">
        <f>pricer_sf!H11</f>
        <v>100</v>
      </c>
      <c r="G10" s="10">
        <f>pricer_sf!I11</f>
        <v>100</v>
      </c>
      <c r="H10" s="10">
        <f>pricer_sf!J11</f>
        <v>118</v>
      </c>
      <c r="I10" s="10">
        <f>pricer_sf!K11</f>
        <v>118.97557113438837</v>
      </c>
      <c r="J10" s="10">
        <f>pricer_sf!L11</f>
        <v>0</v>
      </c>
      <c r="K10" s="38">
        <f ca="1">pricer_sf!M11</f>
        <v>43244</v>
      </c>
      <c r="L10" s="38">
        <f ca="1">pricer_sf!N11</f>
        <v>43335</v>
      </c>
      <c r="M10" s="10">
        <f>pricer_sf!O11</f>
        <v>91</v>
      </c>
      <c r="N10" s="10">
        <f>pricer_sf!P11</f>
        <v>0.24931506849315069</v>
      </c>
      <c r="O10" s="10">
        <f>pricer_sf!Q11</f>
        <v>0</v>
      </c>
      <c r="P10" s="10">
        <f>pricer_sf!R11</f>
        <v>0.27</v>
      </c>
      <c r="Q10" s="10">
        <f>pricer_sf!S11</f>
        <v>-1.9129556509179371</v>
      </c>
      <c r="R10" s="10">
        <f>pricer_sf!T11</f>
        <v>200.54945054945054</v>
      </c>
      <c r="S10" s="10">
        <f>pricer_sf!U11</f>
        <v>0.49999999999999994</v>
      </c>
      <c r="T10" s="13">
        <f>pricer_sf!V11</f>
        <v>2.4129556509179371</v>
      </c>
      <c r="U10" s="10"/>
    </row>
    <row r="11" spans="1:21" x14ac:dyDescent="0.15">
      <c r="A11" s="6" t="str">
        <f>pricer_sf!C12</f>
        <v>Example</v>
      </c>
      <c r="B11" s="10" t="str">
        <f>pricer_sf!D12</f>
        <v>中金卖出</v>
      </c>
      <c r="C11" s="10">
        <f>pricer_sf!E12</f>
        <v>-1</v>
      </c>
      <c r="D11" s="10" t="s">
        <v>216</v>
      </c>
      <c r="E11" s="10" t="str">
        <f>pricer_sf!G12</f>
        <v>cuo</v>
      </c>
      <c r="F11" s="10">
        <f>pricer_sf!H12</f>
        <v>100</v>
      </c>
      <c r="G11" s="10">
        <f>pricer_sf!I12</f>
        <v>100</v>
      </c>
      <c r="H11" s="10">
        <f>pricer_sf!J12</f>
        <v>118</v>
      </c>
      <c r="I11" s="10">
        <f>pricer_sf!K12</f>
        <v>118.83053474115295</v>
      </c>
      <c r="J11" s="10">
        <f>pricer_sf!L12</f>
        <v>0</v>
      </c>
      <c r="K11" s="38">
        <f ca="1">pricer_sf!M12</f>
        <v>43244</v>
      </c>
      <c r="L11" s="38">
        <f ca="1">pricer_sf!N12</f>
        <v>43335</v>
      </c>
      <c r="M11" s="10">
        <f>pricer_sf!O12</f>
        <v>91</v>
      </c>
      <c r="N11" s="10">
        <f>pricer_sf!P12</f>
        <v>0.24931506849315069</v>
      </c>
      <c r="O11" s="10">
        <f>pricer_sf!Q12</f>
        <v>0</v>
      </c>
      <c r="P11" s="10">
        <f>pricer_sf!R12</f>
        <v>0.23</v>
      </c>
      <c r="Q11" s="10">
        <f>pricer_sf!S12</f>
        <v>-2.268083861152451</v>
      </c>
      <c r="R11" s="10">
        <f>pricer_sf!T12</f>
        <v>200.54945054945054</v>
      </c>
      <c r="S11" s="10">
        <f>pricer_sf!U12</f>
        <v>0.49999999999999994</v>
      </c>
      <c r="T11" s="13">
        <f>pricer_sf!V12</f>
        <v>2.768083861152451</v>
      </c>
      <c r="U11" s="10"/>
    </row>
    <row r="12" spans="1:21" x14ac:dyDescent="0.15">
      <c r="A12" s="6" t="str">
        <f>pricer_sf!C13</f>
        <v>Example</v>
      </c>
      <c r="B12" s="10" t="str">
        <f>pricer_sf!D13</f>
        <v>中金卖出</v>
      </c>
      <c r="C12" s="10">
        <f>pricer_sf!E13</f>
        <v>-1</v>
      </c>
      <c r="D12" s="10" t="s">
        <v>217</v>
      </c>
      <c r="E12" s="10" t="str">
        <f>pricer_sf!G13</f>
        <v>cuo</v>
      </c>
      <c r="F12" s="10">
        <f>pricer_sf!H13</f>
        <v>100</v>
      </c>
      <c r="G12" s="10">
        <f>pricer_sf!I13</f>
        <v>100</v>
      </c>
      <c r="H12" s="10">
        <f>pricer_sf!J13</f>
        <v>118</v>
      </c>
      <c r="I12" s="10">
        <f>pricer_sf!K13</f>
        <v>118.75808286013783</v>
      </c>
      <c r="J12" s="10">
        <f>pricer_sf!L13</f>
        <v>0</v>
      </c>
      <c r="K12" s="38">
        <f ca="1">pricer_sf!M13</f>
        <v>43244</v>
      </c>
      <c r="L12" s="38">
        <f ca="1">pricer_sf!N13</f>
        <v>43335</v>
      </c>
      <c r="M12" s="10">
        <f>pricer_sf!O13</f>
        <v>91</v>
      </c>
      <c r="N12" s="10">
        <f>pricer_sf!P13</f>
        <v>0.24931506849315069</v>
      </c>
      <c r="O12" s="10">
        <f>pricer_sf!Q13</f>
        <v>0</v>
      </c>
      <c r="P12" s="10">
        <f>pricer_sf!R13</f>
        <v>0.21</v>
      </c>
      <c r="Q12" s="10">
        <f>pricer_sf!S13</f>
        <v>-2.429130538035877</v>
      </c>
      <c r="R12" s="10">
        <f>pricer_sf!T13</f>
        <v>200.54945054945054</v>
      </c>
      <c r="S12" s="10">
        <f>pricer_sf!U13</f>
        <v>0.49999999999999994</v>
      </c>
      <c r="T12" s="13">
        <f>pricer_sf!V13</f>
        <v>2.929130538035877</v>
      </c>
      <c r="U12" s="10"/>
    </row>
    <row r="13" spans="1:21" x14ac:dyDescent="0.15">
      <c r="A13" s="6" t="str">
        <f>pricer_sf!C14</f>
        <v>Example</v>
      </c>
      <c r="B13" s="10" t="str">
        <f>pricer_sf!D14</f>
        <v>中金卖出</v>
      </c>
      <c r="C13" s="10">
        <f>pricer_sf!E14</f>
        <v>-1</v>
      </c>
      <c r="D13" s="10" t="s">
        <v>215</v>
      </c>
      <c r="E13" s="10" t="str">
        <f>pricer_sf!G14</f>
        <v>cuo</v>
      </c>
      <c r="F13" s="10">
        <f>pricer_sf!H14</f>
        <v>100</v>
      </c>
      <c r="G13" s="10">
        <f>pricer_sf!I14</f>
        <v>100</v>
      </c>
      <c r="H13" s="10">
        <f>pricer_sf!J14</f>
        <v>118</v>
      </c>
      <c r="I13" s="10">
        <f>pricer_sf!K14</f>
        <v>118.97557113438837</v>
      </c>
      <c r="J13" s="10">
        <f>pricer_sf!L14</f>
        <v>0</v>
      </c>
      <c r="K13" s="38">
        <f ca="1">pricer_sf!M14</f>
        <v>43244</v>
      </c>
      <c r="L13" s="38">
        <f ca="1">pricer_sf!N14</f>
        <v>43427</v>
      </c>
      <c r="M13" s="10">
        <f>pricer_sf!O14</f>
        <v>183</v>
      </c>
      <c r="N13" s="10">
        <f>pricer_sf!P14</f>
        <v>0.50136986301369868</v>
      </c>
      <c r="O13" s="10">
        <f>pricer_sf!Q14</f>
        <v>0</v>
      </c>
      <c r="P13" s="10">
        <f>pricer_sf!R14</f>
        <v>0.27</v>
      </c>
      <c r="Q13" s="10">
        <f>pricer_sf!S14</f>
        <v>-1.0363206281910617</v>
      </c>
      <c r="R13" s="10">
        <f>pricer_sf!T14</f>
        <v>99.726775956284158</v>
      </c>
      <c r="S13" s="10">
        <f>pricer_sf!U14</f>
        <v>0.50000000000000011</v>
      </c>
      <c r="T13" s="13">
        <f>pricer_sf!V14</f>
        <v>1.5363206281910617</v>
      </c>
      <c r="U13" s="10"/>
    </row>
    <row r="14" spans="1:21" x14ac:dyDescent="0.15">
      <c r="A14" s="6" t="str">
        <f>pricer_sf!C15</f>
        <v>Example</v>
      </c>
      <c r="B14" s="10" t="str">
        <f>pricer_sf!D15</f>
        <v>中金卖出</v>
      </c>
      <c r="C14" s="10">
        <f>pricer_sf!E15</f>
        <v>-1</v>
      </c>
      <c r="D14" s="10" t="s">
        <v>216</v>
      </c>
      <c r="E14" s="10" t="str">
        <f>pricer_sf!G15</f>
        <v>cuo</v>
      </c>
      <c r="F14" s="10">
        <f>pricer_sf!H15</f>
        <v>100</v>
      </c>
      <c r="G14" s="10">
        <f>pricer_sf!I15</f>
        <v>100</v>
      </c>
      <c r="H14" s="10">
        <f>pricer_sf!J15</f>
        <v>118</v>
      </c>
      <c r="I14" s="10">
        <f>pricer_sf!K15</f>
        <v>118.83053474115295</v>
      </c>
      <c r="J14" s="10">
        <f>pricer_sf!L15</f>
        <v>0</v>
      </c>
      <c r="K14" s="38">
        <f ca="1">pricer_sf!M15</f>
        <v>43244</v>
      </c>
      <c r="L14" s="38">
        <f ca="1">pricer_sf!N15</f>
        <v>43427</v>
      </c>
      <c r="M14" s="10">
        <f>pricer_sf!O15</f>
        <v>183</v>
      </c>
      <c r="N14" s="10">
        <f>pricer_sf!P15</f>
        <v>0.50136986301369868</v>
      </c>
      <c r="O14" s="10">
        <f>pricer_sf!Q15</f>
        <v>0</v>
      </c>
      <c r="P14" s="10">
        <f>pricer_sf!R15</f>
        <v>0.23</v>
      </c>
      <c r="Q14" s="10">
        <f>pricer_sf!S15</f>
        <v>-1.3855950829873169</v>
      </c>
      <c r="R14" s="10">
        <f>pricer_sf!T15</f>
        <v>99.726775956284158</v>
      </c>
      <c r="S14" s="10">
        <f>pricer_sf!U15</f>
        <v>0.50000000000000011</v>
      </c>
      <c r="T14" s="13">
        <f>pricer_sf!V15</f>
        <v>1.8855950829873169</v>
      </c>
      <c r="U14" s="10"/>
    </row>
    <row r="15" spans="1:21" x14ac:dyDescent="0.15">
      <c r="A15" s="6" t="str">
        <f>pricer_sf!C16</f>
        <v>Example</v>
      </c>
      <c r="B15" s="10" t="str">
        <f>pricer_sf!D16</f>
        <v>中金卖出</v>
      </c>
      <c r="C15" s="10">
        <f>pricer_sf!E16</f>
        <v>-1</v>
      </c>
      <c r="D15" s="10" t="s">
        <v>217</v>
      </c>
      <c r="E15" s="10" t="str">
        <f>pricer_sf!G16</f>
        <v>cuo</v>
      </c>
      <c r="F15" s="10">
        <f>pricer_sf!H16</f>
        <v>100</v>
      </c>
      <c r="G15" s="10">
        <f>pricer_sf!I16</f>
        <v>100</v>
      </c>
      <c r="H15" s="10">
        <f>pricer_sf!J16</f>
        <v>118</v>
      </c>
      <c r="I15" s="10">
        <f>pricer_sf!K16</f>
        <v>118.75808286013783</v>
      </c>
      <c r="J15" s="10">
        <f>pricer_sf!L16</f>
        <v>0</v>
      </c>
      <c r="K15" s="38">
        <f ca="1">pricer_sf!M16</f>
        <v>43244</v>
      </c>
      <c r="L15" s="38">
        <f ca="1">pricer_sf!N16</f>
        <v>43427</v>
      </c>
      <c r="M15" s="10">
        <f>pricer_sf!O16</f>
        <v>183</v>
      </c>
      <c r="N15" s="10">
        <f>pricer_sf!P16</f>
        <v>0.50136986301369868</v>
      </c>
      <c r="O15" s="10">
        <f>pricer_sf!Q16</f>
        <v>0</v>
      </c>
      <c r="P15" s="10">
        <f>pricer_sf!R16</f>
        <v>0.21</v>
      </c>
      <c r="Q15" s="10">
        <f>pricer_sf!S16</f>
        <v>-1.6027351301156738</v>
      </c>
      <c r="R15" s="10">
        <f>pricer_sf!T16</f>
        <v>99.726775956284158</v>
      </c>
      <c r="S15" s="10">
        <f>pricer_sf!U16</f>
        <v>0.50000000000000011</v>
      </c>
      <c r="T15" s="13">
        <f>pricer_sf!V16</f>
        <v>2.1027351301156738</v>
      </c>
      <c r="U15" s="10"/>
    </row>
  </sheetData>
  <mergeCells count="1">
    <mergeCell ref="B1:D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topLeftCell="A10" workbookViewId="0">
      <selection activeCell="C38" sqref="C38"/>
    </sheetView>
  </sheetViews>
  <sheetFormatPr defaultRowHeight="13.5" x14ac:dyDescent="0.15"/>
  <cols>
    <col min="1" max="1" width="10.875" bestFit="1" customWidth="1"/>
  </cols>
  <sheetData>
    <row r="1" spans="1:6" ht="15.75" thickBot="1" x14ac:dyDescent="0.2">
      <c r="A1" s="65">
        <v>43087</v>
      </c>
      <c r="B1" s="66"/>
      <c r="C1" s="67" t="s">
        <v>49</v>
      </c>
      <c r="D1" s="66"/>
      <c r="E1" s="67" t="s">
        <v>50</v>
      </c>
      <c r="F1" s="68"/>
    </row>
    <row r="2" spans="1:6" ht="15.75" thickBot="1" x14ac:dyDescent="0.2">
      <c r="A2" s="69" t="s">
        <v>51</v>
      </c>
      <c r="B2" s="70" t="s">
        <v>52</v>
      </c>
      <c r="C2" s="71" t="s">
        <v>53</v>
      </c>
      <c r="D2" s="71" t="s">
        <v>54</v>
      </c>
      <c r="E2" s="71" t="s">
        <v>55</v>
      </c>
      <c r="F2" s="72" t="s">
        <v>56</v>
      </c>
    </row>
    <row r="3" spans="1:6" ht="15.75" thickBot="1" x14ac:dyDescent="0.2">
      <c r="A3" s="73" t="s">
        <v>57</v>
      </c>
      <c r="B3" s="74" t="s">
        <v>58</v>
      </c>
      <c r="C3" s="75">
        <v>0.20499999999999999</v>
      </c>
      <c r="D3" s="75">
        <v>0.25</v>
      </c>
      <c r="E3" s="75">
        <v>0.21</v>
      </c>
      <c r="F3" s="77">
        <v>0.25</v>
      </c>
    </row>
    <row r="4" spans="1:6" ht="15.75" thickBot="1" x14ac:dyDescent="0.2">
      <c r="A4" s="69" t="s">
        <v>59</v>
      </c>
      <c r="B4" s="70" t="s">
        <v>60</v>
      </c>
      <c r="C4" s="78">
        <v>0.13750000000000001</v>
      </c>
      <c r="D4" s="78">
        <v>0.1825</v>
      </c>
      <c r="E4" s="78">
        <v>0.14499999999999999</v>
      </c>
      <c r="F4" s="79">
        <v>0.185</v>
      </c>
    </row>
    <row r="5" spans="1:6" ht="15.75" thickBot="1" x14ac:dyDescent="0.2">
      <c r="A5" s="73" t="s">
        <v>61</v>
      </c>
      <c r="B5" s="74" t="s">
        <v>62</v>
      </c>
      <c r="C5" s="76"/>
      <c r="D5" s="76"/>
      <c r="E5" s="76"/>
      <c r="F5" s="80"/>
    </row>
    <row r="6" spans="1:6" ht="15.75" thickBot="1" x14ac:dyDescent="0.2">
      <c r="A6" s="69" t="s">
        <v>63</v>
      </c>
      <c r="B6" s="70" t="s">
        <v>64</v>
      </c>
      <c r="C6" s="81">
        <v>0.29499999999999998</v>
      </c>
      <c r="D6" s="81">
        <v>0.35499999999999998</v>
      </c>
      <c r="E6" s="81">
        <v>0.26500000000000001</v>
      </c>
      <c r="F6" s="82">
        <v>0.315</v>
      </c>
    </row>
    <row r="7" spans="1:6" ht="15.75" thickBot="1" x14ac:dyDescent="0.2">
      <c r="A7" s="73" t="s">
        <v>65</v>
      </c>
      <c r="B7" s="74" t="s">
        <v>66</v>
      </c>
      <c r="C7" s="75">
        <v>0.15</v>
      </c>
      <c r="D7" s="75">
        <v>0.19</v>
      </c>
      <c r="E7" s="75">
        <v>0.155</v>
      </c>
      <c r="F7" s="77">
        <v>0.19</v>
      </c>
    </row>
    <row r="8" spans="1:6" ht="15.75" thickBot="1" x14ac:dyDescent="0.2">
      <c r="A8" s="69" t="s">
        <v>67</v>
      </c>
      <c r="B8" s="70" t="s">
        <v>68</v>
      </c>
      <c r="C8" s="81">
        <v>0.32</v>
      </c>
      <c r="D8" s="81">
        <v>0.44</v>
      </c>
      <c r="E8" s="81">
        <v>0.32</v>
      </c>
      <c r="F8" s="82">
        <v>0.42</v>
      </c>
    </row>
    <row r="9" spans="1:6" ht="15.75" thickBot="1" x14ac:dyDescent="0.2">
      <c r="A9" s="73" t="s">
        <v>69</v>
      </c>
      <c r="B9" s="74" t="s">
        <v>70</v>
      </c>
      <c r="C9" s="75">
        <v>0.32</v>
      </c>
      <c r="D9" s="75">
        <v>0.44</v>
      </c>
      <c r="E9" s="75">
        <v>0.32</v>
      </c>
      <c r="F9" s="77">
        <v>0.42</v>
      </c>
    </row>
    <row r="10" spans="1:6" ht="15.75" thickBot="1" x14ac:dyDescent="0.2">
      <c r="A10" s="69" t="s">
        <v>71</v>
      </c>
      <c r="B10" s="70" t="s">
        <v>72</v>
      </c>
      <c r="C10" s="81">
        <v>0.24</v>
      </c>
      <c r="D10" s="81">
        <v>0.32</v>
      </c>
      <c r="E10" s="81">
        <v>0.27</v>
      </c>
      <c r="F10" s="82">
        <v>0.34</v>
      </c>
    </row>
    <row r="11" spans="1:6" ht="15.75" thickBot="1" x14ac:dyDescent="0.2">
      <c r="A11" s="73" t="s">
        <v>73</v>
      </c>
      <c r="B11" s="74" t="s">
        <v>74</v>
      </c>
      <c r="C11" s="75">
        <v>0.32250000000000001</v>
      </c>
      <c r="D11" s="75">
        <v>0.39750000000000002</v>
      </c>
      <c r="E11" s="75">
        <v>0.32500000000000001</v>
      </c>
      <c r="F11" s="77">
        <v>0.39500000000000002</v>
      </c>
    </row>
    <row r="12" spans="1:6" ht="15.75" thickBot="1" x14ac:dyDescent="0.2">
      <c r="A12" s="69" t="s">
        <v>75</v>
      </c>
      <c r="B12" s="70" t="s">
        <v>76</v>
      </c>
      <c r="C12" s="81">
        <v>0.215</v>
      </c>
      <c r="D12" s="81">
        <v>0.28499999999999998</v>
      </c>
      <c r="E12" s="81">
        <v>0.23499999999999999</v>
      </c>
      <c r="F12" s="82">
        <v>0.30499999999999999</v>
      </c>
    </row>
    <row r="13" spans="1:6" ht="15.75" thickBot="1" x14ac:dyDescent="0.2">
      <c r="A13" s="73" t="s">
        <v>77</v>
      </c>
      <c r="B13" s="74" t="s">
        <v>78</v>
      </c>
      <c r="C13" s="75">
        <v>9.2499999999999999E-2</v>
      </c>
      <c r="D13" s="75">
        <v>0.1225</v>
      </c>
      <c r="E13" s="75">
        <v>0.1</v>
      </c>
      <c r="F13" s="77">
        <v>0.13</v>
      </c>
    </row>
    <row r="14" spans="1:6" ht="15.75" thickBot="1" x14ac:dyDescent="0.2">
      <c r="A14" s="69" t="s">
        <v>79</v>
      </c>
      <c r="B14" s="70" t="s">
        <v>80</v>
      </c>
      <c r="C14" s="78">
        <v>0.11</v>
      </c>
      <c r="D14" s="78">
        <v>0.17</v>
      </c>
      <c r="E14" s="78">
        <v>0.14499999999999999</v>
      </c>
      <c r="F14" s="79">
        <v>0.19500000000000001</v>
      </c>
    </row>
    <row r="15" spans="1:6" ht="15.75" thickBot="1" x14ac:dyDescent="0.2">
      <c r="A15" s="73" t="s">
        <v>81</v>
      </c>
      <c r="B15" s="74" t="s">
        <v>82</v>
      </c>
      <c r="C15" s="76"/>
      <c r="D15" s="76"/>
      <c r="E15" s="76"/>
      <c r="F15" s="80"/>
    </row>
    <row r="16" spans="1:6" ht="15.75" thickBot="1" x14ac:dyDescent="0.2">
      <c r="A16" s="69" t="s">
        <v>83</v>
      </c>
      <c r="B16" s="70" t="s">
        <v>84</v>
      </c>
      <c r="C16" s="81">
        <v>0.13</v>
      </c>
      <c r="D16" s="81">
        <v>0.19</v>
      </c>
      <c r="E16" s="81">
        <v>0.185</v>
      </c>
      <c r="F16" s="82">
        <v>0.23499999999999999</v>
      </c>
    </row>
    <row r="17" spans="1:6" ht="15.75" thickBot="1" x14ac:dyDescent="0.2">
      <c r="A17" s="73" t="s">
        <v>85</v>
      </c>
      <c r="B17" s="74" t="s">
        <v>86</v>
      </c>
      <c r="C17" s="83">
        <v>0.14749999999999999</v>
      </c>
      <c r="D17" s="83">
        <v>0.19750000000000001</v>
      </c>
      <c r="E17" s="83">
        <v>0.16</v>
      </c>
      <c r="F17" s="84">
        <v>0.21</v>
      </c>
    </row>
    <row r="18" spans="1:6" ht="15.75" thickBot="1" x14ac:dyDescent="0.2">
      <c r="A18" s="69" t="s">
        <v>87</v>
      </c>
      <c r="B18" s="70" t="s">
        <v>88</v>
      </c>
      <c r="C18" s="85"/>
      <c r="D18" s="85"/>
      <c r="E18" s="85"/>
      <c r="F18" s="86"/>
    </row>
    <row r="19" spans="1:6" ht="15.75" thickBot="1" x14ac:dyDescent="0.2">
      <c r="A19" s="73" t="s">
        <v>89</v>
      </c>
      <c r="B19" s="74" t="s">
        <v>90</v>
      </c>
      <c r="C19" s="76"/>
      <c r="D19" s="76"/>
      <c r="E19" s="76"/>
      <c r="F19" s="80"/>
    </row>
    <row r="20" spans="1:6" ht="15.75" thickBot="1" x14ac:dyDescent="0.2">
      <c r="A20" s="69" t="s">
        <v>91</v>
      </c>
      <c r="B20" s="70" t="s">
        <v>92</v>
      </c>
      <c r="C20" s="78">
        <v>0.09</v>
      </c>
      <c r="D20" s="78">
        <v>0.17</v>
      </c>
      <c r="E20" s="78">
        <v>0.11</v>
      </c>
      <c r="F20" s="79">
        <v>0.19</v>
      </c>
    </row>
    <row r="21" spans="1:6" ht="15.75" thickBot="1" x14ac:dyDescent="0.2">
      <c r="A21" s="73" t="s">
        <v>93</v>
      </c>
      <c r="B21" s="74" t="s">
        <v>94</v>
      </c>
      <c r="C21" s="76"/>
      <c r="D21" s="76"/>
      <c r="E21" s="76"/>
      <c r="F21" s="80"/>
    </row>
    <row r="22" spans="1:6" ht="15.75" thickBot="1" x14ac:dyDescent="0.2">
      <c r="A22" s="69" t="s">
        <v>95</v>
      </c>
      <c r="B22" s="70" t="s">
        <v>96</v>
      </c>
      <c r="C22" s="81">
        <v>0.12</v>
      </c>
      <c r="D22" s="81">
        <v>0.16</v>
      </c>
      <c r="E22" s="81">
        <v>0.13500000000000001</v>
      </c>
      <c r="F22" s="82">
        <v>0.17</v>
      </c>
    </row>
    <row r="23" spans="1:6" ht="15.75" thickBot="1" x14ac:dyDescent="0.2">
      <c r="A23" s="73" t="s">
        <v>97</v>
      </c>
      <c r="B23" s="74" t="s">
        <v>98</v>
      </c>
      <c r="C23" s="75">
        <v>0.12</v>
      </c>
      <c r="D23" s="75">
        <v>0.16</v>
      </c>
      <c r="E23" s="75">
        <v>0.13500000000000001</v>
      </c>
      <c r="F23" s="77">
        <v>0.17499999999999999</v>
      </c>
    </row>
    <row r="24" spans="1:6" ht="15.75" thickBot="1" x14ac:dyDescent="0.2">
      <c r="A24" s="69" t="s">
        <v>39</v>
      </c>
      <c r="B24" s="70" t="s">
        <v>99</v>
      </c>
      <c r="C24" s="81">
        <v>7.7499999999999999E-2</v>
      </c>
      <c r="D24" s="81">
        <v>0.1225</v>
      </c>
      <c r="E24" s="81">
        <v>8.5000000000000006E-2</v>
      </c>
      <c r="F24" s="82">
        <v>0.125</v>
      </c>
    </row>
    <row r="25" spans="1:6" ht="15.75" thickBot="1" x14ac:dyDescent="0.2">
      <c r="A25" s="73" t="s">
        <v>100</v>
      </c>
      <c r="B25" s="74" t="s">
        <v>101</v>
      </c>
      <c r="C25" s="75">
        <v>0.1</v>
      </c>
      <c r="D25" s="75">
        <v>0.15</v>
      </c>
      <c r="E25" s="75">
        <v>0.105</v>
      </c>
      <c r="F25" s="77">
        <v>0.155</v>
      </c>
    </row>
    <row r="26" spans="1:6" ht="15.75" thickBot="1" x14ac:dyDescent="0.2">
      <c r="A26" s="69" t="s">
        <v>102</v>
      </c>
      <c r="B26" s="70" t="s">
        <v>103</v>
      </c>
      <c r="C26" s="78">
        <v>0.2</v>
      </c>
      <c r="D26" s="78">
        <v>0.28000000000000003</v>
      </c>
      <c r="E26" s="78">
        <v>0.2</v>
      </c>
      <c r="F26" s="79">
        <v>0.27</v>
      </c>
    </row>
    <row r="27" spans="1:6" ht="15.75" thickBot="1" x14ac:dyDescent="0.2">
      <c r="A27" s="73" t="s">
        <v>104</v>
      </c>
      <c r="B27" s="74" t="s">
        <v>105</v>
      </c>
      <c r="C27" s="87"/>
      <c r="D27" s="87"/>
      <c r="E27" s="87"/>
      <c r="F27" s="88"/>
    </row>
    <row r="28" spans="1:6" ht="15.75" thickBot="1" x14ac:dyDescent="0.2">
      <c r="A28" s="69" t="s">
        <v>106</v>
      </c>
      <c r="B28" s="70" t="s">
        <v>107</v>
      </c>
      <c r="C28" s="89"/>
      <c r="D28" s="89"/>
      <c r="E28" s="89"/>
      <c r="F28" s="90"/>
    </row>
    <row r="29" spans="1:6" ht="15.75" thickBot="1" x14ac:dyDescent="0.2">
      <c r="A29" s="73" t="s">
        <v>108</v>
      </c>
      <c r="B29" s="74" t="s">
        <v>109</v>
      </c>
      <c r="C29" s="75">
        <v>0.23250000000000001</v>
      </c>
      <c r="D29" s="75">
        <v>0.28749999999999998</v>
      </c>
      <c r="E29" s="75">
        <v>0.22</v>
      </c>
      <c r="F29" s="77">
        <v>0.27</v>
      </c>
    </row>
    <row r="30" spans="1:6" ht="15.75" thickBot="1" x14ac:dyDescent="0.2">
      <c r="A30" s="69" t="s">
        <v>110</v>
      </c>
      <c r="B30" s="70" t="s">
        <v>111</v>
      </c>
      <c r="C30" s="78">
        <v>0.19</v>
      </c>
      <c r="D30" s="78">
        <v>0.23</v>
      </c>
      <c r="E30" s="78">
        <v>0.2</v>
      </c>
      <c r="F30" s="79">
        <v>0.24</v>
      </c>
    </row>
    <row r="31" spans="1:6" ht="15.75" thickBot="1" x14ac:dyDescent="0.2">
      <c r="A31" s="73" t="s">
        <v>112</v>
      </c>
      <c r="B31" s="74" t="s">
        <v>113</v>
      </c>
      <c r="C31" s="76"/>
      <c r="D31" s="76"/>
      <c r="E31" s="76"/>
      <c r="F31" s="80"/>
    </row>
    <row r="32" spans="1:6" ht="15.75" thickBot="1" x14ac:dyDescent="0.2">
      <c r="A32" s="69" t="s">
        <v>114</v>
      </c>
      <c r="B32" s="70" t="s">
        <v>115</v>
      </c>
      <c r="C32" s="81">
        <v>0.3</v>
      </c>
      <c r="D32" s="81">
        <v>0.4</v>
      </c>
      <c r="E32" s="81">
        <v>0.30499999999999999</v>
      </c>
      <c r="F32" s="82">
        <v>0.39500000000000002</v>
      </c>
    </row>
    <row r="33" spans="1:6" ht="15.75" thickBot="1" x14ac:dyDescent="0.2">
      <c r="A33" s="73" t="s">
        <v>116</v>
      </c>
      <c r="B33" s="74" t="s">
        <v>117</v>
      </c>
      <c r="C33" s="75">
        <v>0.1225</v>
      </c>
      <c r="D33" s="75">
        <v>0.16250000000000001</v>
      </c>
      <c r="E33" s="75">
        <v>0.13</v>
      </c>
      <c r="F33" s="77">
        <v>0.17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workbookViewId="0">
      <selection activeCell="V16" sqref="C11:V16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 x14ac:dyDescent="0.2">
      <c r="B1" s="145" t="s">
        <v>38</v>
      </c>
      <c r="C1" s="145"/>
    </row>
    <row r="2" spans="1:25" ht="12" thickTop="1" x14ac:dyDescent="0.15">
      <c r="B2" s="3" t="s">
        <v>0</v>
      </c>
      <c r="C2" s="4">
        <v>43061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 t="e">
        <f>RTD("wdf.rtq",,F8,"LastPrice")</f>
        <v>#N/A</v>
      </c>
      <c r="I8" s="19">
        <v>3800</v>
      </c>
      <c r="J8" s="19">
        <v>3890</v>
      </c>
      <c r="K8" s="19" t="e">
        <f>_xll.dnetDiscreteAdjustedBarrier($H8,$J8,$R8,1/365)</f>
        <v>#VALUE!</v>
      </c>
      <c r="L8" s="36">
        <v>0.02</v>
      </c>
      <c r="M8" s="21">
        <f ca="1">TODAY()</f>
        <v>43244</v>
      </c>
      <c r="N8" s="21">
        <f ca="1">M8+O8</f>
        <v>43274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 t="e">
        <f>_xll.dnetStandardBarrierNGreeks("price",G8,H8,I8,K8,L8*H8,P8,$C$3,Q8,R8,$C$4)*E8</f>
        <v>#VALUE!</v>
      </c>
      <c r="T8" s="25">
        <v>80</v>
      </c>
      <c r="U8" s="24" t="e">
        <f>T8/10000*P8*H8</f>
        <v>#N/A</v>
      </c>
      <c r="V8" s="24" t="e">
        <f>IF(S8&lt;=0,ABS(S8)+U8,S8-U8)</f>
        <v>#VALUE!</v>
      </c>
      <c r="W8" s="26" t="e">
        <f>V8/H8</f>
        <v>#VALUE!</v>
      </c>
      <c r="X8" s="24" t="e">
        <f>_xll.dnetStandardBarrierNGreeks("delta",G8,H8,I8,K8,L8*H8,P8,$C$3,Q8,R8,$C$4)</f>
        <v>#VALUE!</v>
      </c>
      <c r="Y8" s="24" t="e">
        <f>_xll.dnetStandardBarrierNGreeks("vega",G8,H8,I8,K8,L8*H8,P8,$C$3,Q8,R8,$C$4)</f>
        <v>#VALUE!</v>
      </c>
    </row>
    <row r="9" spans="1:25" x14ac:dyDescent="0.15">
      <c r="A9" s="34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37">
        <v>5.0000000000000001E-3</v>
      </c>
      <c r="M9" s="8">
        <f ca="1">TODAY()</f>
        <v>43244</v>
      </c>
      <c r="N9" s="8">
        <f ca="1">M9+O9</f>
        <v>43424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 x14ac:dyDescent="0.1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37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 x14ac:dyDescent="0.15">
      <c r="A11" s="34"/>
      <c r="B11" s="13" t="s">
        <v>172</v>
      </c>
      <c r="C11" s="10" t="s">
        <v>162</v>
      </c>
      <c r="D11" s="10" t="s">
        <v>31</v>
      </c>
      <c r="E11" s="10">
        <f t="shared" ref="E11:E16" si="0">IF(D11="中金买入",1,-1)</f>
        <v>-1</v>
      </c>
      <c r="F11" s="10" t="s">
        <v>212</v>
      </c>
      <c r="G11" s="10" t="s">
        <v>48</v>
      </c>
      <c r="H11" s="11">
        <v>100</v>
      </c>
      <c r="I11" s="10">
        <v>100</v>
      </c>
      <c r="J11" s="10">
        <v>118</v>
      </c>
      <c r="K11" s="10">
        <f>_xll.dnetDiscreteAdjustedBarrier($H11,$J11,$R11,1/365)</f>
        <v>118.97557113438837</v>
      </c>
      <c r="L11" s="37">
        <v>0</v>
      </c>
      <c r="M11" s="8">
        <f t="shared" ref="M11:M16" ca="1" si="1">TODAY()</f>
        <v>43244</v>
      </c>
      <c r="N11" s="8">
        <f t="shared" ref="N11:N16" ca="1" si="2">M11+O11</f>
        <v>43335</v>
      </c>
      <c r="O11" s="10">
        <v>91</v>
      </c>
      <c r="P11" s="12">
        <f t="shared" ref="P11:P16" si="3">O11/365</f>
        <v>0.24931506849315069</v>
      </c>
      <c r="Q11" s="12">
        <v>0</v>
      </c>
      <c r="R11" s="9">
        <v>0.27</v>
      </c>
      <c r="S11" s="13">
        <f>_xll.dnetStandardBarrierNGreeks("price",G11,H11,I11,K11,L11*H11,P11,$C$3,Q11,R11,$C$4)*E11</f>
        <v>-1.9129556509179371</v>
      </c>
      <c r="T11" s="15">
        <f>50*365/O11</f>
        <v>200.54945054945054</v>
      </c>
      <c r="U11" s="13">
        <f t="shared" ref="U11:U16" si="4">T11/10000*P11*H11</f>
        <v>0.49999999999999994</v>
      </c>
      <c r="V11" s="13">
        <f t="shared" ref="V11:V16" si="5">IF(S11&lt;=0,ABS(S11)+U11,S11-U11)</f>
        <v>2.4129556509179371</v>
      </c>
      <c r="W11" s="14">
        <f t="shared" ref="W11:W16" si="6">V11/H11</f>
        <v>2.4129556509179372E-2</v>
      </c>
      <c r="X11" s="13">
        <f>_xll.dnetStandardBarrierNGreeks("delta",G11,H11,I11,K11,L11*H11,P11,$C$3,Q11,R11,$C$4)</f>
        <v>5.6102419511372403E-2</v>
      </c>
      <c r="Y11" s="13">
        <f>_xll.dnetStandardBarrierNGreeks("vega",G11,H11,I11,K11,L11*H11,P11,$C$3,Q11,R11,$C$4)</f>
        <v>-9.5908124536094208E-2</v>
      </c>
    </row>
    <row r="12" spans="1:25" x14ac:dyDescent="0.15">
      <c r="A12" s="34"/>
      <c r="B12" s="13" t="s">
        <v>172</v>
      </c>
      <c r="C12" s="10" t="s">
        <v>162</v>
      </c>
      <c r="D12" s="10" t="s">
        <v>31</v>
      </c>
      <c r="E12" s="10">
        <f t="shared" si="0"/>
        <v>-1</v>
      </c>
      <c r="F12" s="10" t="s">
        <v>213</v>
      </c>
      <c r="G12" s="10" t="s">
        <v>48</v>
      </c>
      <c r="H12" s="11">
        <v>100</v>
      </c>
      <c r="I12" s="10">
        <v>100</v>
      </c>
      <c r="J12" s="10">
        <v>118</v>
      </c>
      <c r="K12" s="10">
        <f>_xll.dnetDiscreteAdjustedBarrier($H12,$J12,$R12,1/365)</f>
        <v>118.83053474115295</v>
      </c>
      <c r="L12" s="37">
        <v>0</v>
      </c>
      <c r="M12" s="8">
        <f t="shared" ca="1" si="1"/>
        <v>43244</v>
      </c>
      <c r="N12" s="8">
        <f t="shared" ca="1" si="2"/>
        <v>43335</v>
      </c>
      <c r="O12" s="10">
        <v>91</v>
      </c>
      <c r="P12" s="12">
        <f t="shared" si="3"/>
        <v>0.24931506849315069</v>
      </c>
      <c r="Q12" s="12">
        <v>0</v>
      </c>
      <c r="R12" s="9">
        <v>0.23</v>
      </c>
      <c r="S12" s="13">
        <f>_xll.dnetStandardBarrierNGreeks("price",G12,H12,I12,K12,L12*H12,P12,$C$3,Q12,R12,$C$4)*E12</f>
        <v>-2.268083861152451</v>
      </c>
      <c r="T12" s="15">
        <f t="shared" ref="T12:T16" si="7">50*365/O12</f>
        <v>200.54945054945054</v>
      </c>
      <c r="U12" s="13">
        <f t="shared" si="4"/>
        <v>0.49999999999999994</v>
      </c>
      <c r="V12" s="13">
        <f t="shared" si="5"/>
        <v>2.768083861152451</v>
      </c>
      <c r="W12" s="14">
        <f t="shared" si="6"/>
        <v>2.7680838611524511E-2</v>
      </c>
      <c r="X12" s="13">
        <f>_xll.dnetStandardBarrierNGreeks("delta",G12,H12,I12,K12,L12*H12,P12,$C$3,Q12,R12,$C$4)</f>
        <v>0.12152567414362991</v>
      </c>
      <c r="Y12" s="13">
        <f>_xll.dnetStandardBarrierNGreeks("vega",G12,H12,I12,K12,L12*H12,P12,$C$3,Q12,R12,$C$4)</f>
        <v>-9.3231985931003347E-2</v>
      </c>
    </row>
    <row r="13" spans="1:25" x14ac:dyDescent="0.15">
      <c r="A13" s="34"/>
      <c r="B13" s="13" t="s">
        <v>172</v>
      </c>
      <c r="C13" s="10" t="s">
        <v>162</v>
      </c>
      <c r="D13" s="10" t="s">
        <v>31</v>
      </c>
      <c r="E13" s="10">
        <f t="shared" si="0"/>
        <v>-1</v>
      </c>
      <c r="F13" s="10" t="s">
        <v>214</v>
      </c>
      <c r="G13" s="10" t="s">
        <v>48</v>
      </c>
      <c r="H13" s="11">
        <v>100</v>
      </c>
      <c r="I13" s="10">
        <v>100</v>
      </c>
      <c r="J13" s="10">
        <v>118</v>
      </c>
      <c r="K13" s="10">
        <f>_xll.dnetDiscreteAdjustedBarrier($H13,$J13,$R13,1/365)</f>
        <v>118.75808286013783</v>
      </c>
      <c r="L13" s="37">
        <v>0</v>
      </c>
      <c r="M13" s="8">
        <f t="shared" ca="1" si="1"/>
        <v>43244</v>
      </c>
      <c r="N13" s="8">
        <f t="shared" ca="1" si="2"/>
        <v>43335</v>
      </c>
      <c r="O13" s="10">
        <v>91</v>
      </c>
      <c r="P13" s="12">
        <f t="shared" si="3"/>
        <v>0.24931506849315069</v>
      </c>
      <c r="Q13" s="12">
        <v>0</v>
      </c>
      <c r="R13" s="9">
        <v>0.21</v>
      </c>
      <c r="S13" s="13">
        <f>_xll.dnetStandardBarrierNGreeks("price",G13,H13,I13,K13,L13*H13,P13,$C$3,Q13,R13,$C$4)*E13</f>
        <v>-2.429130538035877</v>
      </c>
      <c r="T13" s="15">
        <f t="shared" si="7"/>
        <v>200.54945054945054</v>
      </c>
      <c r="U13" s="13">
        <f t="shared" si="4"/>
        <v>0.49999999999999994</v>
      </c>
      <c r="V13" s="13">
        <f t="shared" si="5"/>
        <v>2.929130538035877</v>
      </c>
      <c r="W13" s="14">
        <f t="shared" si="6"/>
        <v>2.9291305380358769E-2</v>
      </c>
      <c r="X13" s="13">
        <f>_xll.dnetStandardBarrierNGreeks("delta",G13,H13,I13,K13,L13*H13,P13,$C$3,Q13,R13,$C$4)</f>
        <v>0.16955154890030411</v>
      </c>
      <c r="Y13" s="13">
        <f>_xll.dnetStandardBarrierNGreeks("vega",G13,H13,I13,K13,L13*H13,P13,$C$3,Q13,R13,$C$4)</f>
        <v>-8.0274776725061558E-2</v>
      </c>
    </row>
    <row r="14" spans="1:25" x14ac:dyDescent="0.15">
      <c r="A14" s="34"/>
      <c r="B14" s="13" t="s">
        <v>172</v>
      </c>
      <c r="C14" s="10" t="s">
        <v>162</v>
      </c>
      <c r="D14" s="10" t="s">
        <v>31</v>
      </c>
      <c r="E14" s="10">
        <f t="shared" si="0"/>
        <v>-1</v>
      </c>
      <c r="F14" s="10" t="s">
        <v>212</v>
      </c>
      <c r="G14" s="10" t="s">
        <v>48</v>
      </c>
      <c r="H14" s="11">
        <v>100</v>
      </c>
      <c r="I14" s="10">
        <v>100</v>
      </c>
      <c r="J14" s="10">
        <v>118</v>
      </c>
      <c r="K14" s="10">
        <f>_xll.dnetDiscreteAdjustedBarrier($H14,$J14,$R14,1/365)</f>
        <v>118.97557113438837</v>
      </c>
      <c r="L14" s="37">
        <v>0</v>
      </c>
      <c r="M14" s="8">
        <f t="shared" ca="1" si="1"/>
        <v>43244</v>
      </c>
      <c r="N14" s="8">
        <f t="shared" ca="1" si="2"/>
        <v>43427</v>
      </c>
      <c r="O14" s="10">
        <v>183</v>
      </c>
      <c r="P14" s="12">
        <f t="shared" si="3"/>
        <v>0.50136986301369868</v>
      </c>
      <c r="Q14" s="12">
        <v>0</v>
      </c>
      <c r="R14" s="9">
        <v>0.27</v>
      </c>
      <c r="S14" s="13">
        <f>_xll.dnetStandardBarrierNGreeks("price",G14,H14,I14,K14,L14*H14,P14,$C$3,Q14,R14,$C$4)*E14</f>
        <v>-1.0363206281910617</v>
      </c>
      <c r="T14" s="15">
        <f t="shared" si="7"/>
        <v>99.726775956284158</v>
      </c>
      <c r="U14" s="13">
        <f t="shared" si="4"/>
        <v>0.50000000000000011</v>
      </c>
      <c r="V14" s="13">
        <f t="shared" si="5"/>
        <v>1.5363206281910617</v>
      </c>
      <c r="W14" s="14">
        <f t="shared" si="6"/>
        <v>1.5363206281910617E-2</v>
      </c>
      <c r="X14" s="13">
        <f>_xll.dnetStandardBarrierNGreeks("delta",G14,H14,I14,K14,L14*H14,P14,$C$3,Q14,R14,$C$4)</f>
        <v>-8.979327686908789E-3</v>
      </c>
      <c r="Y14" s="13">
        <f>_xll.dnetStandardBarrierNGreeks("vega",G14,H14,I14,K14,L14*H14,P14,$C$3,Q14,R14,$C$4)</f>
        <v>-7.9718746239311411E-2</v>
      </c>
    </row>
    <row r="15" spans="1:25" x14ac:dyDescent="0.15">
      <c r="A15" s="34"/>
      <c r="B15" s="13" t="s">
        <v>172</v>
      </c>
      <c r="C15" s="10" t="s">
        <v>162</v>
      </c>
      <c r="D15" s="10" t="s">
        <v>31</v>
      </c>
      <c r="E15" s="10">
        <f t="shared" si="0"/>
        <v>-1</v>
      </c>
      <c r="F15" s="10" t="s">
        <v>213</v>
      </c>
      <c r="G15" s="10" t="s">
        <v>48</v>
      </c>
      <c r="H15" s="11">
        <v>100</v>
      </c>
      <c r="I15" s="10">
        <v>100</v>
      </c>
      <c r="J15" s="10">
        <v>118</v>
      </c>
      <c r="K15" s="10">
        <f>_xll.dnetDiscreteAdjustedBarrier($H15,$J15,$R15,1/365)</f>
        <v>118.83053474115295</v>
      </c>
      <c r="L15" s="37">
        <v>0</v>
      </c>
      <c r="M15" s="8">
        <f t="shared" ca="1" si="1"/>
        <v>43244</v>
      </c>
      <c r="N15" s="8">
        <f t="shared" ca="1" si="2"/>
        <v>43427</v>
      </c>
      <c r="O15" s="10">
        <v>183</v>
      </c>
      <c r="P15" s="12">
        <f t="shared" si="3"/>
        <v>0.50136986301369868</v>
      </c>
      <c r="Q15" s="12">
        <v>0</v>
      </c>
      <c r="R15" s="9">
        <v>0.23</v>
      </c>
      <c r="S15" s="13">
        <f>_xll.dnetStandardBarrierNGreeks("price",G15,H15,I15,K15,L15*H15,P15,$C$3,Q15,R15,$C$4)*E15</f>
        <v>-1.3855950829873169</v>
      </c>
      <c r="T15" s="15">
        <f t="shared" si="7"/>
        <v>99.726775956284158</v>
      </c>
      <c r="U15" s="13">
        <f t="shared" si="4"/>
        <v>0.50000000000000011</v>
      </c>
      <c r="V15" s="13">
        <f t="shared" si="5"/>
        <v>1.8855950829873169</v>
      </c>
      <c r="W15" s="14">
        <f t="shared" si="6"/>
        <v>1.885595082987317E-2</v>
      </c>
      <c r="X15" s="13">
        <f>_xll.dnetStandardBarrierNGreeks("delta",G15,H15,I15,K15,L15*H15,P15,$C$3,Q15,R15,$C$4)</f>
        <v>7.5959108423395705E-3</v>
      </c>
      <c r="Y15" s="13">
        <f>_xll.dnetStandardBarrierNGreeks("vega",G15,H15,I15,K15,L15*H15,P15,$C$3,Q15,R15,$C$4)</f>
        <v>-0.10820566193518943</v>
      </c>
    </row>
    <row r="16" spans="1:25" x14ac:dyDescent="0.15">
      <c r="A16" s="34"/>
      <c r="B16" s="13" t="s">
        <v>172</v>
      </c>
      <c r="C16" s="10" t="s">
        <v>162</v>
      </c>
      <c r="D16" s="10" t="s">
        <v>31</v>
      </c>
      <c r="E16" s="10">
        <f t="shared" si="0"/>
        <v>-1</v>
      </c>
      <c r="F16" s="10" t="s">
        <v>214</v>
      </c>
      <c r="G16" s="10" t="s">
        <v>48</v>
      </c>
      <c r="H16" s="11">
        <v>100</v>
      </c>
      <c r="I16" s="10">
        <v>100</v>
      </c>
      <c r="J16" s="10">
        <v>118</v>
      </c>
      <c r="K16" s="10">
        <f>_xll.dnetDiscreteAdjustedBarrier($H16,$J16,$R16,1/365)</f>
        <v>118.75808286013783</v>
      </c>
      <c r="L16" s="37">
        <v>0</v>
      </c>
      <c r="M16" s="8">
        <f t="shared" ca="1" si="1"/>
        <v>43244</v>
      </c>
      <c r="N16" s="8">
        <f t="shared" ca="1" si="2"/>
        <v>43427</v>
      </c>
      <c r="O16" s="10">
        <v>183</v>
      </c>
      <c r="P16" s="12">
        <f t="shared" si="3"/>
        <v>0.50136986301369868</v>
      </c>
      <c r="Q16" s="12">
        <v>0</v>
      </c>
      <c r="R16" s="9">
        <v>0.21</v>
      </c>
      <c r="S16" s="13">
        <f>_xll.dnetStandardBarrierNGreeks("price",G16,H16,I16,K16,L16*H16,P16,$C$3,Q16,R16,$C$4)*E16</f>
        <v>-1.6027351301156738</v>
      </c>
      <c r="T16" s="15">
        <f t="shared" si="7"/>
        <v>99.726775956284158</v>
      </c>
      <c r="U16" s="13">
        <f t="shared" si="4"/>
        <v>0.50000000000000011</v>
      </c>
      <c r="V16" s="13">
        <f t="shared" si="5"/>
        <v>2.1027351301156738</v>
      </c>
      <c r="W16" s="14">
        <f t="shared" si="6"/>
        <v>2.1027351301156738E-2</v>
      </c>
      <c r="X16" s="13">
        <f>_xll.dnetStandardBarrierNGreeks("delta",G16,H16,I16,K16,L16*H16,P16,$C$3,Q16,R16,$C$4)</f>
        <v>2.4612309731497639E-2</v>
      </c>
      <c r="Y16" s="13">
        <f>_xll.dnetStandardBarrierNGreeks("vega",G16,H16,I16,K16,L16*H16,P16,$C$3,Q16,R16,$C$4)</f>
        <v>-0.12284663697839449</v>
      </c>
    </row>
    <row r="17" spans="2:25" x14ac:dyDescent="0.1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 x14ac:dyDescent="0.1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 x14ac:dyDescent="0.1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 x14ac:dyDescent="0.1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 x14ac:dyDescent="0.1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 x14ac:dyDescent="0.1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 x14ac:dyDescent="0.1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 x14ac:dyDescent="0.1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 x14ac:dyDescent="0.1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 x14ac:dyDescent="0.1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 x14ac:dyDescent="0.1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 x14ac:dyDescent="0.1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 x14ac:dyDescent="0.1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 x14ac:dyDescent="0.1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 x14ac:dyDescent="0.1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 x14ac:dyDescent="0.1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 x14ac:dyDescent="0.1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 x14ac:dyDescent="0.1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 x14ac:dyDescent="0.1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 x14ac:dyDescent="0.1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 x14ac:dyDescent="0.1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 x14ac:dyDescent="0.1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 x14ac:dyDescent="0.1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R7" sqref="R7"/>
    </sheetView>
  </sheetViews>
  <sheetFormatPr defaultRowHeight="13.5" x14ac:dyDescent="0.15"/>
  <cols>
    <col min="1" max="1" width="9" style="1"/>
  </cols>
  <sheetData>
    <row r="1" spans="1:16" x14ac:dyDescent="0.15">
      <c r="A1" s="16" t="s">
        <v>36</v>
      </c>
      <c r="B1" s="2" t="s">
        <v>19</v>
      </c>
      <c r="C1" s="2" t="s">
        <v>24</v>
      </c>
      <c r="K1" s="32" t="s">
        <v>155</v>
      </c>
      <c r="L1" s="32" t="s">
        <v>152</v>
      </c>
      <c r="M1" s="32"/>
      <c r="N1" s="32"/>
      <c r="O1" s="32"/>
      <c r="P1" s="32"/>
    </row>
    <row r="2" spans="1:16" x14ac:dyDescent="0.15">
      <c r="A2" s="16" t="s">
        <v>3</v>
      </c>
      <c r="B2" s="2" t="s">
        <v>21</v>
      </c>
      <c r="C2" s="2" t="s">
        <v>25</v>
      </c>
      <c r="K2" s="32" t="s">
        <v>156</v>
      </c>
      <c r="L2" s="32" t="s">
        <v>157</v>
      </c>
      <c r="M2" s="32"/>
      <c r="N2" s="32"/>
      <c r="O2" s="32"/>
      <c r="P2" s="32"/>
    </row>
    <row r="3" spans="1:16" x14ac:dyDescent="0.15">
      <c r="A3" s="2" t="s">
        <v>5</v>
      </c>
      <c r="C3" s="2" t="s">
        <v>153</v>
      </c>
    </row>
    <row r="4" spans="1:16" x14ac:dyDescent="0.15">
      <c r="A4" s="2" t="s">
        <v>4</v>
      </c>
      <c r="C4" s="2" t="s">
        <v>154</v>
      </c>
    </row>
    <row r="5" spans="1:16" x14ac:dyDescent="0.15">
      <c r="A5" s="2" t="s">
        <v>6</v>
      </c>
    </row>
    <row r="6" spans="1:16" x14ac:dyDescent="0.15">
      <c r="A6" s="2" t="s">
        <v>35</v>
      </c>
    </row>
    <row r="7" spans="1:16" x14ac:dyDescent="0.15">
      <c r="A7" s="2" t="s">
        <v>42</v>
      </c>
    </row>
    <row r="8" spans="1:16" x14ac:dyDescent="0.15">
      <c r="A8" s="2" t="s">
        <v>43</v>
      </c>
    </row>
    <row r="9" spans="1:16" x14ac:dyDescent="0.15">
      <c r="A9" s="2" t="s">
        <v>161</v>
      </c>
    </row>
    <row r="10" spans="1:16" x14ac:dyDescent="0.15">
      <c r="A10" s="2" t="s">
        <v>169</v>
      </c>
    </row>
    <row r="11" spans="1:16" x14ac:dyDescent="0.15">
      <c r="A11" s="2" t="s">
        <v>176</v>
      </c>
    </row>
    <row r="12" spans="1:16" x14ac:dyDescent="0.15">
      <c r="A12" s="2" t="s">
        <v>177</v>
      </c>
    </row>
    <row r="13" spans="1:16" x14ac:dyDescent="0.15">
      <c r="A13" s="2" t="s">
        <v>178</v>
      </c>
    </row>
    <row r="14" spans="1:16" x14ac:dyDescent="0.15">
      <c r="A14" s="2"/>
    </row>
    <row r="15" spans="1:16" x14ac:dyDescent="0.15">
      <c r="A15" s="2"/>
    </row>
    <row r="16" spans="1:16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quate_van</vt:lpstr>
      <vt:lpstr>recap</vt:lpstr>
      <vt:lpstr>pricer_van</vt:lpstr>
      <vt:lpstr>Sheet1</vt:lpstr>
      <vt:lpstr>pricer_combo</vt:lpstr>
      <vt:lpstr>quote_sf</vt:lpstr>
      <vt:lpstr>ref_vol_table</vt:lpstr>
      <vt:lpstr>pricer_sf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2018-05-24T07:08:13Z</dcterms:modified>
</cp:coreProperties>
</file>