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 activeTab="1"/>
  </bookViews>
  <sheets>
    <sheet name="offer_van combo" sheetId="6" r:id="rId1"/>
    <sheet name="recap" sheetId="2" r:id="rId2"/>
    <sheet name="offer_van_sf" sheetId="10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M38" i="1" l="1"/>
  <c r="J38" i="1"/>
  <c r="K38" i="1" s="1"/>
  <c r="E38" i="1"/>
  <c r="M37" i="1"/>
  <c r="J37" i="1"/>
  <c r="K37" i="1" s="1"/>
  <c r="E37" i="1"/>
  <c r="M36" i="1"/>
  <c r="J36" i="1"/>
  <c r="K36" i="1" s="1"/>
  <c r="E36" i="1"/>
  <c r="M35" i="1"/>
  <c r="J35" i="1"/>
  <c r="K35" i="1" s="1"/>
  <c r="E35" i="1"/>
  <c r="M33" i="1"/>
  <c r="M34" i="1"/>
  <c r="J34" i="1"/>
  <c r="K34" i="1" s="1"/>
  <c r="E34" i="1"/>
  <c r="J33" i="1"/>
  <c r="K33" i="1" s="1"/>
  <c r="E33" i="1"/>
  <c r="M30" i="1"/>
  <c r="M31" i="1"/>
  <c r="M32" i="1"/>
  <c r="J32" i="1"/>
  <c r="K32" i="1" s="1"/>
  <c r="E32" i="1"/>
  <c r="J31" i="1"/>
  <c r="K31" i="1" s="1"/>
  <c r="E31" i="1"/>
  <c r="J30" i="1"/>
  <c r="K30" i="1" s="1"/>
  <c r="E30" i="1"/>
  <c r="P38" i="1"/>
  <c r="H32" i="1"/>
  <c r="H30" i="1"/>
  <c r="V35" i="1"/>
  <c r="V37" i="1"/>
  <c r="U32" i="1"/>
  <c r="P33" i="1"/>
  <c r="H31" i="1"/>
  <c r="V38" i="1"/>
  <c r="P30" i="1"/>
  <c r="P36" i="1"/>
  <c r="P31" i="1"/>
  <c r="V34" i="1"/>
  <c r="P37" i="1"/>
  <c r="R37" i="1" l="1"/>
  <c r="S37" i="1" s="1"/>
  <c r="T37" i="1" s="1"/>
  <c r="R38" i="1"/>
  <c r="R36" i="1"/>
  <c r="S36" i="1" s="1"/>
  <c r="T36" i="1" s="1"/>
  <c r="R35" i="1"/>
  <c r="S38" i="1"/>
  <c r="T38" i="1" s="1"/>
  <c r="R33" i="1"/>
  <c r="S33" i="1" s="1"/>
  <c r="T33" i="1" s="1"/>
  <c r="R34" i="1"/>
  <c r="R31" i="1"/>
  <c r="S31" i="1" s="1"/>
  <c r="T31" i="1" s="1"/>
  <c r="R32" i="1"/>
  <c r="R30" i="1"/>
  <c r="S30" i="1" s="1"/>
  <c r="T30" i="1" s="1"/>
  <c r="D26" i="2"/>
  <c r="M29" i="1"/>
  <c r="J29" i="1"/>
  <c r="K29" i="1" s="1"/>
  <c r="E29" i="1"/>
  <c r="M27" i="1"/>
  <c r="M28" i="1"/>
  <c r="J28" i="1"/>
  <c r="K28" i="1" s="1"/>
  <c r="E28" i="1"/>
  <c r="J27" i="1"/>
  <c r="K27" i="1" s="1"/>
  <c r="E27" i="1"/>
  <c r="M26" i="1"/>
  <c r="R26" i="1" s="1"/>
  <c r="J26" i="1"/>
  <c r="K26" i="1" s="1"/>
  <c r="E26" i="1"/>
  <c r="M25" i="1"/>
  <c r="R25" i="1" s="1"/>
  <c r="J25" i="1"/>
  <c r="K25" i="1" s="1"/>
  <c r="E25" i="1"/>
  <c r="M24" i="1"/>
  <c r="R24" i="1" s="1"/>
  <c r="J24" i="1"/>
  <c r="K24" i="1" s="1"/>
  <c r="E24" i="1"/>
  <c r="P32" i="1"/>
  <c r="P35" i="1"/>
  <c r="U31" i="1"/>
  <c r="U30" i="1"/>
  <c r="U38" i="1"/>
  <c r="V32" i="1"/>
  <c r="U36" i="1"/>
  <c r="U35" i="1"/>
  <c r="U37" i="1"/>
  <c r="H29" i="1"/>
  <c r="V30" i="1"/>
  <c r="V31" i="1"/>
  <c r="H28" i="1"/>
  <c r="U33" i="1"/>
  <c r="H27" i="1"/>
  <c r="V36" i="1"/>
  <c r="U34" i="1"/>
  <c r="P34" i="1"/>
  <c r="P25" i="1"/>
  <c r="V33" i="1"/>
  <c r="P24" i="1"/>
  <c r="U29" i="1"/>
  <c r="U27" i="1"/>
  <c r="P26" i="1"/>
  <c r="P28" i="1"/>
  <c r="V28" i="1"/>
  <c r="S32" i="1" l="1"/>
  <c r="T32" i="1" s="1"/>
  <c r="S35" i="1"/>
  <c r="T35" i="1" s="1"/>
  <c r="S34" i="1"/>
  <c r="T34" i="1" s="1"/>
  <c r="R29" i="1"/>
  <c r="R28" i="1"/>
  <c r="S28" i="1" s="1"/>
  <c r="T28" i="1" s="1"/>
  <c r="R27" i="1"/>
  <c r="S25" i="1"/>
  <c r="T25" i="1" s="1"/>
  <c r="S24" i="1"/>
  <c r="T24" i="1" s="1"/>
  <c r="S26" i="1"/>
  <c r="T26" i="1" s="1"/>
  <c r="M20" i="1"/>
  <c r="M21" i="1"/>
  <c r="M22" i="1"/>
  <c r="M23" i="1"/>
  <c r="R23" i="1" s="1"/>
  <c r="M19" i="1"/>
  <c r="J23" i="1"/>
  <c r="K23" i="1" s="1"/>
  <c r="E23" i="1"/>
  <c r="J22" i="1"/>
  <c r="K22" i="1" s="1"/>
  <c r="E22" i="1"/>
  <c r="J21" i="1"/>
  <c r="K21" i="1" s="1"/>
  <c r="E21" i="1"/>
  <c r="J20" i="1"/>
  <c r="K20" i="1" s="1"/>
  <c r="E20" i="1"/>
  <c r="J19" i="1"/>
  <c r="K19" i="1" s="1"/>
  <c r="E19" i="1"/>
  <c r="V29" i="1"/>
  <c r="H19" i="1"/>
  <c r="H21" i="1"/>
  <c r="V26" i="1"/>
  <c r="V19" i="1"/>
  <c r="H20" i="1"/>
  <c r="U20" i="1" s="1"/>
  <c r="P23" i="1"/>
  <c r="P27" i="1"/>
  <c r="H22" i="1"/>
  <c r="U28" i="1"/>
  <c r="V24" i="1"/>
  <c r="V23" i="1"/>
  <c r="U26" i="1"/>
  <c r="P29" i="1"/>
  <c r="P20" i="1"/>
  <c r="U25" i="1"/>
  <c r="V27" i="1"/>
  <c r="U24" i="1"/>
  <c r="V25" i="1"/>
  <c r="P22" i="1"/>
  <c r="S27" i="1" l="1"/>
  <c r="T27" i="1" s="1"/>
  <c r="S29" i="1"/>
  <c r="T29" i="1" s="1"/>
  <c r="S23" i="1"/>
  <c r="T23" i="1" s="1"/>
  <c r="R19" i="1"/>
  <c r="R22" i="1"/>
  <c r="S22" i="1" s="1"/>
  <c r="T22" i="1" s="1"/>
  <c r="R20" i="1"/>
  <c r="S20" i="1" s="1"/>
  <c r="T20" i="1" s="1"/>
  <c r="R21" i="1"/>
  <c r="M18" i="1"/>
  <c r="J18" i="1"/>
  <c r="K18" i="1" s="1"/>
  <c r="E18" i="1"/>
  <c r="M17" i="1"/>
  <c r="J17" i="1"/>
  <c r="K17" i="1" s="1"/>
  <c r="E17" i="1"/>
  <c r="M15" i="1"/>
  <c r="M16" i="1"/>
  <c r="J16" i="1"/>
  <c r="K16" i="1" s="1"/>
  <c r="E16" i="1"/>
  <c r="J15" i="1"/>
  <c r="K15" i="1" s="1"/>
  <c r="E15" i="1"/>
  <c r="V21" i="1"/>
  <c r="P19" i="1"/>
  <c r="H17" i="1"/>
  <c r="U23" i="1"/>
  <c r="P21" i="1"/>
  <c r="V20" i="1"/>
  <c r="U19" i="1"/>
  <c r="U22" i="1"/>
  <c r="H16" i="1"/>
  <c r="U18" i="1"/>
  <c r="V22" i="1"/>
  <c r="U21" i="1"/>
  <c r="H15" i="1"/>
  <c r="V17" i="1"/>
  <c r="S19" i="1" l="1"/>
  <c r="T19" i="1" s="1"/>
  <c r="S21" i="1"/>
  <c r="T21" i="1" s="1"/>
  <c r="R18" i="1"/>
  <c r="R17" i="1"/>
  <c r="R15" i="1"/>
  <c r="R16" i="1"/>
  <c r="M14" i="1"/>
  <c r="P15" i="1"/>
  <c r="P18" i="1"/>
  <c r="V16" i="1"/>
  <c r="P17" i="1"/>
  <c r="U17" i="1"/>
  <c r="V18" i="1"/>
  <c r="V15" i="1"/>
  <c r="U15" i="1"/>
  <c r="P16" i="1"/>
  <c r="U16" i="1"/>
  <c r="S18" i="1" l="1"/>
  <c r="T18" i="1" s="1"/>
  <c r="S17" i="1"/>
  <c r="T17" i="1" s="1"/>
  <c r="S15" i="1"/>
  <c r="T15" i="1" s="1"/>
  <c r="S16" i="1"/>
  <c r="T16" i="1" s="1"/>
  <c r="J14" i="1"/>
  <c r="K14" i="1" s="1"/>
  <c r="E14" i="1"/>
  <c r="H14" i="1"/>
  <c r="U14" i="1"/>
  <c r="R14" i="1" l="1"/>
  <c r="L18" i="9"/>
  <c r="H18" i="9"/>
  <c r="H19" i="9" s="1"/>
  <c r="M13" i="1"/>
  <c r="M12" i="1"/>
  <c r="M11" i="1"/>
  <c r="F18" i="9"/>
  <c r="J13" i="1"/>
  <c r="K13" i="1" s="1"/>
  <c r="E13" i="1"/>
  <c r="J11" i="1"/>
  <c r="K11" i="1" s="1"/>
  <c r="E11" i="1"/>
  <c r="J12" i="1"/>
  <c r="K12" i="1" s="1"/>
  <c r="E12" i="1"/>
  <c r="M10" i="1"/>
  <c r="J10" i="1"/>
  <c r="K10" i="1" s="1"/>
  <c r="E10" i="1"/>
  <c r="V14" i="1"/>
  <c r="H10" i="1"/>
  <c r="P14" i="1"/>
  <c r="V10" i="1"/>
  <c r="S14" i="1" l="1"/>
  <c r="T14" i="1" s="1"/>
  <c r="I11" i="1"/>
  <c r="I13" i="1"/>
  <c r="R13" i="1"/>
  <c r="I12" i="1"/>
  <c r="R12" i="1"/>
  <c r="R11" i="1"/>
  <c r="R10" i="1"/>
  <c r="L19" i="9"/>
  <c r="I19" i="9"/>
  <c r="F19" i="9"/>
  <c r="M18" i="9"/>
  <c r="M19" i="9" s="1"/>
  <c r="E18" i="9"/>
  <c r="M17" i="9"/>
  <c r="J17" i="9"/>
  <c r="J18" i="9" s="1"/>
  <c r="J19" i="9" s="1"/>
  <c r="E17" i="9"/>
  <c r="U10" i="1"/>
  <c r="P11" i="1"/>
  <c r="P10" i="1"/>
  <c r="V11" i="1"/>
  <c r="U13" i="1"/>
  <c r="U11" i="1"/>
  <c r="V12" i="1"/>
  <c r="P13" i="1"/>
  <c r="P12" i="1"/>
  <c r="V13" i="1"/>
  <c r="U12" i="1"/>
  <c r="U17" i="9"/>
  <c r="S12" i="1" l="1"/>
  <c r="T12" i="1" s="1"/>
  <c r="S13" i="1"/>
  <c r="T13" i="1" s="1"/>
  <c r="S11" i="1"/>
  <c r="T11" i="1" s="1"/>
  <c r="S10" i="1"/>
  <c r="T10" i="1" s="1"/>
  <c r="K17" i="9"/>
  <c r="K18" i="9" s="1"/>
  <c r="K19" i="9" s="1"/>
  <c r="U18" i="9"/>
  <c r="P18" i="9"/>
  <c r="P17" i="9"/>
  <c r="V18" i="9"/>
  <c r="V17" i="9"/>
  <c r="S17" i="9" l="1"/>
  <c r="U19" i="9"/>
  <c r="V19" i="9"/>
  <c r="S18" i="9"/>
  <c r="P19" i="9"/>
  <c r="R19" i="9"/>
  <c r="S19" i="9" l="1"/>
  <c r="T19" i="9" s="1"/>
  <c r="E14" i="9" l="1"/>
  <c r="E15" i="9"/>
  <c r="F15" i="9"/>
  <c r="F16" i="9" s="1"/>
  <c r="F12" i="9"/>
  <c r="F13" i="9" s="1"/>
  <c r="I16" i="9"/>
  <c r="L15" i="9"/>
  <c r="L16" i="9" s="1"/>
  <c r="M14" i="9"/>
  <c r="J14" i="9"/>
  <c r="J15" i="9" s="1"/>
  <c r="J16" i="9" s="1"/>
  <c r="P14" i="9"/>
  <c r="U14" i="9"/>
  <c r="V14" i="9"/>
  <c r="M15" i="9" l="1"/>
  <c r="M16" i="9" s="1"/>
  <c r="H12" i="9"/>
  <c r="H13" i="9" s="1"/>
  <c r="H15" i="9"/>
  <c r="S14" i="9"/>
  <c r="K14" i="9"/>
  <c r="K15" i="9" s="1"/>
  <c r="K16" i="9" s="1"/>
  <c r="U15" i="9"/>
  <c r="V15" i="9"/>
  <c r="P15" i="9"/>
  <c r="V16" i="9" l="1"/>
  <c r="U16" i="9"/>
  <c r="P16" i="9"/>
  <c r="S15" i="9"/>
  <c r="H16" i="9"/>
  <c r="R16" i="9" s="1"/>
  <c r="I13" i="9"/>
  <c r="L12" i="9"/>
  <c r="L13" i="9" s="1"/>
  <c r="E12" i="9"/>
  <c r="M11" i="9"/>
  <c r="J11" i="9"/>
  <c r="J12" i="9" s="1"/>
  <c r="J13" i="9" s="1"/>
  <c r="E11" i="9"/>
  <c r="V11" i="9"/>
  <c r="S16" i="9" l="1"/>
  <c r="T16" i="9" s="1"/>
  <c r="M12" i="9"/>
  <c r="K11" i="9"/>
  <c r="K12" i="9" s="1"/>
  <c r="K13" i="9" s="1"/>
  <c r="P12" i="9"/>
  <c r="V12" i="9"/>
  <c r="P11" i="9"/>
  <c r="U12" i="9"/>
  <c r="U11" i="9"/>
  <c r="S12" i="9" l="1"/>
  <c r="M13" i="9"/>
  <c r="R13" i="9" s="1"/>
  <c r="U13" i="9"/>
  <c r="V13" i="9"/>
  <c r="S11" i="9"/>
  <c r="P13" i="9"/>
  <c r="S13" i="9" l="1"/>
  <c r="T13" i="9" s="1"/>
  <c r="N9" i="9" l="1"/>
  <c r="N8" i="2" l="1"/>
  <c r="I10" i="9" l="1"/>
  <c r="H10" i="9"/>
  <c r="F10" i="9"/>
  <c r="L9" i="9"/>
  <c r="M9" i="9" s="1"/>
  <c r="M10" i="9" s="1"/>
  <c r="E9" i="9"/>
  <c r="M8" i="9"/>
  <c r="J8" i="9"/>
  <c r="K8" i="9" s="1"/>
  <c r="K9" i="9" s="1"/>
  <c r="K10" i="9" s="1"/>
  <c r="E8" i="9"/>
  <c r="U9" i="9"/>
  <c r="V8" i="9"/>
  <c r="R10" i="9" l="1"/>
  <c r="L10" i="9"/>
  <c r="J9" i="9"/>
  <c r="J10" i="9" s="1"/>
  <c r="V9" i="9"/>
  <c r="P8" i="9"/>
  <c r="U8" i="9"/>
  <c r="P9" i="9"/>
  <c r="U10" i="9" l="1"/>
  <c r="S9" i="9"/>
  <c r="P10" i="9"/>
  <c r="S10" i="9" s="1"/>
  <c r="T10" i="9" s="1"/>
  <c r="S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U9" i="7"/>
  <c r="O9" i="7"/>
  <c r="O10" i="7"/>
  <c r="H8" i="8"/>
  <c r="K9" i="8"/>
  <c r="U10" i="7"/>
  <c r="T10" i="7"/>
  <c r="H8" i="7"/>
  <c r="T9" i="7"/>
  <c r="U8" i="8" l="1"/>
  <c r="Q9" i="7"/>
  <c r="R9" i="7" s="1"/>
  <c r="S9" i="7" s="1"/>
  <c r="Q10" i="7"/>
  <c r="R10" i="7" s="1"/>
  <c r="S10" i="7" s="1"/>
  <c r="Q8" i="7"/>
  <c r="U8" i="7"/>
  <c r="X9" i="8"/>
  <c r="O8" i="7"/>
  <c r="Y9" i="8"/>
  <c r="K8" i="8"/>
  <c r="T8" i="7"/>
  <c r="S9" i="8"/>
  <c r="V9" i="8" l="1"/>
  <c r="W9" i="8" s="1"/>
  <c r="R8" i="7"/>
  <c r="S8" i="7" s="1"/>
  <c r="X8" i="8"/>
  <c r="S8" i="8"/>
  <c r="Y8" i="8"/>
  <c r="V8" i="8" l="1"/>
  <c r="W8" i="8" s="1"/>
  <c r="E9" i="1"/>
  <c r="E8" i="1"/>
  <c r="M9" i="1" l="1"/>
  <c r="J9" i="1"/>
  <c r="K9" i="1" s="1"/>
  <c r="M8" i="1"/>
  <c r="J8" i="1"/>
  <c r="K8" i="1" s="1"/>
  <c r="V9" i="1"/>
  <c r="U9" i="1"/>
  <c r="P9" i="1"/>
  <c r="H8" i="1"/>
  <c r="R8" i="1" l="1"/>
  <c r="R9" i="1"/>
  <c r="S9" i="1" s="1"/>
  <c r="T9" i="1" s="1"/>
  <c r="U8" i="1"/>
  <c r="P8" i="1"/>
  <c r="V8" i="1"/>
  <c r="S8" i="1" l="1"/>
  <c r="T8" i="1" s="1"/>
</calcChain>
</file>

<file path=xl/sharedStrings.xml><?xml version="1.0" encoding="utf-8"?>
<sst xmlns="http://schemas.openxmlformats.org/spreadsheetml/2006/main" count="736" uniqueCount="246">
  <si>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</si>
  <si>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</si>
  <si>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</si>
  <si>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</si>
  <si>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</si>
  <si>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</si>
  <si>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</si>
  <si>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</si>
  <si>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</si>
  <si>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</si>
  <si>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</si>
  <si>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</si>
  <si>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</si>
  <si>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</si>
  <si>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</si>
  <si>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</si>
  <si>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</si>
  <si>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</si>
  <si>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</si>
  <si>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</si>
  <si>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</si>
  <si>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</si>
  <si>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</si>
  <si>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</si>
  <si>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</si>
  <si>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</si>
  <si>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</si>
  <si>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</si>
  <si>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</si>
  <si>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</si>
  <si>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</si>
  <si>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</si>
  <si>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</si>
  <si>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</si>
  <si>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</si>
  <si>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</si>
  <si>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</si>
  <si>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</si>
  <si>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</si>
  <si>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</si>
  <si>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</si>
  <si>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</si>
  <si>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</si>
  <si>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</si>
  <si>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</si>
  <si>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</si>
  <si>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</si>
  <si>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</si>
  <si>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</si>
  <si>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</si>
  <si>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</si>
  <si>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</si>
  <si>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</si>
  <si>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</si>
  <si>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</si>
  <si>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</si>
  <si>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</si>
  <si>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</si>
  <si>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</si>
  <si>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</si>
  <si>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</si>
  <si>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</si>
  <si>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</si>
  <si>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</si>
  <si>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</si>
  <si>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</si>
  <si>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</si>
  <si>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</si>
  <si>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</si>
  <si>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</si>
  <si>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</si>
  <si>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</si>
  <si>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</si>
  <si>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</si>
  <si>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</si>
  <si>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</si>
  <si>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</si>
  <si>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</si>
  <si>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</si>
  <si>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</si>
  <si>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</si>
  <si>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</si>
  <si>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</si>
  <si>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</si>
  <si>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</si>
  <si>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</si>
  <si>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</si>
  <si>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</si>
  <si>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</si>
  <si>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</si>
  <si>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</si>
  <si>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</si>
  <si>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</si>
  <si>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</si>
  <si>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</si>
  <si>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</si>
  <si>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</si>
  <si>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</si>
  <si>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</si>
  <si>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</si>
  <si>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</si>
  <si>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</si>
  <si>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</si>
  <si>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</si>
  <si>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</si>
  <si>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</si>
  <si>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</si>
  <si>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</si>
  <si>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</si>
  <si>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</si>
  <si>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</si>
  <si>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</si>
  <si>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</si>
  <si>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</si>
  <si>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</si>
  <si>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</si>
  <si>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</si>
  <si>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</si>
  <si>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</si>
  <si>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</si>
  <si>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</si>
  <si>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</si>
  <si>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</si>
  <si>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</si>
  <si>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</si>
  <si>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</si>
  <si>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</si>
  <si>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</si>
  <si>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</si>
  <si>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</si>
  <si>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</si>
  <si>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</si>
  <si>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</si>
  <si>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</si>
  <si>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</si>
  <si>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</si>
  <si>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</si>
  <si>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</si>
  <si>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</si>
  <si>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</si>
  <si>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</si>
  <si>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</si>
  <si>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</si>
  <si>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</si>
  <si>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</si>
  <si>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</si>
  <si>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</si>
  <si>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</si>
  <si>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</si>
  <si>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</si>
  <si>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</si>
  <si>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</si>
  <si>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</si>
  <si>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</si>
  <si>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</si>
  <si>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</si>
  <si>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</si>
  <si>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</si>
  <si>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</si>
  <si>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交易方向</t>
    <phoneticPr fontId="1" type="noConversion"/>
  </si>
  <si>
    <t>期权标的</t>
    <phoneticPr fontId="1" type="noConversion"/>
  </si>
  <si>
    <t>期权种类</t>
    <phoneticPr fontId="1" type="noConversion"/>
  </si>
  <si>
    <t>入场价</t>
    <phoneticPr fontId="1" type="noConversion"/>
  </si>
  <si>
    <t>交易日</t>
    <phoneticPr fontId="1" type="noConversion"/>
  </si>
  <si>
    <t>天数</t>
    <phoneticPr fontId="1" type="noConversion"/>
  </si>
  <si>
    <t>天数(y)</t>
    <phoneticPr fontId="1" type="noConversion"/>
  </si>
  <si>
    <t>Carry</t>
    <phoneticPr fontId="1" type="noConversion"/>
  </si>
  <si>
    <t>波动率</t>
    <phoneticPr fontId="1" type="noConversion"/>
  </si>
  <si>
    <t>成本价</t>
    <phoneticPr fontId="1" type="noConversion"/>
  </si>
  <si>
    <t>加点(绝对值)</t>
    <phoneticPr fontId="1" type="noConversion"/>
  </si>
  <si>
    <t>报价</t>
    <phoneticPr fontId="1" type="noConversion"/>
  </si>
  <si>
    <t>交易方向</t>
  </si>
  <si>
    <t>期权标的</t>
  </si>
  <si>
    <t>期权种类</t>
  </si>
  <si>
    <t>入场价</t>
  </si>
  <si>
    <t>执行价1|执行价2</t>
  </si>
  <si>
    <t>交易日</t>
  </si>
  <si>
    <t>到期日</t>
  </si>
  <si>
    <t>天数</t>
  </si>
  <si>
    <t>天数(y)</t>
  </si>
  <si>
    <t>Carry</t>
  </si>
  <si>
    <t>波动率</t>
  </si>
  <si>
    <t>成本价</t>
  </si>
  <si>
    <t>加点(bp)</t>
  </si>
  <si>
    <t>加点(绝对值)</t>
  </si>
  <si>
    <t>报价</t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</si>
  <si>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</si>
  <si>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</si>
  <si>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</si>
  <si>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</si>
  <si>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</si>
  <si>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</si>
  <si>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</si>
  <si>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</si>
  <si>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</si>
  <si>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</si>
  <si>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</si>
  <si>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</si>
  <si>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</si>
  <si>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</si>
  <si>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</si>
  <si>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</si>
  <si>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</si>
  <si>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</si>
  <si>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</si>
  <si>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</si>
  <si>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RB1810</t>
  </si>
  <si>
    <t>中金公司</t>
    <phoneticPr fontId="1" type="noConversion"/>
  </si>
  <si>
    <t>天物国际</t>
    <phoneticPr fontId="1" type="noConversion"/>
  </si>
  <si>
    <t>RB1810</t>
    <phoneticPr fontId="1" type="noConversion"/>
  </si>
  <si>
    <t>RMB</t>
    <phoneticPr fontId="1" type="noConversion"/>
  </si>
  <si>
    <t>看跌期权</t>
    <phoneticPr fontId="1" type="noConversion"/>
  </si>
  <si>
    <t>rb1810</t>
  </si>
  <si>
    <t>rb1810</t>
    <phoneticPr fontId="1" type="noConversion"/>
  </si>
  <si>
    <t>风险逆转</t>
    <phoneticPr fontId="1" type="noConversion"/>
  </si>
  <si>
    <t>行权价1(中金卖出看跌):</t>
    <phoneticPr fontId="1" type="noConversion"/>
  </si>
  <si>
    <t>行权价2(中金买入看涨):</t>
    <phoneticPr fontId="1" type="noConversion"/>
  </si>
  <si>
    <t>前程石化</t>
    <phoneticPr fontId="1" type="noConversion"/>
  </si>
  <si>
    <t>L1805</t>
    <phoneticPr fontId="1" type="noConversion"/>
  </si>
  <si>
    <t>权利金总额（元）：</t>
    <phoneticPr fontId="1" type="noConversion"/>
  </si>
  <si>
    <t>权利金方向:</t>
    <phoneticPr fontId="1" type="noConversion"/>
  </si>
  <si>
    <t>前程石化支付中金</t>
    <phoneticPr fontId="1" type="noConversion"/>
  </si>
  <si>
    <t>客户名称：</t>
    <phoneticPr fontId="1" type="noConversion"/>
  </si>
  <si>
    <t>前程石化支付</t>
    <phoneticPr fontId="1" type="noConversion"/>
  </si>
  <si>
    <t>RB1810</t>
    <phoneticPr fontId="1" type="noConversion"/>
  </si>
  <si>
    <t>au9999</t>
    <phoneticPr fontId="1" type="noConversion"/>
  </si>
  <si>
    <t>c</t>
    <phoneticPr fontId="1" type="noConversion"/>
  </si>
  <si>
    <t>hc1805</t>
    <phoneticPr fontId="1" type="noConversion"/>
  </si>
  <si>
    <t>c</t>
    <phoneticPr fontId="1" type="noConversion"/>
  </si>
  <si>
    <t>cf805</t>
  </si>
  <si>
    <t>cf805</t>
    <phoneticPr fontId="1" type="noConversion"/>
  </si>
  <si>
    <t>p</t>
    <phoneticPr fontId="1" type="noConversion"/>
  </si>
  <si>
    <t>rb1810</t>
    <phoneticPr fontId="1" type="noConversion"/>
  </si>
  <si>
    <t>ru1805</t>
    <phoneticPr fontId="1" type="noConversion"/>
  </si>
  <si>
    <t>jm1805</t>
    <phoneticPr fontId="1" type="noConversion"/>
  </si>
  <si>
    <t>i1805</t>
    <phoneticPr fontId="1" type="noConversion"/>
  </si>
  <si>
    <t>rb1805</t>
    <phoneticPr fontId="1" type="noConversion"/>
  </si>
  <si>
    <t>rb1805</t>
    <phoneticPr fontId="1" type="noConversion"/>
  </si>
  <si>
    <t>p</t>
    <phoneticPr fontId="1" type="noConversion"/>
  </si>
  <si>
    <t>j1805</t>
  </si>
  <si>
    <t>j1805</t>
    <phoneticPr fontId="1" type="noConversion"/>
  </si>
  <si>
    <t>Temp1</t>
    <phoneticPr fontId="1" type="noConversion"/>
  </si>
  <si>
    <t>hc1810</t>
  </si>
  <si>
    <t>hc1810</t>
    <phoneticPr fontId="1" type="noConversion"/>
  </si>
  <si>
    <t>i1809</t>
  </si>
  <si>
    <t>i1809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</si>
</sst>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_ * #,##0_ ;_ * \-#,##0_ ;_ * &quot;-&quot;??_ ;_ @_ "/>
  </numFmts>
  <fonts count="3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0"/>
      <color theme="4" tint="-0.249977111117893"/>
      <name val="宋体"/>
      <family val="3"/>
      <charset val="134"/>
      <scheme val="minor"/>
    </font>
    <font>
      <b/>
      <sz val="10"/>
      <color theme="5" tint="-0.249977111117893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206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12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13" fillId="6" borderId="0" xfId="0" applyFont="1" applyFill="1"/>
    <xf numFmtId="0" fontId="5" fillId="6" borderId="2" xfId="0" applyFont="1" applyFill="1" applyBorder="1"/>
    <xf numFmtId="0" fontId="8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14" fillId="10" borderId="0" xfId="0" applyFont="1" applyFill="1" applyBorder="1" applyAlignment="1">
      <alignment horizontal="left"/>
    </xf>
    <xf numFmtId="0" fontId="9" fillId="10" borderId="0" xfId="0" applyFont="1" applyFill="1" applyBorder="1" applyAlignment="1">
      <alignment horizontal="center"/>
    </xf>
    <xf numFmtId="0" fontId="9" fillId="10" borderId="8" xfId="0" applyFont="1" applyFill="1" applyBorder="1" applyAlignment="1">
      <alignment horizontal="center"/>
    </xf>
    <xf numFmtId="0" fontId="9" fillId="10" borderId="9" xfId="0" applyFont="1" applyFill="1" applyBorder="1" applyAlignment="1">
      <alignment horizontal="center"/>
    </xf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176" fontId="5" fillId="9" borderId="7" xfId="0" applyNumberFormat="1" applyFont="1" applyFill="1" applyBorder="1" applyAlignment="1">
      <alignment horizontal="center"/>
    </xf>
    <xf numFmtId="14" fontId="5" fillId="9" borderId="7" xfId="0" applyNumberFormat="1" applyFont="1" applyFill="1" applyBorder="1" applyAlignment="1">
      <alignment horizontal="center"/>
    </xf>
    <xf numFmtId="177" fontId="5" fillId="9" borderId="7" xfId="0" applyNumberFormat="1" applyFont="1" applyFill="1" applyBorder="1" applyAlignment="1">
      <alignment horizontal="center"/>
    </xf>
    <xf numFmtId="2" fontId="5" fillId="9" borderId="7" xfId="0" applyNumberFormat="1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178" fontId="5" fillId="9" borderId="2" xfId="0" applyNumberFormat="1" applyFont="1" applyFill="1" applyBorder="1" applyAlignment="1">
      <alignment horizontal="center"/>
    </xf>
    <xf numFmtId="14" fontId="5" fillId="9" borderId="2" xfId="0" applyNumberFormat="1" applyFont="1" applyFill="1" applyBorder="1" applyAlignment="1">
      <alignment horizontal="center"/>
    </xf>
    <xf numFmtId="177" fontId="5" fillId="9" borderId="2" xfId="0" applyNumberFormat="1" applyFont="1" applyFill="1" applyBorder="1" applyAlignment="1">
      <alignment horizontal="center"/>
    </xf>
    <xf numFmtId="2" fontId="5" fillId="9" borderId="2" xfId="0" applyNumberFormat="1" applyFont="1" applyFill="1" applyBorder="1" applyAlignment="1">
      <alignment horizont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8" fillId="10" borderId="0" xfId="0" applyFont="1" applyFill="1" applyBorder="1" applyAlignment="1">
      <alignment horizontal="left" vertical="center"/>
    </xf>
    <xf numFmtId="0" fontId="18" fillId="6" borderId="0" xfId="0" applyFont="1" applyFill="1"/>
    <xf numFmtId="0" fontId="19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21" fillId="7" borderId="1" xfId="0" applyFont="1" applyFill="1" applyBorder="1"/>
    <xf numFmtId="0" fontId="22" fillId="6" borderId="0" xfId="0" applyFont="1" applyFill="1"/>
    <xf numFmtId="2" fontId="21" fillId="9" borderId="6" xfId="0" applyNumberFormat="1" applyFont="1" applyFill="1" applyBorder="1"/>
    <xf numFmtId="0" fontId="21" fillId="9" borderId="6" xfId="0" applyFont="1" applyFill="1" applyBorder="1"/>
    <xf numFmtId="176" fontId="21" fillId="9" borderId="6" xfId="0" applyNumberFormat="1" applyFont="1" applyFill="1" applyBorder="1"/>
    <xf numFmtId="14" fontId="21" fillId="5" borderId="6" xfId="0" applyNumberFormat="1" applyFont="1" applyFill="1" applyBorder="1"/>
    <xf numFmtId="177" fontId="21" fillId="9" borderId="6" xfId="0" applyNumberFormat="1" applyFont="1" applyFill="1" applyBorder="1"/>
    <xf numFmtId="0" fontId="21" fillId="4" borderId="6" xfId="0" applyFont="1" applyFill="1" applyBorder="1"/>
    <xf numFmtId="0" fontId="21" fillId="8" borderId="6" xfId="0" applyFont="1" applyFill="1" applyBorder="1"/>
    <xf numFmtId="10" fontId="21" fillId="9" borderId="6" xfId="1" applyNumberFormat="1" applyFont="1" applyFill="1" applyBorder="1" applyAlignment="1"/>
    <xf numFmtId="2" fontId="21" fillId="9" borderId="2" xfId="0" applyNumberFormat="1" applyFont="1" applyFill="1" applyBorder="1"/>
    <xf numFmtId="0" fontId="21" fillId="9" borderId="2" xfId="0" applyFont="1" applyFill="1" applyBorder="1"/>
    <xf numFmtId="178" fontId="21" fillId="9" borderId="2" xfId="0" applyNumberFormat="1" applyFont="1" applyFill="1" applyBorder="1"/>
    <xf numFmtId="14" fontId="21" fillId="5" borderId="2" xfId="0" applyNumberFormat="1" applyFont="1" applyFill="1" applyBorder="1"/>
    <xf numFmtId="177" fontId="21" fillId="9" borderId="2" xfId="0" applyNumberFormat="1" applyFont="1" applyFill="1" applyBorder="1"/>
    <xf numFmtId="0" fontId="21" fillId="4" borderId="2" xfId="0" applyFont="1" applyFill="1" applyBorder="1"/>
    <xf numFmtId="0" fontId="21" fillId="8" borderId="2" xfId="0" applyFont="1" applyFill="1" applyBorder="1"/>
    <xf numFmtId="10" fontId="21" fillId="9" borderId="2" xfId="1" applyNumberFormat="1" applyFont="1" applyFill="1" applyBorder="1" applyAlignment="1"/>
    <xf numFmtId="2" fontId="21" fillId="12" borderId="2" xfId="0" applyNumberFormat="1" applyFont="1" applyFill="1" applyBorder="1"/>
    <xf numFmtId="0" fontId="21" fillId="12" borderId="2" xfId="0" applyFont="1" applyFill="1" applyBorder="1"/>
    <xf numFmtId="178" fontId="21" fillId="12" borderId="2" xfId="0" applyNumberFormat="1" applyFont="1" applyFill="1" applyBorder="1"/>
    <xf numFmtId="14" fontId="21" fillId="12" borderId="2" xfId="0" applyNumberFormat="1" applyFont="1" applyFill="1" applyBorder="1"/>
    <xf numFmtId="177" fontId="21" fillId="12" borderId="2" xfId="0" applyNumberFormat="1" applyFont="1" applyFill="1" applyBorder="1"/>
    <xf numFmtId="10" fontId="21" fillId="12" borderId="2" xfId="1" applyNumberFormat="1" applyFont="1" applyFill="1" applyBorder="1" applyAlignment="1"/>
    <xf numFmtId="0" fontId="23" fillId="6" borderId="0" xfId="0" applyFont="1" applyFill="1"/>
    <xf numFmtId="14" fontId="24" fillId="13" borderId="10" xfId="0" applyNumberFormat="1" applyFont="1" applyFill="1" applyBorder="1" applyAlignment="1">
      <alignment horizontal="right" vertical="center" wrapText="1"/>
    </xf>
    <xf numFmtId="0" fontId="25" fillId="13" borderId="10" xfId="0" applyFont="1" applyFill="1" applyBorder="1" applyAlignment="1">
      <alignment vertical="center" wrapText="1"/>
    </xf>
    <xf numFmtId="0" fontId="24" fillId="13" borderId="10" xfId="0" applyFont="1" applyFill="1" applyBorder="1" applyAlignment="1">
      <alignment vertical="center" wrapText="1"/>
    </xf>
    <xf numFmtId="0" fontId="25" fillId="13" borderId="11" xfId="0" applyFont="1" applyFill="1" applyBorder="1" applyAlignment="1">
      <alignment vertical="center" wrapText="1"/>
    </xf>
    <xf numFmtId="0" fontId="26" fillId="14" borderId="12" xfId="0" applyFont="1" applyFill="1" applyBorder="1" applyAlignment="1">
      <alignment vertical="center" wrapText="1"/>
    </xf>
    <xf numFmtId="0" fontId="27" fillId="14" borderId="12" xfId="0" applyFont="1" applyFill="1" applyBorder="1" applyAlignment="1">
      <alignment vertical="center" wrapText="1"/>
    </xf>
    <xf numFmtId="0" fontId="26" fillId="14" borderId="12" xfId="0" applyFont="1" applyFill="1" applyBorder="1" applyAlignment="1">
      <alignment horizontal="right" vertical="center" wrapText="1"/>
    </xf>
    <xf numFmtId="0" fontId="26" fillId="14" borderId="13" xfId="0" applyFont="1" applyFill="1" applyBorder="1" applyAlignment="1">
      <alignment horizontal="right" vertical="center" wrapText="1"/>
    </xf>
    <xf numFmtId="0" fontId="26" fillId="0" borderId="12" xfId="0" applyFont="1" applyBorder="1" applyAlignment="1">
      <alignment vertical="center" wrapText="1"/>
    </xf>
    <xf numFmtId="0" fontId="27" fillId="0" borderId="12" xfId="0" applyFont="1" applyBorder="1" applyAlignment="1">
      <alignment vertical="center" wrapText="1"/>
    </xf>
    <xf numFmtId="10" fontId="26" fillId="0" borderId="12" xfId="0" applyNumberFormat="1" applyFont="1" applyBorder="1" applyAlignment="1">
      <alignment horizontal="right" vertical="center" wrapText="1"/>
    </xf>
    <xf numFmtId="0" fontId="27" fillId="0" borderId="12" xfId="0" applyFont="1" applyBorder="1" applyAlignment="1">
      <alignment horizontal="right" vertical="center" wrapText="1"/>
    </xf>
    <xf numFmtId="10" fontId="26" fillId="0" borderId="13" xfId="0" applyNumberFormat="1" applyFont="1" applyBorder="1" applyAlignment="1">
      <alignment horizontal="right" vertical="center" wrapText="1"/>
    </xf>
    <xf numFmtId="0" fontId="28" fillId="14" borderId="12" xfId="0" applyFont="1" applyFill="1" applyBorder="1" applyAlignment="1">
      <alignment horizontal="right" vertical="center" wrapText="1"/>
    </xf>
    <xf numFmtId="0" fontId="28" fillId="14" borderId="13" xfId="0" applyFont="1" applyFill="1" applyBorder="1" applyAlignment="1">
      <alignment horizontal="right" vertical="center" wrapText="1"/>
    </xf>
    <xf numFmtId="0" fontId="27" fillId="0" borderId="13" xfId="0" applyFont="1" applyBorder="1" applyAlignment="1">
      <alignment horizontal="right" vertical="center" wrapText="1"/>
    </xf>
    <xf numFmtId="10" fontId="26" fillId="14" borderId="12" xfId="0" applyNumberFormat="1" applyFont="1" applyFill="1" applyBorder="1" applyAlignment="1">
      <alignment horizontal="right" vertical="center" wrapText="1"/>
    </xf>
    <xf numFmtId="10" fontId="26" fillId="14" borderId="13" xfId="0" applyNumberFormat="1" applyFont="1" applyFill="1" applyBorder="1" applyAlignment="1">
      <alignment horizontal="right" vertical="center" wrapText="1"/>
    </xf>
    <xf numFmtId="0" fontId="28" fillId="0" borderId="12" xfId="0" applyFont="1" applyBorder="1" applyAlignment="1">
      <alignment horizontal="right" vertical="center" wrapText="1"/>
    </xf>
    <xf numFmtId="0" fontId="28" fillId="0" borderId="13" xfId="0" applyFont="1" applyBorder="1" applyAlignment="1">
      <alignment horizontal="right" vertical="center" wrapText="1"/>
    </xf>
    <xf numFmtId="0" fontId="29" fillId="14" borderId="12" xfId="0" applyFont="1" applyFill="1" applyBorder="1" applyAlignment="1">
      <alignment vertical="center" wrapText="1"/>
    </xf>
    <xf numFmtId="0" fontId="29" fillId="14" borderId="13" xfId="0" applyFont="1" applyFill="1" applyBorder="1" applyAlignment="1">
      <alignment vertical="center" wrapText="1"/>
    </xf>
    <xf numFmtId="0" fontId="29" fillId="0" borderId="12" xfId="0" applyFont="1" applyBorder="1" applyAlignment="1">
      <alignment vertical="center" wrapText="1"/>
    </xf>
    <xf numFmtId="0" fontId="29" fillId="0" borderId="13" xfId="0" applyFont="1" applyBorder="1" applyAlignment="1">
      <alignment vertical="center" wrapText="1"/>
    </xf>
    <xf numFmtId="0" fontId="27" fillId="14" borderId="12" xfId="0" applyFont="1" applyFill="1" applyBorder="1" applyAlignment="1">
      <alignment horizontal="right" vertical="center" wrapText="1"/>
    </xf>
    <xf numFmtId="0" fontId="27" fillId="14" borderId="13" xfId="0" applyFont="1" applyFill="1" applyBorder="1" applyAlignment="1">
      <alignment horizontal="right" vertical="center" wrapText="1"/>
    </xf>
    <xf numFmtId="0" fontId="15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2" fontId="5" fillId="9" borderId="0" xfId="0" applyNumberFormat="1" applyFont="1" applyFill="1" applyBorder="1"/>
    <xf numFmtId="0" fontId="5" fillId="9" borderId="0" xfId="0" applyFont="1" applyFill="1" applyBorder="1"/>
    <xf numFmtId="178" fontId="5" fillId="9" borderId="0" xfId="0" applyNumberFormat="1" applyFont="1" applyFill="1" applyBorder="1"/>
    <xf numFmtId="14" fontId="5" fillId="5" borderId="0" xfId="0" applyNumberFormat="1" applyFont="1" applyFill="1" applyBorder="1"/>
    <xf numFmtId="177" fontId="5" fillId="9" borderId="0" xfId="0" applyNumberFormat="1" applyFont="1" applyFill="1" applyBorder="1"/>
    <xf numFmtId="0" fontId="5" fillId="4" borderId="0" xfId="0" applyFont="1" applyFill="1" applyBorder="1"/>
    <xf numFmtId="0" fontId="5" fillId="8" borderId="0" xfId="0" applyFont="1" applyFill="1" applyBorder="1"/>
    <xf numFmtId="10" fontId="5" fillId="9" borderId="0" xfId="1" applyNumberFormat="1" applyFont="1" applyFill="1" applyBorder="1" applyAlignment="1"/>
    <xf numFmtId="2" fontId="5" fillId="9" borderId="14" xfId="0" applyNumberFormat="1" applyFont="1" applyFill="1" applyBorder="1"/>
    <xf numFmtId="0" fontId="5" fillId="9" borderId="15" xfId="0" applyFont="1" applyFill="1" applyBorder="1"/>
    <xf numFmtId="178" fontId="5" fillId="9" borderId="15" xfId="0" applyNumberFormat="1" applyFont="1" applyFill="1" applyBorder="1"/>
    <xf numFmtId="14" fontId="5" fillId="5" borderId="15" xfId="0" applyNumberFormat="1" applyFont="1" applyFill="1" applyBorder="1"/>
    <xf numFmtId="177" fontId="5" fillId="9" borderId="15" xfId="0" applyNumberFormat="1" applyFont="1" applyFill="1" applyBorder="1"/>
    <xf numFmtId="0" fontId="5" fillId="4" borderId="15" xfId="0" applyFont="1" applyFill="1" applyBorder="1"/>
    <xf numFmtId="2" fontId="5" fillId="9" borderId="15" xfId="0" applyNumberFormat="1" applyFont="1" applyFill="1" applyBorder="1"/>
    <xf numFmtId="0" fontId="5" fillId="8" borderId="15" xfId="0" applyFont="1" applyFill="1" applyBorder="1"/>
    <xf numFmtId="10" fontId="5" fillId="9" borderId="15" xfId="1" applyNumberFormat="1" applyFont="1" applyFill="1" applyBorder="1" applyAlignment="1"/>
    <xf numFmtId="2" fontId="5" fillId="9" borderId="16" xfId="0" applyNumberFormat="1" applyFont="1" applyFill="1" applyBorder="1"/>
    <xf numFmtId="2" fontId="5" fillId="9" borderId="17" xfId="0" applyNumberFormat="1" applyFont="1" applyFill="1" applyBorder="1"/>
    <xf numFmtId="2" fontId="5" fillId="9" borderId="18" xfId="0" applyNumberFormat="1" applyFont="1" applyFill="1" applyBorder="1"/>
    <xf numFmtId="2" fontId="5" fillId="9" borderId="19" xfId="0" applyNumberFormat="1" applyFont="1" applyFill="1" applyBorder="1"/>
    <xf numFmtId="0" fontId="5" fillId="9" borderId="20" xfId="0" applyFont="1" applyFill="1" applyBorder="1"/>
    <xf numFmtId="178" fontId="5" fillId="9" borderId="20" xfId="0" applyNumberFormat="1" applyFont="1" applyFill="1" applyBorder="1"/>
    <xf numFmtId="14" fontId="5" fillId="5" borderId="20" xfId="0" applyNumberFormat="1" applyFont="1" applyFill="1" applyBorder="1"/>
    <xf numFmtId="177" fontId="5" fillId="9" borderId="20" xfId="0" applyNumberFormat="1" applyFont="1" applyFill="1" applyBorder="1"/>
    <xf numFmtId="0" fontId="5" fillId="4" borderId="20" xfId="0" applyFont="1" applyFill="1" applyBorder="1"/>
    <xf numFmtId="2" fontId="5" fillId="9" borderId="20" xfId="0" applyNumberFormat="1" applyFont="1" applyFill="1" applyBorder="1"/>
    <xf numFmtId="0" fontId="5" fillId="8" borderId="20" xfId="0" applyFont="1" applyFill="1" applyBorder="1"/>
    <xf numFmtId="10" fontId="5" fillId="9" borderId="20" xfId="1" applyNumberFormat="1" applyFont="1" applyFill="1" applyBorder="1" applyAlignment="1"/>
    <xf numFmtId="2" fontId="5" fillId="9" borderId="21" xfId="0" applyNumberFormat="1" applyFont="1" applyFill="1" applyBorder="1"/>
    <xf numFmtId="1" fontId="5" fillId="9" borderId="2" xfId="0" applyNumberFormat="1" applyFont="1" applyFill="1" applyBorder="1" applyAlignment="1">
      <alignment horizontal="center"/>
    </xf>
    <xf numFmtId="2" fontId="5" fillId="9" borderId="22" xfId="0" applyNumberFormat="1" applyFont="1" applyFill="1" applyBorder="1"/>
    <xf numFmtId="0" fontId="5" fillId="9" borderId="23" xfId="0" applyFont="1" applyFill="1" applyBorder="1"/>
    <xf numFmtId="178" fontId="5" fillId="9" borderId="23" xfId="0" applyNumberFormat="1" applyFont="1" applyFill="1" applyBorder="1"/>
    <xf numFmtId="14" fontId="5" fillId="5" borderId="23" xfId="0" applyNumberFormat="1" applyFont="1" applyFill="1" applyBorder="1"/>
    <xf numFmtId="177" fontId="5" fillId="9" borderId="23" xfId="0" applyNumberFormat="1" applyFont="1" applyFill="1" applyBorder="1"/>
    <xf numFmtId="0" fontId="5" fillId="4" borderId="23" xfId="0" applyFont="1" applyFill="1" applyBorder="1"/>
    <xf numFmtId="2" fontId="5" fillId="9" borderId="23" xfId="0" applyNumberFormat="1" applyFont="1" applyFill="1" applyBorder="1"/>
    <xf numFmtId="0" fontId="5" fillId="8" borderId="23" xfId="0" applyFont="1" applyFill="1" applyBorder="1"/>
    <xf numFmtId="10" fontId="5" fillId="9" borderId="23" xfId="1" applyNumberFormat="1" applyFont="1" applyFill="1" applyBorder="1" applyAlignment="1"/>
    <xf numFmtId="2" fontId="5" fillId="9" borderId="24" xfId="0" applyNumberFormat="1" applyFont="1" applyFill="1" applyBorder="1"/>
    <xf numFmtId="2" fontId="5" fillId="9" borderId="25" xfId="0" applyNumberFormat="1" applyFont="1" applyFill="1" applyBorder="1"/>
    <xf numFmtId="2" fontId="5" fillId="9" borderId="26" xfId="0" applyNumberFormat="1" applyFont="1" applyFill="1" applyBorder="1"/>
    <xf numFmtId="0" fontId="5" fillId="9" borderId="0" xfId="0" applyFont="1" applyFill="1" applyBorder="1" applyAlignment="1">
      <alignment horizontal="center"/>
    </xf>
    <xf numFmtId="178" fontId="5" fillId="9" borderId="0" xfId="0" applyNumberFormat="1" applyFont="1" applyFill="1" applyBorder="1" applyAlignment="1">
      <alignment horizontal="center"/>
    </xf>
    <xf numFmtId="14" fontId="5" fillId="9" borderId="0" xfId="0" applyNumberFormat="1" applyFont="1" applyFill="1" applyBorder="1" applyAlignment="1">
      <alignment horizontal="center"/>
    </xf>
    <xf numFmtId="177" fontId="5" fillId="9" borderId="0" xfId="0" applyNumberFormat="1" applyFont="1" applyFill="1" applyBorder="1" applyAlignment="1">
      <alignment horizontal="center"/>
    </xf>
    <xf numFmtId="2" fontId="5" fillId="9" borderId="0" xfId="0" applyNumberFormat="1" applyFont="1" applyFill="1" applyBorder="1" applyAlignment="1">
      <alignment horizontal="center"/>
    </xf>
    <xf numFmtId="1" fontId="5" fillId="9" borderId="0" xfId="0" applyNumberFormat="1" applyFont="1" applyFill="1" applyBorder="1" applyAlignment="1">
      <alignment horizontal="center"/>
    </xf>
    <xf numFmtId="176" fontId="5" fillId="9" borderId="2" xfId="0" applyNumberFormat="1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  <xf numFmtId="0" fontId="5" fillId="7" borderId="16" xfId="0" applyFont="1" applyFill="1" applyBorder="1" applyAlignment="1">
      <alignment horizontal="center"/>
    </xf>
    <xf numFmtId="0" fontId="5" fillId="9" borderId="27" xfId="0" applyFont="1" applyFill="1" applyBorder="1" applyAlignment="1">
      <alignment horizontal="center"/>
    </xf>
    <xf numFmtId="2" fontId="5" fillId="9" borderId="28" xfId="0" applyNumberFormat="1" applyFont="1" applyFill="1" applyBorder="1" applyAlignment="1">
      <alignment horizontal="center"/>
    </xf>
    <xf numFmtId="0" fontId="5" fillId="9" borderId="29" xfId="0" applyFont="1" applyFill="1" applyBorder="1" applyAlignment="1">
      <alignment horizontal="center"/>
    </xf>
    <xf numFmtId="0" fontId="5" fillId="9" borderId="30" xfId="0" applyFont="1" applyFill="1" applyBorder="1" applyAlignment="1">
      <alignment horizontal="center"/>
    </xf>
    <xf numFmtId="176" fontId="5" fillId="9" borderId="30" xfId="0" applyNumberFormat="1" applyFont="1" applyFill="1" applyBorder="1" applyAlignment="1">
      <alignment horizontal="center"/>
    </xf>
    <xf numFmtId="14" fontId="5" fillId="9" borderId="30" xfId="0" applyNumberFormat="1" applyFont="1" applyFill="1" applyBorder="1" applyAlignment="1">
      <alignment horizontal="center"/>
    </xf>
    <xf numFmtId="177" fontId="5" fillId="9" borderId="30" xfId="0" applyNumberFormat="1" applyFont="1" applyFill="1" applyBorder="1" applyAlignment="1">
      <alignment horizontal="center"/>
    </xf>
    <xf numFmtId="2" fontId="5" fillId="9" borderId="30" xfId="0" applyNumberFormat="1" applyFont="1" applyFill="1" applyBorder="1" applyAlignment="1">
      <alignment horizontal="center"/>
    </xf>
    <xf numFmtId="2" fontId="5" fillId="9" borderId="31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8" fillId="10" borderId="1" xfId="0" applyFont="1" applyFill="1" applyBorder="1" applyAlignment="1">
      <alignment horizontal="left" vertical="center"/>
    </xf>
    <xf numFmtId="0" fontId="7" fillId="10" borderId="5" xfId="0" applyFont="1" applyFill="1" applyBorder="1" applyAlignment="1">
      <alignment horizontal="right" vertical="center"/>
    </xf>
    <xf numFmtId="0" fontId="7" fillId="10" borderId="1" xfId="0" applyFont="1" applyFill="1" applyBorder="1" applyAlignment="1">
      <alignment horizontal="right" vertical="center"/>
    </xf>
    <xf numFmtId="0" fontId="15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8" fillId="10" borderId="0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15" fillId="10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179" fontId="7" fillId="10" borderId="3" xfId="2" applyNumberFormat="1" applyFont="1" applyFill="1" applyBorder="1" applyAlignment="1">
      <alignment horizontal="right" vertical="center"/>
    </xf>
    <xf numFmtId="179" fontId="7" fillId="10" borderId="0" xfId="2" applyNumberFormat="1" applyFont="1" applyFill="1" applyBorder="1" applyAlignment="1">
      <alignment horizontal="right" vertical="center"/>
    </xf>
    <xf numFmtId="14" fontId="7" fillId="10" borderId="3" xfId="0" applyNumberFormat="1" applyFont="1" applyFill="1" applyBorder="1" applyAlignment="1">
      <alignment horizontal="right" vertical="center"/>
    </xf>
    <xf numFmtId="14" fontId="20" fillId="10" borderId="8" xfId="0" applyNumberFormat="1" applyFont="1" applyFill="1" applyBorder="1" applyAlignment="1">
      <alignment horizontal="right"/>
    </xf>
    <xf numFmtId="0" fontId="20" fillId="10" borderId="9" xfId="0" applyFont="1" applyFill="1" applyBorder="1" applyAlignment="1">
      <alignment horizontal="right"/>
    </xf>
    <xf numFmtId="0" fontId="1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14025</v>
        <stp/>
        <stp>ru1805</stp>
        <stp>LastPrice</stp>
        <tr r="H19" s="1"/>
      </tp>
      <tp>
        <v>1332.5</v>
        <stp/>
        <stp>jm1805</stp>
        <stp>LastPrice</stp>
        <tr r="H20" s="1"/>
      </tp>
      <tp>
        <v>2043</v>
        <stp/>
        <stp>j1805</stp>
        <stp>LastPrice</stp>
        <tr r="H27" s="1"/>
        <tr r="H28" s="1"/>
      </tp>
      <tp>
        <v>530</v>
        <stp/>
        <stp>i1805</stp>
        <stp>LastPrice</stp>
        <tr r="H21" s="1"/>
      </tp>
      <tp>
        <v>3762</v>
        <stp/>
        <stp>rb1805</stp>
        <stp>LastPrice</stp>
        <tr r="H22" s="1"/>
      </tp>
      <tp>
        <v>3796</v>
        <stp/>
        <stp>hc1805</stp>
        <stp>LastPrice</stp>
        <tr r="H14" s="1"/>
      </tp>
      <tp>
        <v>15045</v>
        <stp/>
        <stp>cf805</stp>
        <stp>LastPrice</stp>
        <tr r="H15" s="1"/>
        <tr r="H16" s="1"/>
        <tr r="H17" s="1"/>
      </tp>
      <tp>
        <v>3664</v>
        <stp/>
        <stp>hc1810</stp>
        <stp>LastPrice</stp>
        <tr r="H31" s="1"/>
        <tr r="H30" s="1"/>
        <tr r="H32" s="1"/>
      </tp>
      <tp>
        <v>3601</v>
        <stp/>
        <stp>rb1810</stp>
        <stp>LastPrice</stp>
        <tr r="H29" s="1"/>
      </tp>
      <tp t="e">
        <v>#N/A</v>
        <stp/>
        <stp>RB1805</stp>
        <stp>LastPrice</stp>
        <tr r="H8" s="1"/>
        <tr r="H8" s="7"/>
        <tr r="H8" s="8"/>
      </tp>
      <tp>
        <v>3601</v>
        <stp/>
        <stp>RB1810</stp>
        <stp>LastPrice</stp>
        <tr r="H10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8"/>
  <sheetViews>
    <sheetView topLeftCell="A4" zoomScaleNormal="100" workbookViewId="0">
      <selection activeCell="G40" sqref="G40"/>
    </sheetView>
  </sheetViews>
  <sheetFormatPr defaultRowHeight="11.25"/>
  <cols>
    <col min="1" max="1" width="9" style="6"/>
    <col min="2" max="2" width="10.5" style="6" customWidth="1"/>
    <col min="3" max="3" width="8.75" style="6" hidden="1" customWidth="1"/>
    <col min="4" max="6" width="9" style="6"/>
    <col min="7" max="7" width="13.5" style="6" customWidth="1"/>
    <col min="8" max="8" width="11.25" style="6" customWidth="1"/>
    <col min="9" max="9" width="11.125" style="6" customWidth="1"/>
    <col min="10" max="10" width="9" style="6"/>
    <col min="11" max="15" width="9" style="6" hidden="1" customWidth="1"/>
    <col min="16" max="16" width="10.75" style="6" hidden="1" customWidth="1"/>
    <col min="17" max="16384" width="9" style="6"/>
  </cols>
  <sheetData>
    <row r="1" spans="1:17" ht="14.25" customHeight="1" thickBot="1">
      <c r="B1" s="186" t="s">
        <v>158</v>
      </c>
      <c r="C1" s="186"/>
      <c r="D1" s="186"/>
    </row>
    <row r="2" spans="1:17" ht="12" thickTop="1"/>
    <row r="3" spans="1:17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4" spans="1:17">
      <c r="A4" s="64"/>
      <c r="B4" s="49" t="s">
        <v>159</v>
      </c>
      <c r="C4" s="49"/>
      <c r="D4" s="49" t="s">
        <v>160</v>
      </c>
      <c r="E4" s="49" t="s">
        <v>161</v>
      </c>
      <c r="F4" s="49" t="s">
        <v>162</v>
      </c>
      <c r="G4" s="49" t="s">
        <v>7</v>
      </c>
      <c r="H4" s="49" t="s">
        <v>163</v>
      </c>
      <c r="I4" s="49" t="s">
        <v>10</v>
      </c>
      <c r="J4" s="49" t="s">
        <v>164</v>
      </c>
      <c r="K4" s="49" t="s">
        <v>165</v>
      </c>
      <c r="L4" s="49" t="s">
        <v>166</v>
      </c>
      <c r="M4" s="49" t="s">
        <v>167</v>
      </c>
      <c r="N4" s="49" t="s">
        <v>168</v>
      </c>
      <c r="O4" s="49" t="s">
        <v>26</v>
      </c>
      <c r="P4" s="49" t="s">
        <v>169</v>
      </c>
      <c r="Q4" s="49" t="s">
        <v>170</v>
      </c>
    </row>
    <row r="5" spans="1:17">
      <c r="B5" s="50"/>
      <c r="C5" s="50"/>
      <c r="D5" s="50"/>
      <c r="E5" s="50"/>
      <c r="F5" s="51"/>
      <c r="G5" s="50"/>
      <c r="H5" s="52"/>
      <c r="I5" s="52"/>
      <c r="J5" s="50"/>
      <c r="K5" s="53"/>
      <c r="L5" s="53"/>
      <c r="M5" s="50"/>
      <c r="N5" s="54"/>
      <c r="O5" s="50"/>
      <c r="P5" s="54"/>
      <c r="Q5" s="54"/>
    </row>
    <row r="6" spans="1:17">
      <c r="A6" s="64"/>
      <c r="B6" s="49" t="s">
        <v>171</v>
      </c>
      <c r="C6" s="49"/>
      <c r="D6" s="49" t="s">
        <v>172</v>
      </c>
      <c r="E6" s="49" t="s">
        <v>173</v>
      </c>
      <c r="F6" s="49" t="s">
        <v>174</v>
      </c>
      <c r="G6" s="49" t="s">
        <v>175</v>
      </c>
      <c r="H6" s="49" t="s">
        <v>176</v>
      </c>
      <c r="I6" s="49" t="s">
        <v>177</v>
      </c>
      <c r="J6" s="49" t="s">
        <v>178</v>
      </c>
      <c r="K6" s="49" t="s">
        <v>179</v>
      </c>
      <c r="L6" s="49" t="s">
        <v>180</v>
      </c>
      <c r="M6" s="49" t="s">
        <v>181</v>
      </c>
      <c r="N6" s="49" t="s">
        <v>182</v>
      </c>
      <c r="O6" s="49" t="s">
        <v>183</v>
      </c>
      <c r="P6" s="49" t="s">
        <v>184</v>
      </c>
      <c r="Q6" s="49" t="s">
        <v>185</v>
      </c>
    </row>
    <row r="7" spans="1:17">
      <c r="B7" s="55"/>
      <c r="C7" s="55"/>
      <c r="D7" s="55"/>
      <c r="E7" s="55"/>
      <c r="F7" s="56"/>
      <c r="G7" s="55"/>
      <c r="H7" s="57"/>
      <c r="I7" s="57"/>
      <c r="J7" s="55"/>
      <c r="K7" s="58"/>
      <c r="L7" s="58"/>
      <c r="M7" s="55"/>
      <c r="N7" s="59"/>
      <c r="O7" s="55"/>
      <c r="P7" s="59"/>
      <c r="Q7" s="59"/>
    </row>
    <row r="11" spans="1:17">
      <c r="B11" s="49" t="s">
        <v>171</v>
      </c>
      <c r="C11" s="49"/>
      <c r="D11" s="49" t="s">
        <v>172</v>
      </c>
      <c r="E11" s="49" t="s">
        <v>173</v>
      </c>
      <c r="F11" s="49" t="s">
        <v>174</v>
      </c>
      <c r="G11" s="49" t="s">
        <v>175</v>
      </c>
      <c r="H11" s="49" t="s">
        <v>176</v>
      </c>
      <c r="I11" s="49" t="s">
        <v>177</v>
      </c>
      <c r="J11" s="49" t="s">
        <v>178</v>
      </c>
      <c r="K11" s="49" t="s">
        <v>179</v>
      </c>
      <c r="L11" s="49" t="s">
        <v>180</v>
      </c>
      <c r="M11" s="49" t="s">
        <v>181</v>
      </c>
      <c r="N11" s="49" t="s">
        <v>182</v>
      </c>
      <c r="O11" s="49" t="s">
        <v>183</v>
      </c>
      <c r="P11" s="49" t="s">
        <v>184</v>
      </c>
      <c r="Q11" s="49" t="s">
        <v>185</v>
      </c>
    </row>
    <row r="12" spans="1:17">
      <c r="B12" s="55" t="s">
        <v>151</v>
      </c>
      <c r="C12" s="55">
        <v>1</v>
      </c>
      <c r="D12" s="55" t="s">
        <v>206</v>
      </c>
      <c r="E12" s="55" t="s">
        <v>85</v>
      </c>
      <c r="F12" s="56">
        <v>3580</v>
      </c>
      <c r="G12" s="55">
        <v>3600</v>
      </c>
      <c r="H12" s="57">
        <v>43082</v>
      </c>
      <c r="I12" s="57">
        <v>43140</v>
      </c>
      <c r="J12" s="55">
        <v>58</v>
      </c>
      <c r="K12" s="58">
        <v>0.15890410958904111</v>
      </c>
      <c r="L12" s="58">
        <v>0</v>
      </c>
      <c r="M12" s="55">
        <v>0.24</v>
      </c>
      <c r="N12" s="59">
        <v>146.73246902767232</v>
      </c>
      <c r="O12" s="55">
        <v>0</v>
      </c>
      <c r="P12" s="59">
        <v>0</v>
      </c>
      <c r="Q12" s="59">
        <v>146</v>
      </c>
    </row>
    <row r="13" spans="1:17">
      <c r="B13" s="49" t="s">
        <v>30</v>
      </c>
      <c r="C13" s="49"/>
      <c r="D13" s="49" t="s">
        <v>32</v>
      </c>
      <c r="E13" s="49" t="s">
        <v>161</v>
      </c>
      <c r="F13" s="49" t="s">
        <v>8</v>
      </c>
      <c r="G13" s="49" t="s">
        <v>7</v>
      </c>
      <c r="H13" s="49" t="s">
        <v>163</v>
      </c>
      <c r="I13" s="49" t="s">
        <v>10</v>
      </c>
      <c r="J13" s="49" t="s">
        <v>11</v>
      </c>
      <c r="K13" s="49" t="s">
        <v>12</v>
      </c>
      <c r="L13" s="49" t="s">
        <v>166</v>
      </c>
      <c r="M13" s="49" t="s">
        <v>167</v>
      </c>
      <c r="N13" s="49" t="s">
        <v>14</v>
      </c>
      <c r="O13" s="49" t="s">
        <v>26</v>
      </c>
      <c r="P13" s="49" t="s">
        <v>28</v>
      </c>
      <c r="Q13" s="49" t="s">
        <v>15</v>
      </c>
    </row>
    <row r="14" spans="1:17">
      <c r="B14" s="55" t="s">
        <v>151</v>
      </c>
      <c r="C14" s="55">
        <v>1</v>
      </c>
      <c r="D14" s="55" t="s">
        <v>212</v>
      </c>
      <c r="E14" s="55" t="s">
        <v>85</v>
      </c>
      <c r="F14" s="56">
        <v>3625</v>
      </c>
      <c r="G14" s="55">
        <v>3450</v>
      </c>
      <c r="H14" s="57">
        <v>43104</v>
      </c>
      <c r="I14" s="57">
        <v>43167</v>
      </c>
      <c r="J14" s="55">
        <v>63</v>
      </c>
      <c r="K14" s="58">
        <v>0.15890410958904111</v>
      </c>
      <c r="L14" s="58">
        <v>0</v>
      </c>
      <c r="M14" s="55">
        <v>0.18</v>
      </c>
      <c r="N14" s="59">
        <v>36.768584211504503</v>
      </c>
      <c r="O14" s="55">
        <v>0</v>
      </c>
      <c r="P14" s="59">
        <v>0</v>
      </c>
      <c r="Q14" s="59">
        <v>34.5</v>
      </c>
    </row>
    <row r="15" spans="1:17">
      <c r="B15" s="55" t="s">
        <v>151</v>
      </c>
      <c r="C15" s="55">
        <v>1</v>
      </c>
      <c r="D15" s="55" t="s">
        <v>212</v>
      </c>
      <c r="E15" s="55" t="s">
        <v>85</v>
      </c>
      <c r="F15" s="56">
        <v>3625</v>
      </c>
      <c r="G15" s="55">
        <v>3500</v>
      </c>
      <c r="H15" s="57">
        <v>43104</v>
      </c>
      <c r="I15" s="57">
        <v>43167</v>
      </c>
      <c r="J15" s="55">
        <v>63</v>
      </c>
      <c r="K15" s="58">
        <v>0.15890410958904111</v>
      </c>
      <c r="L15" s="58">
        <v>0</v>
      </c>
      <c r="M15" s="55">
        <v>0.18</v>
      </c>
      <c r="N15" s="59">
        <v>51.241420768475791</v>
      </c>
      <c r="O15" s="55">
        <v>0</v>
      </c>
      <c r="P15" s="59">
        <v>0</v>
      </c>
      <c r="Q15" s="59">
        <v>50</v>
      </c>
    </row>
    <row r="16" spans="1:17">
      <c r="B16" s="55" t="s">
        <v>151</v>
      </c>
      <c r="C16" s="55">
        <v>1</v>
      </c>
      <c r="D16" s="55" t="s">
        <v>212</v>
      </c>
      <c r="E16" s="55" t="s">
        <v>85</v>
      </c>
      <c r="F16" s="56">
        <v>3625</v>
      </c>
      <c r="G16" s="55">
        <v>3550</v>
      </c>
      <c r="H16" s="57">
        <v>43104</v>
      </c>
      <c r="I16" s="57">
        <v>43167</v>
      </c>
      <c r="J16" s="55">
        <v>63</v>
      </c>
      <c r="K16" s="58">
        <v>0.15890410958904111</v>
      </c>
      <c r="L16" s="58">
        <v>0</v>
      </c>
      <c r="M16" s="55">
        <v>0.18</v>
      </c>
      <c r="N16" s="59">
        <v>69.276335928502931</v>
      </c>
      <c r="O16" s="55">
        <v>0</v>
      </c>
      <c r="P16" s="59">
        <v>0</v>
      </c>
      <c r="Q16" s="59">
        <v>68</v>
      </c>
    </row>
    <row r="17" spans="2:17">
      <c r="B17" s="49" t="s">
        <v>30</v>
      </c>
      <c r="C17" s="49"/>
      <c r="D17" s="49" t="s">
        <v>32</v>
      </c>
      <c r="E17" s="49" t="s">
        <v>161</v>
      </c>
      <c r="F17" s="49" t="s">
        <v>8</v>
      </c>
      <c r="G17" s="49" t="s">
        <v>7</v>
      </c>
      <c r="H17" s="49" t="s">
        <v>9</v>
      </c>
      <c r="I17" s="49" t="s">
        <v>10</v>
      </c>
      <c r="J17" s="49" t="s">
        <v>11</v>
      </c>
      <c r="K17" s="49" t="s">
        <v>12</v>
      </c>
      <c r="L17" s="49" t="s">
        <v>166</v>
      </c>
      <c r="M17" s="49" t="s">
        <v>13</v>
      </c>
      <c r="N17" s="49" t="s">
        <v>14</v>
      </c>
      <c r="O17" s="49" t="s">
        <v>26</v>
      </c>
      <c r="P17" s="49" t="s">
        <v>28</v>
      </c>
      <c r="Q17" s="49" t="s">
        <v>15</v>
      </c>
    </row>
    <row r="18" spans="2:17">
      <c r="B18" s="55" t="s">
        <v>151</v>
      </c>
      <c r="C18" s="55">
        <v>1</v>
      </c>
      <c r="D18" s="55" t="s">
        <v>239</v>
      </c>
      <c r="E18" s="55" t="s">
        <v>39</v>
      </c>
      <c r="F18" s="56">
        <v>2071.5</v>
      </c>
      <c r="G18" s="55">
        <v>2112</v>
      </c>
      <c r="H18" s="57">
        <v>43104</v>
      </c>
      <c r="I18" s="57">
        <v>43119</v>
      </c>
      <c r="J18" s="55">
        <v>15</v>
      </c>
      <c r="K18" s="58">
        <v>4.1095890410958902E-2</v>
      </c>
      <c r="L18" s="58">
        <v>0</v>
      </c>
      <c r="M18" s="55">
        <v>0.28999999999999998</v>
      </c>
      <c r="N18" s="59">
        <v>31.411673543415873</v>
      </c>
      <c r="O18" s="55">
        <v>0</v>
      </c>
      <c r="P18" s="59">
        <v>0</v>
      </c>
      <c r="Q18" s="59">
        <v>31.411673543415873</v>
      </c>
    </row>
    <row r="19" spans="2:17">
      <c r="B19" s="55" t="s">
        <v>151</v>
      </c>
      <c r="C19" s="55">
        <v>1</v>
      </c>
      <c r="D19" s="55" t="s">
        <v>239</v>
      </c>
      <c r="E19" s="55" t="s">
        <v>85</v>
      </c>
      <c r="F19" s="56">
        <v>2071.5</v>
      </c>
      <c r="G19" s="55">
        <v>2032</v>
      </c>
      <c r="H19" s="57">
        <v>43104</v>
      </c>
      <c r="I19" s="57">
        <v>43119</v>
      </c>
      <c r="J19" s="55">
        <v>15</v>
      </c>
      <c r="K19" s="58">
        <v>4.1095890410958902E-2</v>
      </c>
      <c r="L19" s="58">
        <v>0</v>
      </c>
      <c r="M19" s="55">
        <v>0.28999999999999998</v>
      </c>
      <c r="N19" s="59">
        <v>30.894677808701204</v>
      </c>
      <c r="O19" s="55">
        <v>0</v>
      </c>
      <c r="P19" s="59">
        <v>0</v>
      </c>
      <c r="Q19" s="59">
        <v>30.894677808701204</v>
      </c>
    </row>
    <row r="20" spans="2:17">
      <c r="B20" s="49" t="s">
        <v>30</v>
      </c>
      <c r="C20" s="49"/>
      <c r="D20" s="49" t="s">
        <v>32</v>
      </c>
      <c r="E20" s="49" t="s">
        <v>161</v>
      </c>
      <c r="F20" s="49" t="s">
        <v>8</v>
      </c>
      <c r="G20" s="49" t="s">
        <v>7</v>
      </c>
      <c r="H20" s="49" t="s">
        <v>9</v>
      </c>
      <c r="I20" s="49" t="s">
        <v>10</v>
      </c>
      <c r="J20" s="49" t="s">
        <v>11</v>
      </c>
      <c r="K20" s="49" t="s">
        <v>12</v>
      </c>
      <c r="L20" s="49" t="s">
        <v>166</v>
      </c>
      <c r="M20" s="49" t="s">
        <v>13</v>
      </c>
      <c r="N20" s="49" t="s">
        <v>14</v>
      </c>
      <c r="O20" s="49" t="s">
        <v>26</v>
      </c>
      <c r="P20" s="49" t="s">
        <v>28</v>
      </c>
      <c r="Q20" s="49" t="s">
        <v>15</v>
      </c>
    </row>
    <row r="21" spans="2:17">
      <c r="B21" s="55" t="s">
        <v>151</v>
      </c>
      <c r="C21" s="55">
        <v>1</v>
      </c>
      <c r="D21" s="55" t="s">
        <v>212</v>
      </c>
      <c r="E21" s="55" t="s">
        <v>85</v>
      </c>
      <c r="F21" s="56">
        <v>3635</v>
      </c>
      <c r="G21" s="55">
        <v>3550</v>
      </c>
      <c r="H21" s="57">
        <v>43104</v>
      </c>
      <c r="I21" s="57">
        <v>43167</v>
      </c>
      <c r="J21" s="55">
        <v>63</v>
      </c>
      <c r="K21" s="58">
        <v>0.15890410958904111</v>
      </c>
      <c r="L21" s="58">
        <v>0</v>
      </c>
      <c r="M21" s="55">
        <v>0.18</v>
      </c>
      <c r="N21" s="59">
        <v>65.642806988156735</v>
      </c>
      <c r="O21" s="55">
        <v>0</v>
      </c>
      <c r="P21" s="59">
        <v>0</v>
      </c>
      <c r="Q21" s="59">
        <v>59</v>
      </c>
    </row>
    <row r="22" spans="2:17">
      <c r="B22" s="49" t="s">
        <v>30</v>
      </c>
      <c r="C22" s="49"/>
      <c r="D22" s="49" t="s">
        <v>32</v>
      </c>
      <c r="E22" s="49" t="s">
        <v>161</v>
      </c>
      <c r="F22" s="49" t="s">
        <v>8</v>
      </c>
      <c r="G22" s="49" t="s">
        <v>7</v>
      </c>
      <c r="H22" s="49" t="s">
        <v>9</v>
      </c>
      <c r="I22" s="49" t="s">
        <v>10</v>
      </c>
      <c r="J22" s="49" t="s">
        <v>11</v>
      </c>
      <c r="K22" s="49" t="s">
        <v>12</v>
      </c>
      <c r="L22" s="49" t="s">
        <v>166</v>
      </c>
      <c r="M22" s="49" t="s">
        <v>13</v>
      </c>
      <c r="N22" s="49" t="s">
        <v>14</v>
      </c>
      <c r="O22" s="49" t="s">
        <v>26</v>
      </c>
      <c r="P22" s="49" t="s">
        <v>28</v>
      </c>
      <c r="Q22" s="49" t="s">
        <v>15</v>
      </c>
    </row>
    <row r="23" spans="2:17">
      <c r="B23" s="55" t="s">
        <v>151</v>
      </c>
      <c r="C23" s="55">
        <v>1</v>
      </c>
      <c r="D23" s="55" t="s">
        <v>242</v>
      </c>
      <c r="E23" s="55" t="s">
        <v>85</v>
      </c>
      <c r="F23" s="56">
        <v>3715</v>
      </c>
      <c r="G23" s="55">
        <v>3500</v>
      </c>
      <c r="H23" s="57">
        <v>43104</v>
      </c>
      <c r="I23" s="57">
        <v>43167</v>
      </c>
      <c r="J23" s="55">
        <v>63</v>
      </c>
      <c r="K23" s="58">
        <v>0.15890410958904111</v>
      </c>
      <c r="L23" s="58">
        <v>0</v>
      </c>
      <c r="M23" s="55">
        <v>0.19</v>
      </c>
      <c r="N23" s="59">
        <v>33.460894798083245</v>
      </c>
      <c r="O23" s="55">
        <v>0</v>
      </c>
      <c r="P23" s="59">
        <v>0</v>
      </c>
      <c r="Q23" s="154">
        <v>33.460894798083245</v>
      </c>
    </row>
    <row r="24" spans="2:17">
      <c r="B24" s="55" t="s">
        <v>151</v>
      </c>
      <c r="C24" s="55">
        <v>1</v>
      </c>
      <c r="D24" s="55" t="s">
        <v>242</v>
      </c>
      <c r="E24" s="55" t="s">
        <v>85</v>
      </c>
      <c r="F24" s="56">
        <v>3715</v>
      </c>
      <c r="G24" s="55">
        <v>3550</v>
      </c>
      <c r="H24" s="57">
        <v>43104</v>
      </c>
      <c r="I24" s="57">
        <v>43167</v>
      </c>
      <c r="J24" s="55">
        <v>63</v>
      </c>
      <c r="K24" s="58">
        <v>0.15890410958904111</v>
      </c>
      <c r="L24" s="58">
        <v>0</v>
      </c>
      <c r="M24" s="55">
        <v>0.19</v>
      </c>
      <c r="N24" s="59">
        <v>46.241104016573217</v>
      </c>
      <c r="O24" s="55">
        <v>0</v>
      </c>
      <c r="P24" s="59">
        <v>0</v>
      </c>
      <c r="Q24" s="154">
        <v>46.241104016573217</v>
      </c>
    </row>
    <row r="25" spans="2:17" ht="12" thickBot="1">
      <c r="B25" s="167" t="s">
        <v>151</v>
      </c>
      <c r="C25" s="167">
        <v>1</v>
      </c>
      <c r="D25" s="167" t="s">
        <v>242</v>
      </c>
      <c r="E25" s="167" t="s">
        <v>85</v>
      </c>
      <c r="F25" s="168">
        <v>3715</v>
      </c>
      <c r="G25" s="167">
        <v>3600</v>
      </c>
      <c r="H25" s="169">
        <v>43104</v>
      </c>
      <c r="I25" s="169">
        <v>43167</v>
      </c>
      <c r="J25" s="167">
        <v>63</v>
      </c>
      <c r="K25" s="170">
        <v>0.15890410958904111</v>
      </c>
      <c r="L25" s="170">
        <v>0</v>
      </c>
      <c r="M25" s="167">
        <v>0.19</v>
      </c>
      <c r="N25" s="171">
        <v>62.171558643156686</v>
      </c>
      <c r="O25" s="167">
        <v>0</v>
      </c>
      <c r="P25" s="171">
        <v>0</v>
      </c>
      <c r="Q25" s="172">
        <v>62.171558643156686</v>
      </c>
    </row>
    <row r="26" spans="2:17">
      <c r="B26" s="174" t="s">
        <v>30</v>
      </c>
      <c r="C26" s="175"/>
      <c r="D26" s="175" t="s">
        <v>32</v>
      </c>
      <c r="E26" s="175" t="s">
        <v>161</v>
      </c>
      <c r="F26" s="175" t="s">
        <v>8</v>
      </c>
      <c r="G26" s="175" t="s">
        <v>7</v>
      </c>
      <c r="H26" s="175" t="s">
        <v>9</v>
      </c>
      <c r="I26" s="175" t="s">
        <v>10</v>
      </c>
      <c r="J26" s="175" t="s">
        <v>11</v>
      </c>
      <c r="K26" s="175" t="s">
        <v>12</v>
      </c>
      <c r="L26" s="175" t="s">
        <v>166</v>
      </c>
      <c r="M26" s="175" t="s">
        <v>13</v>
      </c>
      <c r="N26" s="175" t="s">
        <v>14</v>
      </c>
      <c r="O26" s="175" t="s">
        <v>26</v>
      </c>
      <c r="P26" s="175" t="s">
        <v>28</v>
      </c>
      <c r="Q26" s="176" t="s">
        <v>15</v>
      </c>
    </row>
    <row r="27" spans="2:17">
      <c r="B27" s="177" t="s">
        <v>151</v>
      </c>
      <c r="C27" s="50">
        <v>1</v>
      </c>
      <c r="D27" s="50" t="s">
        <v>244</v>
      </c>
      <c r="E27" s="50" t="s">
        <v>85</v>
      </c>
      <c r="F27" s="51">
        <v>546</v>
      </c>
      <c r="G27" s="50">
        <v>510</v>
      </c>
      <c r="H27" s="52">
        <v>43104</v>
      </c>
      <c r="I27" s="52">
        <v>43136</v>
      </c>
      <c r="J27" s="50">
        <v>32</v>
      </c>
      <c r="K27" s="53">
        <v>8.7671232876712329E-2</v>
      </c>
      <c r="L27" s="53">
        <v>0</v>
      </c>
      <c r="M27" s="50">
        <v>0.32</v>
      </c>
      <c r="N27" s="54">
        <v>6.8898925316476607</v>
      </c>
      <c r="O27" s="50">
        <v>0</v>
      </c>
      <c r="P27" s="54">
        <v>0</v>
      </c>
      <c r="Q27" s="178">
        <v>6</v>
      </c>
    </row>
    <row r="28" spans="2:17">
      <c r="B28" s="177" t="s">
        <v>151</v>
      </c>
      <c r="C28" s="50">
        <v>1</v>
      </c>
      <c r="D28" s="50" t="s">
        <v>244</v>
      </c>
      <c r="E28" s="50" t="s">
        <v>85</v>
      </c>
      <c r="F28" s="51">
        <v>546</v>
      </c>
      <c r="G28" s="50">
        <v>520</v>
      </c>
      <c r="H28" s="52">
        <v>43104</v>
      </c>
      <c r="I28" s="52">
        <v>43136</v>
      </c>
      <c r="J28" s="50">
        <v>32</v>
      </c>
      <c r="K28" s="53">
        <v>8.7671232876712329E-2</v>
      </c>
      <c r="L28" s="53">
        <v>0</v>
      </c>
      <c r="M28" s="50">
        <v>0.32</v>
      </c>
      <c r="N28" s="54">
        <v>9.7326858104572409</v>
      </c>
      <c r="O28" s="50">
        <v>0</v>
      </c>
      <c r="P28" s="54">
        <v>0</v>
      </c>
      <c r="Q28" s="178">
        <v>9</v>
      </c>
    </row>
    <row r="29" spans="2:17">
      <c r="B29" s="177" t="s">
        <v>151</v>
      </c>
      <c r="C29" s="50">
        <v>1</v>
      </c>
      <c r="D29" s="50" t="s">
        <v>244</v>
      </c>
      <c r="E29" s="50" t="s">
        <v>85</v>
      </c>
      <c r="F29" s="51">
        <v>546</v>
      </c>
      <c r="G29" s="50">
        <v>550</v>
      </c>
      <c r="H29" s="52">
        <v>43104</v>
      </c>
      <c r="I29" s="52">
        <v>43136</v>
      </c>
      <c r="J29" s="50">
        <v>32</v>
      </c>
      <c r="K29" s="53">
        <v>8.7671232876712329E-2</v>
      </c>
      <c r="L29" s="53">
        <v>0</v>
      </c>
      <c r="M29" s="50">
        <v>0.32</v>
      </c>
      <c r="N29" s="54">
        <v>22.727982589592102</v>
      </c>
      <c r="O29" s="50">
        <v>0</v>
      </c>
      <c r="P29" s="54">
        <v>0</v>
      </c>
      <c r="Q29" s="178">
        <v>22</v>
      </c>
    </row>
    <row r="30" spans="2:17">
      <c r="B30" s="177" t="s">
        <v>151</v>
      </c>
      <c r="C30" s="50">
        <v>1</v>
      </c>
      <c r="D30" s="50" t="s">
        <v>244</v>
      </c>
      <c r="E30" s="50" t="s">
        <v>85</v>
      </c>
      <c r="F30" s="51">
        <v>546</v>
      </c>
      <c r="G30" s="50">
        <v>510</v>
      </c>
      <c r="H30" s="52">
        <v>43104</v>
      </c>
      <c r="I30" s="52">
        <v>43141</v>
      </c>
      <c r="J30" s="50">
        <v>37</v>
      </c>
      <c r="K30" s="53">
        <v>0.10136986301369863</v>
      </c>
      <c r="L30" s="53">
        <v>0</v>
      </c>
      <c r="M30" s="50">
        <v>0.32</v>
      </c>
      <c r="N30" s="54">
        <v>8.0644623609340158</v>
      </c>
      <c r="O30" s="50">
        <v>0</v>
      </c>
      <c r="P30" s="54">
        <v>0</v>
      </c>
      <c r="Q30" s="178">
        <v>8</v>
      </c>
    </row>
    <row r="31" spans="2:17">
      <c r="B31" s="177" t="s">
        <v>151</v>
      </c>
      <c r="C31" s="50">
        <v>1</v>
      </c>
      <c r="D31" s="50" t="s">
        <v>244</v>
      </c>
      <c r="E31" s="50" t="s">
        <v>85</v>
      </c>
      <c r="F31" s="51">
        <v>546</v>
      </c>
      <c r="G31" s="50">
        <v>520</v>
      </c>
      <c r="H31" s="52">
        <v>43104</v>
      </c>
      <c r="I31" s="52">
        <v>43141</v>
      </c>
      <c r="J31" s="50">
        <v>37</v>
      </c>
      <c r="K31" s="53">
        <v>0.10136986301369863</v>
      </c>
      <c r="L31" s="53">
        <v>0</v>
      </c>
      <c r="M31" s="50">
        <v>0.32</v>
      </c>
      <c r="N31" s="54">
        <v>11.066248447728583</v>
      </c>
      <c r="O31" s="50">
        <v>0</v>
      </c>
      <c r="P31" s="54">
        <v>0</v>
      </c>
      <c r="Q31" s="178">
        <v>11</v>
      </c>
    </row>
    <row r="32" spans="2:17" ht="12" thickBot="1">
      <c r="B32" s="179" t="s">
        <v>151</v>
      </c>
      <c r="C32" s="180">
        <v>1</v>
      </c>
      <c r="D32" s="180" t="s">
        <v>244</v>
      </c>
      <c r="E32" s="180" t="s">
        <v>85</v>
      </c>
      <c r="F32" s="181">
        <v>546</v>
      </c>
      <c r="G32" s="180">
        <v>550</v>
      </c>
      <c r="H32" s="182">
        <v>43104</v>
      </c>
      <c r="I32" s="182">
        <v>43141</v>
      </c>
      <c r="J32" s="180">
        <v>37</v>
      </c>
      <c r="K32" s="183">
        <v>0.10136986301369863</v>
      </c>
      <c r="L32" s="183">
        <v>0</v>
      </c>
      <c r="M32" s="180">
        <v>0.32</v>
      </c>
      <c r="N32" s="184">
        <v>24.272012559127006</v>
      </c>
      <c r="O32" s="180">
        <v>0</v>
      </c>
      <c r="P32" s="184">
        <v>0</v>
      </c>
      <c r="Q32" s="185">
        <v>24</v>
      </c>
    </row>
    <row r="33" spans="2:17">
      <c r="B33" s="55"/>
      <c r="C33" s="55"/>
      <c r="D33" s="55"/>
      <c r="E33" s="55"/>
      <c r="F33" s="173"/>
      <c r="G33" s="55"/>
      <c r="H33" s="57"/>
      <c r="I33" s="57"/>
      <c r="J33" s="55"/>
      <c r="K33" s="58"/>
      <c r="L33" s="58"/>
      <c r="M33" s="55"/>
      <c r="N33" s="59"/>
      <c r="O33" s="55"/>
      <c r="P33" s="59"/>
      <c r="Q33" s="59"/>
    </row>
    <row r="34" spans="2:17">
      <c r="B34" s="50"/>
      <c r="C34" s="50"/>
      <c r="D34" s="50"/>
      <c r="E34" s="50"/>
      <c r="F34" s="51"/>
      <c r="G34" s="50"/>
      <c r="H34" s="52"/>
      <c r="I34" s="52"/>
      <c r="J34" s="50"/>
      <c r="K34" s="53"/>
      <c r="L34" s="53"/>
      <c r="M34" s="50"/>
      <c r="N34" s="54"/>
      <c r="O34" s="50"/>
      <c r="P34" s="54"/>
      <c r="Q34" s="54"/>
    </row>
    <row r="35" spans="2:17">
      <c r="B35" s="50"/>
      <c r="C35" s="50"/>
      <c r="D35" s="50"/>
      <c r="E35" s="50"/>
      <c r="F35" s="51"/>
      <c r="G35" s="50"/>
      <c r="H35" s="52"/>
      <c r="I35" s="52"/>
      <c r="J35" s="50"/>
      <c r="K35" s="53"/>
      <c r="L35" s="53"/>
      <c r="M35" s="50"/>
      <c r="N35" s="54"/>
      <c r="O35" s="50"/>
      <c r="P35" s="54"/>
      <c r="Q35" s="54"/>
    </row>
    <row r="36" spans="2:17">
      <c r="B36" s="50"/>
      <c r="C36" s="50"/>
      <c r="D36" s="50"/>
      <c r="E36" s="50"/>
      <c r="F36" s="51"/>
      <c r="G36" s="50"/>
      <c r="H36" s="52"/>
      <c r="I36" s="52"/>
      <c r="J36" s="50"/>
      <c r="K36" s="53"/>
      <c r="L36" s="53"/>
      <c r="M36" s="50"/>
      <c r="N36" s="54"/>
      <c r="O36" s="50"/>
      <c r="P36" s="54"/>
      <c r="Q36" s="54"/>
    </row>
    <row r="37" spans="2:17">
      <c r="B37" s="50"/>
      <c r="C37" s="50"/>
      <c r="D37" s="50"/>
      <c r="E37" s="50"/>
      <c r="F37" s="51"/>
      <c r="G37" s="50"/>
      <c r="H37" s="52"/>
      <c r="I37" s="52"/>
      <c r="J37" s="50"/>
      <c r="K37" s="53"/>
      <c r="L37" s="53"/>
      <c r="M37" s="50"/>
      <c r="N37" s="54"/>
      <c r="O37" s="50"/>
      <c r="P37" s="54"/>
      <c r="Q37" s="54"/>
    </row>
    <row r="38" spans="2:17">
      <c r="B38" s="50"/>
      <c r="C38" s="50"/>
      <c r="D38" s="50"/>
      <c r="E38" s="50"/>
      <c r="F38" s="51"/>
      <c r="G38" s="50"/>
      <c r="H38" s="52"/>
      <c r="I38" s="52"/>
      <c r="J38" s="50"/>
      <c r="K38" s="53"/>
      <c r="L38" s="53"/>
      <c r="M38" s="50"/>
      <c r="N38" s="54"/>
      <c r="O38" s="50"/>
      <c r="P38" s="54"/>
      <c r="Q38" s="54"/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T36"/>
  <sheetViews>
    <sheetView tabSelected="1" workbookViewId="0">
      <pane ySplit="17" topLeftCell="A18" activePane="bottomLeft" state="frozen"/>
      <selection pane="bottomLeft" activeCell="B22" sqref="B22:E34"/>
    </sheetView>
  </sheetViews>
  <sheetFormatPr defaultRowHeight="11.25"/>
  <cols>
    <col min="1" max="3" width="9" style="6"/>
    <col min="4" max="4" width="9" style="6" customWidth="1"/>
    <col min="5" max="7" width="9" style="6"/>
    <col min="8" max="8" width="12.125" style="6" customWidth="1"/>
    <col min="9" max="9" width="9" style="6"/>
    <col min="10" max="10" width="10.875" style="6" customWidth="1"/>
    <col min="11" max="16384" width="9" style="6"/>
  </cols>
  <sheetData>
    <row r="1" spans="2:20" ht="14.25" thickBot="1">
      <c r="B1" s="198" t="s">
        <v>118</v>
      </c>
      <c r="C1" s="198"/>
    </row>
    <row r="2" spans="2:20" ht="12" thickTop="1"/>
    <row r="3" spans="2:20" ht="12.75" thickBot="1">
      <c r="B3" s="197" t="s">
        <v>119</v>
      </c>
      <c r="C3" s="197"/>
      <c r="D3" s="197"/>
      <c r="E3" s="197"/>
      <c r="G3" s="194" t="s">
        <v>120</v>
      </c>
      <c r="H3" s="194"/>
      <c r="I3" s="194"/>
      <c r="J3" s="194"/>
      <c r="L3" s="197" t="s">
        <v>192</v>
      </c>
      <c r="M3" s="197"/>
      <c r="N3" s="197"/>
      <c r="O3" s="197"/>
      <c r="Q3" s="194" t="s">
        <v>193</v>
      </c>
      <c r="R3" s="194"/>
      <c r="S3" s="194"/>
      <c r="T3" s="194"/>
    </row>
    <row r="4" spans="2:20" ht="15" thickTop="1" thickBot="1">
      <c r="B4" s="195" t="s">
        <v>121</v>
      </c>
      <c r="C4" s="195"/>
      <c r="D4" s="195"/>
      <c r="E4" s="195"/>
      <c r="G4" s="195" t="s">
        <v>34</v>
      </c>
      <c r="H4" s="195"/>
      <c r="I4" s="195"/>
      <c r="J4" s="195"/>
      <c r="L4" s="195" t="s">
        <v>121</v>
      </c>
      <c r="M4" s="195"/>
      <c r="N4" s="195"/>
      <c r="O4" s="195"/>
      <c r="Q4" s="195" t="s">
        <v>34</v>
      </c>
      <c r="R4" s="195"/>
      <c r="S4" s="195"/>
      <c r="T4" s="195"/>
    </row>
    <row r="5" spans="2:20" ht="14.25" thickTop="1">
      <c r="B5" s="33" t="s">
        <v>122</v>
      </c>
      <c r="C5" s="34"/>
      <c r="D5" s="35"/>
      <c r="E5" s="36"/>
      <c r="G5" s="193" t="s">
        <v>123</v>
      </c>
      <c r="H5" s="193"/>
      <c r="I5" s="35"/>
      <c r="J5" s="36"/>
      <c r="L5" s="33" t="s">
        <v>122</v>
      </c>
      <c r="M5" s="34"/>
      <c r="N5" s="35"/>
      <c r="O5" s="36"/>
      <c r="Q5" s="193" t="s">
        <v>123</v>
      </c>
      <c r="R5" s="193"/>
      <c r="S5" s="35"/>
      <c r="T5" s="36"/>
    </row>
    <row r="6" spans="2:20" ht="13.5">
      <c r="B6" s="190" t="s">
        <v>124</v>
      </c>
      <c r="C6" s="190"/>
      <c r="D6" s="191" t="s">
        <v>125</v>
      </c>
      <c r="E6" s="192"/>
      <c r="G6" s="193" t="s">
        <v>126</v>
      </c>
      <c r="H6" s="193"/>
      <c r="I6" s="191"/>
      <c r="J6" s="192"/>
      <c r="L6" s="190" t="s">
        <v>124</v>
      </c>
      <c r="M6" s="190"/>
      <c r="N6" s="191" t="s">
        <v>125</v>
      </c>
      <c r="O6" s="192"/>
      <c r="Q6" s="193" t="s">
        <v>126</v>
      </c>
      <c r="R6" s="193"/>
      <c r="S6" s="191"/>
      <c r="T6" s="192"/>
    </row>
    <row r="7" spans="2:20" ht="13.5">
      <c r="B7" s="190" t="s">
        <v>127</v>
      </c>
      <c r="C7" s="190"/>
      <c r="D7" s="191" t="s">
        <v>125</v>
      </c>
      <c r="E7" s="192"/>
      <c r="G7" s="193" t="s">
        <v>128</v>
      </c>
      <c r="H7" s="193"/>
      <c r="I7" s="191"/>
      <c r="J7" s="192"/>
      <c r="L7" s="190" t="s">
        <v>127</v>
      </c>
      <c r="M7" s="190"/>
      <c r="N7" s="191" t="s">
        <v>125</v>
      </c>
      <c r="O7" s="192"/>
      <c r="Q7" s="193" t="s">
        <v>128</v>
      </c>
      <c r="R7" s="193"/>
      <c r="S7" s="191"/>
      <c r="T7" s="192"/>
    </row>
    <row r="8" spans="2:20" ht="13.5">
      <c r="B8" s="190" t="s">
        <v>129</v>
      </c>
      <c r="C8" s="190"/>
      <c r="D8" s="191">
        <f>D13*D15</f>
        <v>305000</v>
      </c>
      <c r="E8" s="192"/>
      <c r="G8" s="193" t="s">
        <v>130</v>
      </c>
      <c r="H8" s="193"/>
      <c r="I8" s="191"/>
      <c r="J8" s="192"/>
      <c r="L8" s="190" t="s">
        <v>129</v>
      </c>
      <c r="M8" s="190"/>
      <c r="N8" s="191">
        <f>N14*N16</f>
        <v>305000</v>
      </c>
      <c r="O8" s="192"/>
      <c r="Q8" s="193" t="s">
        <v>130</v>
      </c>
      <c r="R8" s="193"/>
      <c r="S8" s="191"/>
      <c r="T8" s="192"/>
    </row>
    <row r="9" spans="2:20" ht="13.5">
      <c r="B9" s="190" t="s">
        <v>131</v>
      </c>
      <c r="C9" s="190"/>
      <c r="D9" s="191" t="s">
        <v>132</v>
      </c>
      <c r="E9" s="192"/>
      <c r="G9" s="193" t="s">
        <v>133</v>
      </c>
      <c r="H9" s="193"/>
      <c r="I9" s="191"/>
      <c r="J9" s="192"/>
      <c r="L9" s="190" t="s">
        <v>131</v>
      </c>
      <c r="M9" s="190"/>
      <c r="N9" s="191" t="s">
        <v>132</v>
      </c>
      <c r="O9" s="192"/>
      <c r="Q9" s="193" t="s">
        <v>133</v>
      </c>
      <c r="R9" s="193"/>
      <c r="S9" s="191"/>
      <c r="T9" s="192"/>
    </row>
    <row r="10" spans="2:20" ht="13.5">
      <c r="B10" s="190" t="s">
        <v>134</v>
      </c>
      <c r="C10" s="190"/>
      <c r="D10" s="191">
        <v>43084</v>
      </c>
      <c r="E10" s="192"/>
      <c r="G10" s="30" t="s">
        <v>135</v>
      </c>
      <c r="H10" s="30"/>
      <c r="I10" s="191"/>
      <c r="J10" s="192"/>
      <c r="L10" s="190" t="s">
        <v>134</v>
      </c>
      <c r="M10" s="190"/>
      <c r="N10" s="191">
        <v>43084</v>
      </c>
      <c r="O10" s="192"/>
      <c r="Q10" s="62" t="s">
        <v>135</v>
      </c>
      <c r="R10" s="62"/>
      <c r="S10" s="191"/>
      <c r="T10" s="192"/>
    </row>
    <row r="11" spans="2:20" ht="13.5">
      <c r="B11" s="190" t="s">
        <v>136</v>
      </c>
      <c r="C11" s="190"/>
      <c r="D11" s="191">
        <v>3935</v>
      </c>
      <c r="E11" s="192"/>
      <c r="G11" s="193" t="s">
        <v>137</v>
      </c>
      <c r="H11" s="193"/>
      <c r="I11" s="191"/>
      <c r="J11" s="192"/>
      <c r="L11" s="190" t="s">
        <v>136</v>
      </c>
      <c r="M11" s="190"/>
      <c r="N11" s="191">
        <v>3935</v>
      </c>
      <c r="O11" s="192"/>
      <c r="Q11" s="193" t="s">
        <v>137</v>
      </c>
      <c r="R11" s="193"/>
      <c r="S11" s="191"/>
      <c r="T11" s="192"/>
    </row>
    <row r="12" spans="2:20" ht="13.5">
      <c r="B12" s="190" t="s">
        <v>138</v>
      </c>
      <c r="C12" s="190"/>
      <c r="D12" s="191">
        <v>3800</v>
      </c>
      <c r="E12" s="192"/>
      <c r="G12" s="193" t="s">
        <v>139</v>
      </c>
      <c r="H12" s="193"/>
      <c r="I12" s="191"/>
      <c r="J12" s="192"/>
      <c r="L12" s="190" t="s">
        <v>190</v>
      </c>
      <c r="M12" s="190"/>
      <c r="N12" s="191">
        <v>3800</v>
      </c>
      <c r="O12" s="192"/>
      <c r="Q12" s="193" t="s">
        <v>194</v>
      </c>
      <c r="R12" s="193"/>
      <c r="S12" s="191"/>
      <c r="T12" s="192"/>
    </row>
    <row r="13" spans="2:20" ht="13.5">
      <c r="B13" s="190" t="s">
        <v>140</v>
      </c>
      <c r="C13" s="190"/>
      <c r="D13" s="191">
        <v>61</v>
      </c>
      <c r="E13" s="192"/>
      <c r="G13" s="193" t="s">
        <v>141</v>
      </c>
      <c r="H13" s="193"/>
      <c r="I13" s="191"/>
      <c r="J13" s="192"/>
      <c r="L13" s="190" t="s">
        <v>191</v>
      </c>
      <c r="M13" s="190"/>
      <c r="N13" s="191">
        <v>3800</v>
      </c>
      <c r="O13" s="192"/>
      <c r="Q13" s="193" t="s">
        <v>195</v>
      </c>
      <c r="R13" s="193"/>
      <c r="S13" s="191"/>
      <c r="T13" s="192"/>
    </row>
    <row r="14" spans="2:20" ht="13.5">
      <c r="B14" s="190" t="s">
        <v>142</v>
      </c>
      <c r="C14" s="190"/>
      <c r="D14" s="191" t="s">
        <v>143</v>
      </c>
      <c r="E14" s="192"/>
      <c r="G14" s="193" t="s">
        <v>144</v>
      </c>
      <c r="H14" s="193"/>
      <c r="I14" s="31"/>
      <c r="J14" s="32"/>
      <c r="L14" s="190" t="s">
        <v>140</v>
      </c>
      <c r="M14" s="190"/>
      <c r="N14" s="191">
        <v>61</v>
      </c>
      <c r="O14" s="192"/>
      <c r="Q14" s="193" t="s">
        <v>141</v>
      </c>
      <c r="R14" s="193"/>
      <c r="S14" s="191"/>
      <c r="T14" s="192"/>
    </row>
    <row r="15" spans="2:20" ht="13.5">
      <c r="B15" s="190" t="s">
        <v>145</v>
      </c>
      <c r="C15" s="190"/>
      <c r="D15" s="191">
        <v>5000</v>
      </c>
      <c r="E15" s="192"/>
      <c r="G15" s="193" t="s">
        <v>146</v>
      </c>
      <c r="H15" s="193"/>
      <c r="I15" s="191"/>
      <c r="J15" s="192"/>
      <c r="L15" s="190" t="s">
        <v>142</v>
      </c>
      <c r="M15" s="190"/>
      <c r="N15" s="191" t="s">
        <v>143</v>
      </c>
      <c r="O15" s="192"/>
      <c r="Q15" s="193" t="s">
        <v>144</v>
      </c>
      <c r="R15" s="193"/>
      <c r="S15" s="60"/>
      <c r="T15" s="61"/>
    </row>
    <row r="16" spans="2:20" ht="14.25" thickBot="1">
      <c r="B16" s="196" t="s">
        <v>147</v>
      </c>
      <c r="C16" s="196"/>
      <c r="D16" s="188" t="s">
        <v>148</v>
      </c>
      <c r="E16" s="189"/>
      <c r="G16" s="187" t="s">
        <v>149</v>
      </c>
      <c r="H16" s="187"/>
      <c r="I16" s="188"/>
      <c r="J16" s="189"/>
      <c r="L16" s="190" t="s">
        <v>145</v>
      </c>
      <c r="M16" s="190"/>
      <c r="N16" s="191">
        <v>5000</v>
      </c>
      <c r="O16" s="192"/>
      <c r="Q16" s="193" t="s">
        <v>146</v>
      </c>
      <c r="R16" s="193"/>
      <c r="S16" s="191"/>
      <c r="T16" s="192"/>
    </row>
    <row r="17" spans="2:20" ht="15" thickTop="1" thickBot="1">
      <c r="L17" s="196" t="s">
        <v>147</v>
      </c>
      <c r="M17" s="196"/>
      <c r="N17" s="188" t="s">
        <v>148</v>
      </c>
      <c r="O17" s="189"/>
      <c r="Q17" s="187" t="s">
        <v>149</v>
      </c>
      <c r="R17" s="187"/>
      <c r="S17" s="188"/>
      <c r="T17" s="189"/>
    </row>
    <row r="18" spans="2:20" ht="12" thickTop="1"/>
    <row r="19" spans="2:20" ht="13.5">
      <c r="B19" s="28" t="s">
        <v>150</v>
      </c>
    </row>
    <row r="21" spans="2:20" ht="12" thickBot="1">
      <c r="B21" s="7"/>
      <c r="C21" s="7"/>
      <c r="D21" s="7"/>
      <c r="E21" s="7"/>
      <c r="G21" s="7"/>
      <c r="H21" s="7"/>
      <c r="I21" s="7"/>
      <c r="J21" s="7"/>
    </row>
    <row r="22" spans="2:20" ht="15" thickTop="1" thickBot="1">
      <c r="B22" s="195" t="s">
        <v>121</v>
      </c>
      <c r="C22" s="195"/>
      <c r="D22" s="195"/>
      <c r="E22" s="195"/>
      <c r="G22" s="195" t="s">
        <v>121</v>
      </c>
      <c r="H22" s="195"/>
      <c r="I22" s="195"/>
      <c r="J22" s="195"/>
    </row>
    <row r="23" spans="2:20" ht="14.25" thickTop="1">
      <c r="B23" s="33" t="s">
        <v>122</v>
      </c>
      <c r="C23" s="34"/>
      <c r="D23" s="202">
        <v>43104</v>
      </c>
      <c r="E23" s="203"/>
      <c r="G23" s="33" t="s">
        <v>122</v>
      </c>
      <c r="H23" s="34"/>
      <c r="I23" s="202">
        <v>43098</v>
      </c>
      <c r="J23" s="203"/>
    </row>
    <row r="24" spans="2:20" ht="13.5">
      <c r="B24" s="190" t="s">
        <v>124</v>
      </c>
      <c r="C24" s="190"/>
      <c r="D24" s="191" t="s">
        <v>207</v>
      </c>
      <c r="E24" s="192"/>
      <c r="G24" s="190" t="s">
        <v>222</v>
      </c>
      <c r="H24" s="190"/>
      <c r="I24" s="191" t="s">
        <v>217</v>
      </c>
      <c r="J24" s="192"/>
    </row>
    <row r="25" spans="2:20" ht="13.5">
      <c r="B25" s="190" t="s">
        <v>127</v>
      </c>
      <c r="C25" s="190"/>
      <c r="D25" s="191" t="s">
        <v>208</v>
      </c>
      <c r="E25" s="192"/>
      <c r="G25" s="190" t="s">
        <v>219</v>
      </c>
      <c r="H25" s="190"/>
      <c r="I25" s="191">
        <v>9375</v>
      </c>
      <c r="J25" s="192"/>
    </row>
    <row r="26" spans="2:20" ht="13.5">
      <c r="B26" s="190" t="s">
        <v>129</v>
      </c>
      <c r="C26" s="190"/>
      <c r="D26" s="199">
        <f>D31*D33</f>
        <v>300000</v>
      </c>
      <c r="E26" s="200"/>
      <c r="G26" s="121" t="s">
        <v>220</v>
      </c>
      <c r="H26" s="121"/>
      <c r="I26" s="191" t="s">
        <v>223</v>
      </c>
      <c r="J26" s="192" t="s">
        <v>221</v>
      </c>
    </row>
    <row r="27" spans="2:20" ht="13.5">
      <c r="B27" s="190" t="s">
        <v>131</v>
      </c>
      <c r="C27" s="190"/>
      <c r="D27" s="191" t="s">
        <v>211</v>
      </c>
      <c r="E27" s="192"/>
      <c r="G27" s="190" t="s">
        <v>131</v>
      </c>
      <c r="H27" s="190"/>
      <c r="I27" s="191" t="s">
        <v>214</v>
      </c>
      <c r="J27" s="192"/>
    </row>
    <row r="28" spans="2:20" ht="13.5">
      <c r="B28" s="190" t="s">
        <v>134</v>
      </c>
      <c r="C28" s="190"/>
      <c r="D28" s="201">
        <v>43167</v>
      </c>
      <c r="E28" s="192"/>
      <c r="G28" s="190" t="s">
        <v>134</v>
      </c>
      <c r="H28" s="190"/>
      <c r="I28" s="201">
        <v>43159</v>
      </c>
      <c r="J28" s="192"/>
    </row>
    <row r="29" spans="2:20" ht="13.5">
      <c r="B29" s="190" t="s">
        <v>136</v>
      </c>
      <c r="C29" s="190"/>
      <c r="D29" s="191">
        <v>3636</v>
      </c>
      <c r="E29" s="192"/>
      <c r="G29" s="190" t="s">
        <v>136</v>
      </c>
      <c r="H29" s="190"/>
      <c r="I29" s="191">
        <v>9770</v>
      </c>
      <c r="J29" s="192"/>
    </row>
    <row r="30" spans="2:20" ht="13.5">
      <c r="B30" s="190" t="s">
        <v>138</v>
      </c>
      <c r="C30" s="190"/>
      <c r="D30" s="191">
        <v>3550</v>
      </c>
      <c r="E30" s="192"/>
      <c r="G30" s="190" t="s">
        <v>215</v>
      </c>
      <c r="H30" s="190"/>
      <c r="I30" s="122"/>
      <c r="J30" s="123">
        <v>9500</v>
      </c>
    </row>
    <row r="31" spans="2:20" ht="13.5">
      <c r="B31" s="190" t="s">
        <v>140</v>
      </c>
      <c r="C31" s="190"/>
      <c r="D31" s="191">
        <v>60</v>
      </c>
      <c r="E31" s="192"/>
      <c r="G31" s="190" t="s">
        <v>216</v>
      </c>
      <c r="H31" s="190"/>
      <c r="I31" s="191">
        <v>10040</v>
      </c>
      <c r="J31" s="192"/>
    </row>
    <row r="32" spans="2:20" ht="13.5">
      <c r="B32" s="190" t="s">
        <v>142</v>
      </c>
      <c r="C32" s="190"/>
      <c r="D32" s="191" t="s">
        <v>209</v>
      </c>
      <c r="E32" s="192"/>
      <c r="G32" s="190" t="s">
        <v>140</v>
      </c>
      <c r="H32" s="190"/>
      <c r="I32" s="191">
        <v>15</v>
      </c>
      <c r="J32" s="192"/>
    </row>
    <row r="33" spans="2:10" ht="13.5">
      <c r="B33" s="190" t="s">
        <v>145</v>
      </c>
      <c r="C33" s="190"/>
      <c r="D33" s="199">
        <v>5000</v>
      </c>
      <c r="E33" s="200"/>
      <c r="G33" s="190" t="s">
        <v>142</v>
      </c>
      <c r="H33" s="190"/>
      <c r="I33" s="191" t="s">
        <v>218</v>
      </c>
      <c r="J33" s="192"/>
    </row>
    <row r="34" spans="2:10" ht="14.25" thickBot="1">
      <c r="B34" s="196" t="s">
        <v>147</v>
      </c>
      <c r="C34" s="196"/>
      <c r="D34" s="188" t="s">
        <v>210</v>
      </c>
      <c r="E34" s="189"/>
      <c r="G34" s="190" t="s">
        <v>145</v>
      </c>
      <c r="H34" s="190"/>
      <c r="I34" s="199">
        <v>625</v>
      </c>
      <c r="J34" s="200"/>
    </row>
    <row r="35" spans="2:10" ht="15" thickTop="1" thickBot="1">
      <c r="G35" s="196" t="s">
        <v>147</v>
      </c>
      <c r="H35" s="196"/>
      <c r="I35" s="188" t="s">
        <v>210</v>
      </c>
      <c r="J35" s="189"/>
    </row>
    <row r="36" spans="2:10" ht="12" thickTop="1"/>
  </sheetData>
  <mergeCells count="147">
    <mergeCell ref="G33:H33"/>
    <mergeCell ref="I33:J33"/>
    <mergeCell ref="G34:H34"/>
    <mergeCell ref="I34:J34"/>
    <mergeCell ref="G35:H35"/>
    <mergeCell ref="I35:J35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E26" sqref="E26"/>
    </sheetView>
  </sheetViews>
  <sheetFormatPr defaultRowHeight="11.2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>
      <c r="B1" s="186" t="s">
        <v>158</v>
      </c>
      <c r="C1" s="186"/>
      <c r="D1" s="186"/>
    </row>
    <row r="2" spans="1:21" ht="12" thickTop="1"/>
    <row r="3" spans="1:21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21" ht="12" thickBot="1">
      <c r="A4" s="64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>
      <c r="B5" s="10"/>
      <c r="C5" s="10"/>
      <c r="D5" s="10"/>
      <c r="E5" s="10"/>
      <c r="F5" s="10"/>
      <c r="G5" s="10"/>
      <c r="H5" s="10"/>
      <c r="I5" s="10"/>
      <c r="J5" s="10"/>
      <c r="K5" s="67"/>
      <c r="L5" s="67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>
      <c r="B8" s="10"/>
      <c r="C8" s="10"/>
      <c r="D8" s="10"/>
      <c r="E8" s="10"/>
      <c r="F8" s="10"/>
      <c r="G8" s="10"/>
      <c r="H8" s="10"/>
      <c r="I8" s="10"/>
      <c r="J8" s="10"/>
      <c r="K8" s="67"/>
      <c r="L8" s="67"/>
      <c r="M8" s="10"/>
      <c r="N8" s="10"/>
      <c r="O8" s="10"/>
      <c r="P8" s="10"/>
      <c r="Q8" s="10"/>
      <c r="R8" s="10"/>
      <c r="S8" s="10"/>
      <c r="T8" s="13"/>
      <c r="U8" s="10"/>
    </row>
    <row r="9" spans="1:21">
      <c r="B9" s="10"/>
      <c r="C9" s="10"/>
      <c r="D9" s="10"/>
      <c r="E9" s="10"/>
      <c r="F9" s="10"/>
      <c r="G9" s="10"/>
      <c r="H9" s="10"/>
      <c r="I9" s="10"/>
      <c r="J9" s="10"/>
      <c r="K9" s="67"/>
      <c r="L9" s="67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9"/>
  <sheetViews>
    <sheetView zoomScaleNormal="100" workbookViewId="0">
      <selection activeCell="N5" sqref="N5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14.125" style="6" customWidth="1"/>
    <col min="14" max="14" width="9" style="6" customWidth="1"/>
    <col min="15" max="15" width="7.25" style="6" customWidth="1"/>
    <col min="16" max="16" width="9" style="6" customWidth="1"/>
    <col min="17" max="17" width="10.125" style="6" customWidth="1"/>
    <col min="18" max="18" width="8.875" style="6" customWidth="1"/>
    <col min="19" max="19" width="9.625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>
      <c r="B1" s="198" t="s">
        <v>37</v>
      </c>
      <c r="C1" s="198"/>
    </row>
    <row r="2" spans="1:22" ht="12" thickTop="1">
      <c r="B2" s="3" t="s">
        <v>0</v>
      </c>
      <c r="C2" s="4">
        <v>43061</v>
      </c>
    </row>
    <row r="3" spans="1:22">
      <c r="B3" s="3" t="s">
        <v>1</v>
      </c>
      <c r="C3" s="3">
        <v>0.02</v>
      </c>
    </row>
    <row r="4" spans="1:22" ht="12" thickBot="1">
      <c r="B4" s="5" t="s">
        <v>18</v>
      </c>
      <c r="C4" s="5">
        <v>0.01</v>
      </c>
    </row>
    <row r="5" spans="1:22" ht="12" thickTop="1"/>
    <row r="6" spans="1:22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2.75" thickTop="1" thickBot="1">
      <c r="B7" s="18" t="s">
        <v>197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47</v>
      </c>
      <c r="O7" s="17" t="s">
        <v>13</v>
      </c>
      <c r="P7" s="17" t="s">
        <v>14</v>
      </c>
      <c r="Q7" s="17" t="s">
        <v>26</v>
      </c>
      <c r="R7" s="17" t="s">
        <v>28</v>
      </c>
      <c r="S7" s="17" t="s">
        <v>15</v>
      </c>
      <c r="T7" s="18" t="s">
        <v>33</v>
      </c>
      <c r="U7" s="18" t="s">
        <v>16</v>
      </c>
      <c r="V7" s="18" t="s">
        <v>17</v>
      </c>
    </row>
    <row r="8" spans="1:22" ht="12" thickTop="1">
      <c r="A8" s="63"/>
      <c r="B8" s="24" t="s">
        <v>198</v>
      </c>
      <c r="C8" s="19" t="s">
        <v>187</v>
      </c>
      <c r="D8" s="19" t="s">
        <v>31</v>
      </c>
      <c r="E8" s="19">
        <f t="shared" ref="E8:E9" si="0">IF(D8="中金买入",1,-1)</f>
        <v>-1</v>
      </c>
      <c r="F8" s="19" t="s">
        <v>22</v>
      </c>
      <c r="G8" s="19" t="s">
        <v>27</v>
      </c>
      <c r="H8" s="20" t="e">
        <f>RTD("wdf.rtq",,F8,"LastPrice")</f>
        <v>#N/A</v>
      </c>
      <c r="I8" s="19">
        <v>3800</v>
      </c>
      <c r="J8" s="21">
        <f t="shared" ref="J8:J38" ca="1" si="1">TODAY()</f>
        <v>43105</v>
      </c>
      <c r="K8" s="21">
        <f t="shared" ref="K8:K9" ca="1" si="2">J8+L8</f>
        <v>43135</v>
      </c>
      <c r="L8" s="19">
        <v>30</v>
      </c>
      <c r="M8" s="22">
        <f t="shared" ref="M8:M9" si="3">L8/365</f>
        <v>8.2191780821917804E-2</v>
      </c>
      <c r="N8" s="22">
        <v>0</v>
      </c>
      <c r="O8" s="23">
        <v>0.3</v>
      </c>
      <c r="P8" s="24" t="e">
        <f>_xll.dnetGBlackScholesNGreeks("price",$G8,$H8,$I8,$M8,$C$3,$N8,$O8,$C$4)*E8</f>
        <v>#VALUE!</v>
      </c>
      <c r="Q8" s="25">
        <v>80</v>
      </c>
      <c r="R8" s="24" t="e">
        <f t="shared" ref="R8:R9" si="4">Q8/10000*M8*H8</f>
        <v>#N/A</v>
      </c>
      <c r="S8" s="24" t="e">
        <f t="shared" ref="S8:S9" si="5">IF(P8&lt;=0,ABS(P8)+R8,P8-R8)</f>
        <v>#VALUE!</v>
      </c>
      <c r="T8" s="26" t="e">
        <f t="shared" ref="T8:T9" si="6">S8/H8</f>
        <v>#VALUE!</v>
      </c>
      <c r="U8" s="24" t="e">
        <f>_xll.dnetGBlackScholesNGreeks("delta",$G8,$H8,$I8,$M8,$C$3,$N8,$O8,$C$4)*E8</f>
        <v>#VALUE!</v>
      </c>
      <c r="V8" s="24" t="e">
        <f>_xll.dnetGBlackScholesNGreeks("vega",$G8,$H8,$I8,$M8,$C$3,$N8,$O8,$C$4)*E8</f>
        <v>#VALUE!</v>
      </c>
    </row>
    <row r="9" spans="1:22">
      <c r="A9" s="63"/>
      <c r="B9" s="13" t="s">
        <v>199</v>
      </c>
      <c r="C9" s="10" t="s">
        <v>189</v>
      </c>
      <c r="D9" s="10" t="s">
        <v>151</v>
      </c>
      <c r="E9" s="10">
        <f t="shared" si="0"/>
        <v>1</v>
      </c>
      <c r="F9" s="10" t="s">
        <v>40</v>
      </c>
      <c r="G9" s="10" t="s">
        <v>27</v>
      </c>
      <c r="H9" s="11">
        <v>100</v>
      </c>
      <c r="I9" s="10">
        <v>100</v>
      </c>
      <c r="J9" s="8">
        <f t="shared" ca="1" si="1"/>
        <v>43105</v>
      </c>
      <c r="K9" s="8">
        <f t="shared" ca="1" si="2"/>
        <v>43470</v>
      </c>
      <c r="L9" s="10">
        <v>365</v>
      </c>
      <c r="M9" s="12">
        <f t="shared" si="3"/>
        <v>1</v>
      </c>
      <c r="N9" s="12">
        <v>0</v>
      </c>
      <c r="O9" s="9">
        <v>0.18</v>
      </c>
      <c r="P9" s="13">
        <f>_xll.dnetGBlackScholesNGreeks("price",$G9,$H9,$I9,$M9,$C$3,$N9,$O9,$C$4)*E9</f>
        <v>7.0292776883103798</v>
      </c>
      <c r="Q9" s="15">
        <v>80</v>
      </c>
      <c r="R9" s="13">
        <f t="shared" si="4"/>
        <v>0.8</v>
      </c>
      <c r="S9" s="13">
        <f t="shared" si="5"/>
        <v>6.22927768831038</v>
      </c>
      <c r="T9" s="14">
        <f t="shared" si="6"/>
        <v>6.22927768831038E-2</v>
      </c>
      <c r="U9" s="13">
        <f>_xll.dnetGBlackScholesNGreeks("delta",$G9,$H9,$I9,$M9,$C$3,$N9,$O9,$C$4)*E9</f>
        <v>0.52524571968639577</v>
      </c>
      <c r="V9" s="13">
        <f>_xll.dnetGBlackScholesNGreeks("vega",$G9,$H9,$I9,$M9,$C$3,$N9,$O9,$C$4)*E9</f>
        <v>0.3894605641699016</v>
      </c>
    </row>
    <row r="10" spans="1:22">
      <c r="A10" s="63"/>
      <c r="B10" s="13" t="s">
        <v>198</v>
      </c>
      <c r="C10" s="10" t="s">
        <v>187</v>
      </c>
      <c r="D10" s="10" t="s">
        <v>151</v>
      </c>
      <c r="E10" s="10">
        <f t="shared" ref="E10" si="7">IF(D10="中金买入",1,-1)</f>
        <v>1</v>
      </c>
      <c r="F10" s="10" t="s">
        <v>224</v>
      </c>
      <c r="G10" s="10" t="s">
        <v>85</v>
      </c>
      <c r="H10" s="11">
        <f>RTD("wdf.rtq",,F10,"LastPrice")</f>
        <v>3601</v>
      </c>
      <c r="I10" s="11">
        <v>3500</v>
      </c>
      <c r="J10" s="8">
        <f t="shared" ca="1" si="1"/>
        <v>43105</v>
      </c>
      <c r="K10" s="8">
        <f t="shared" ref="K10" ca="1" si="8">J10+L10</f>
        <v>43170</v>
      </c>
      <c r="L10" s="10">
        <v>65</v>
      </c>
      <c r="M10" s="12">
        <f>(L10-5)/365</f>
        <v>0.16438356164383561</v>
      </c>
      <c r="N10" s="12">
        <v>0</v>
      </c>
      <c r="O10" s="9">
        <v>0.19</v>
      </c>
      <c r="P10" s="13">
        <f>_xll.dnetGBlackScholesNGreeks("price",$G10,$H10,$I10,$M10,$C$3,$N10,$O10,$C$4)*E10</f>
        <v>65.722195718007697</v>
      </c>
      <c r="Q10" s="15">
        <v>0</v>
      </c>
      <c r="R10" s="13">
        <f t="shared" ref="R10" si="9">Q10/10000*M10*H10</f>
        <v>0</v>
      </c>
      <c r="S10" s="13">
        <f t="shared" ref="S10" si="10">IF(P10&lt;=0,ABS(P10)+R10,P10-R10)</f>
        <v>65.722195718007697</v>
      </c>
      <c r="T10" s="14">
        <f t="shared" ref="T10" si="11">S10/H10</f>
        <v>1.8251095728410913E-2</v>
      </c>
      <c r="U10" s="13">
        <f>_xll.dnetGBlackScholesNGreeks("delta",$G10,$H10,$I10,$M10,$C$3,$N10,$O10,$C$4)*E10</f>
        <v>-0.3405827363849312</v>
      </c>
      <c r="V10" s="13">
        <f>_xll.dnetGBlackScholesNGreeks("vega",$G10,$H10,$I10,$M10,$C$3,$N10,$O10,$C$4)*E10</f>
        <v>5.341227048509154</v>
      </c>
    </row>
    <row r="11" spans="1:22">
      <c r="A11" s="63"/>
      <c r="B11" s="13" t="s">
        <v>198</v>
      </c>
      <c r="C11" s="10" t="s">
        <v>187</v>
      </c>
      <c r="D11" s="10" t="s">
        <v>151</v>
      </c>
      <c r="E11" s="10">
        <f t="shared" ref="E11" si="12">IF(D11="中金买入",1,-1)</f>
        <v>1</v>
      </c>
      <c r="F11" s="10" t="s">
        <v>225</v>
      </c>
      <c r="G11" s="10" t="s">
        <v>39</v>
      </c>
      <c r="H11" s="11">
        <v>100</v>
      </c>
      <c r="I11" s="11">
        <f>H11</f>
        <v>100</v>
      </c>
      <c r="J11" s="8">
        <f t="shared" ca="1" si="1"/>
        <v>43105</v>
      </c>
      <c r="K11" s="8">
        <f t="shared" ref="K11" ca="1" si="13">J11+L11</f>
        <v>43136</v>
      </c>
      <c r="L11" s="10">
        <v>31</v>
      </c>
      <c r="M11" s="12">
        <f>(L11)/365</f>
        <v>8.4931506849315067E-2</v>
      </c>
      <c r="N11" s="12">
        <v>3.5000000000000003E-2</v>
      </c>
      <c r="O11" s="9">
        <v>0.14000000000000001</v>
      </c>
      <c r="P11" s="13">
        <f>_xll.dnetGBlackScholesNGreeks("price",$G11,$H11,$I11,$M11,$C$3,$N11,$O11,$C$4)*E11</f>
        <v>1.7801514257095405</v>
      </c>
      <c r="Q11" s="15">
        <v>0</v>
      </c>
      <c r="R11" s="13">
        <f t="shared" ref="R11" si="14">Q11/10000*M11*H11</f>
        <v>0</v>
      </c>
      <c r="S11" s="13">
        <f t="shared" ref="S11" si="15">IF(P11&lt;=0,ABS(P11)+R11,P11-R11)</f>
        <v>1.7801514257095405</v>
      </c>
      <c r="T11" s="14">
        <f t="shared" ref="T11" si="16">S11/H11</f>
        <v>1.7801514257095405E-2</v>
      </c>
      <c r="U11" s="13">
        <f>_xll.dnetGBlackScholesNGreeks("delta",$G11,$H11,$I11,$M11,$C$3,$N11,$O11,$C$4)*E11</f>
        <v>0.53783525353914285</v>
      </c>
      <c r="V11" s="13">
        <f>_xll.dnetGBlackScholesNGreeks("vega",$G11,$H11,$I11,$M11,$C$3,$N11,$O11,$C$4)*E11</f>
        <v>0.11590526850920213</v>
      </c>
    </row>
    <row r="12" spans="1:22">
      <c r="A12" s="63"/>
      <c r="B12" s="13" t="s">
        <v>198</v>
      </c>
      <c r="C12" s="10" t="s">
        <v>187</v>
      </c>
      <c r="D12" s="10" t="s">
        <v>151</v>
      </c>
      <c r="E12" s="10">
        <f t="shared" ref="E12" si="17">IF(D12="中金买入",1,-1)</f>
        <v>1</v>
      </c>
      <c r="F12" s="10" t="s">
        <v>225</v>
      </c>
      <c r="G12" s="10" t="s">
        <v>226</v>
      </c>
      <c r="H12" s="11">
        <v>100</v>
      </c>
      <c r="I12" s="11">
        <f>H12</f>
        <v>100</v>
      </c>
      <c r="J12" s="8">
        <f t="shared" ca="1" si="1"/>
        <v>43105</v>
      </c>
      <c r="K12" s="8">
        <f t="shared" ref="K12" ca="1" si="18">J12+L12</f>
        <v>43195</v>
      </c>
      <c r="L12" s="10">
        <v>90</v>
      </c>
      <c r="M12" s="12">
        <f>(L12)/365</f>
        <v>0.24657534246575341</v>
      </c>
      <c r="N12" s="12">
        <v>3.5000000000000003E-2</v>
      </c>
      <c r="O12" s="9">
        <v>0.14000000000000001</v>
      </c>
      <c r="P12" s="13">
        <f>_xll.dnetGBlackScholesNGreeks("price",$G12,$H12,$I12,$M12,$C$3,$N12,$O12,$C$4)*E12</f>
        <v>3.2237205611197908</v>
      </c>
      <c r="Q12" s="15">
        <v>0</v>
      </c>
      <c r="R12" s="13">
        <f t="shared" ref="R12" si="19">Q12/10000*M12*H12</f>
        <v>0</v>
      </c>
      <c r="S12" s="13">
        <f t="shared" ref="S12" si="20">IF(P12&lt;=0,ABS(P12)+R12,P12-R12)</f>
        <v>3.2237205611197908</v>
      </c>
      <c r="T12" s="14">
        <f t="shared" ref="T12" si="21">S12/H12</f>
        <v>3.223720561119791E-2</v>
      </c>
      <c r="U12" s="13">
        <f>_xll.dnetGBlackScholesNGreeks("delta",$G12,$H12,$I12,$M12,$C$3,$N12,$O12,$C$4)*E12</f>
        <v>0.56521292114943833</v>
      </c>
      <c r="V12" s="13">
        <f>_xll.dnetGBlackScholesNGreeks("vega",$G12,$H12,$I12,$M12,$C$3,$N12,$O12,$C$4)*E12</f>
        <v>0.19633188313786221</v>
      </c>
    </row>
    <row r="13" spans="1:22">
      <c r="A13" s="63"/>
      <c r="B13" s="13" t="s">
        <v>198</v>
      </c>
      <c r="C13" s="10" t="s">
        <v>187</v>
      </c>
      <c r="D13" s="10" t="s">
        <v>151</v>
      </c>
      <c r="E13" s="10">
        <f t="shared" ref="E13:E14" si="22">IF(D13="中金买入",1,-1)</f>
        <v>1</v>
      </c>
      <c r="F13" s="10" t="s">
        <v>225</v>
      </c>
      <c r="G13" s="10" t="s">
        <v>226</v>
      </c>
      <c r="H13" s="11">
        <v>100</v>
      </c>
      <c r="I13" s="11">
        <f>H13</f>
        <v>100</v>
      </c>
      <c r="J13" s="8">
        <f t="shared" ca="1" si="1"/>
        <v>43105</v>
      </c>
      <c r="K13" s="8">
        <f t="shared" ref="K13:K14" ca="1" si="23">J13+L13</f>
        <v>43286</v>
      </c>
      <c r="L13" s="10">
        <v>181</v>
      </c>
      <c r="M13" s="12">
        <f>(L13)/365</f>
        <v>0.49589041095890413</v>
      </c>
      <c r="N13" s="12">
        <v>3.5000000000000003E-2</v>
      </c>
      <c r="O13" s="9">
        <v>0.14000000000000001</v>
      </c>
      <c r="P13" s="13">
        <f>_xll.dnetGBlackScholesNGreeks("price",$G13,$H13,$I13,$M13,$C$3,$N13,$O13,$C$4)*E13</f>
        <v>4.8541355386410174</v>
      </c>
      <c r="Q13" s="15">
        <v>0</v>
      </c>
      <c r="R13" s="13">
        <f t="shared" ref="R13:R14" si="24">Q13/10000*M13*H13</f>
        <v>0</v>
      </c>
      <c r="S13" s="13">
        <f t="shared" ref="S13:S14" si="25">IF(P13&lt;=0,ABS(P13)+R13,P13-R13)</f>
        <v>4.8541355386410174</v>
      </c>
      <c r="T13" s="14">
        <f t="shared" ref="T13:T14" si="26">S13/H13</f>
        <v>4.8541355386410176E-2</v>
      </c>
      <c r="U13" s="13">
        <f>_xll.dnetGBlackScholesNGreeks("delta",$G13,$H13,$I13,$M13,$C$3,$N13,$O13,$C$4)*E13</f>
        <v>0.59354210129605178</v>
      </c>
      <c r="V13" s="13">
        <f>_xll.dnetGBlackScholesNGreeks("vega",$G13,$H13,$I13,$M13,$C$3,$N13,$O13,$C$4)*E13</f>
        <v>0.27591270283358682</v>
      </c>
    </row>
    <row r="14" spans="1:22">
      <c r="A14" s="6">
        <v>1805</v>
      </c>
      <c r="B14" s="13" t="s">
        <v>198</v>
      </c>
      <c r="C14" s="10" t="s">
        <v>187</v>
      </c>
      <c r="D14" s="10" t="s">
        <v>151</v>
      </c>
      <c r="E14" s="10">
        <f t="shared" si="22"/>
        <v>1</v>
      </c>
      <c r="F14" s="10" t="s">
        <v>227</v>
      </c>
      <c r="G14" s="10" t="s">
        <v>228</v>
      </c>
      <c r="H14" s="11">
        <f>RTD("wdf.rtq",,F14,"LastPrice")</f>
        <v>3796</v>
      </c>
      <c r="I14" s="11">
        <v>4100</v>
      </c>
      <c r="J14" s="8">
        <f t="shared" ca="1" si="1"/>
        <v>43105</v>
      </c>
      <c r="K14" s="8">
        <f t="shared" ca="1" si="23"/>
        <v>43164</v>
      </c>
      <c r="L14" s="10">
        <v>59</v>
      </c>
      <c r="M14" s="12">
        <f>(L14-5)/365</f>
        <v>0.14794520547945206</v>
      </c>
      <c r="N14" s="12">
        <v>0</v>
      </c>
      <c r="O14" s="9">
        <v>0.21</v>
      </c>
      <c r="P14" s="13">
        <f>_xll.dnetGBlackScholesNGreeks("price",$G14,$H14,$I14,$M14,$C$3,$N14,$O14,$C$4)*E14</f>
        <v>28.869997583493159</v>
      </c>
      <c r="Q14" s="15">
        <v>0</v>
      </c>
      <c r="R14" s="13">
        <f t="shared" si="24"/>
        <v>0</v>
      </c>
      <c r="S14" s="13">
        <f t="shared" si="25"/>
        <v>28.869997583493159</v>
      </c>
      <c r="T14" s="14">
        <f t="shared" si="26"/>
        <v>7.6053734413838673E-3</v>
      </c>
      <c r="U14" s="13">
        <f>_xll.dnetGBlackScholesNGreeks("delta",$G14,$H14,$I14,$M14,$C$3,$N14,$O14,$C$4)*E14</f>
        <v>0.17998846212208264</v>
      </c>
      <c r="V14" s="13">
        <f>_xll.dnetGBlackScholesNGreeks("vega",$G14,$H14,$I14,$M14,$C$3,$N14,$O14,$C$4)*E14</f>
        <v>3.8241189654733034</v>
      </c>
    </row>
    <row r="15" spans="1:22">
      <c r="A15" s="63"/>
      <c r="B15" s="13" t="s">
        <v>198</v>
      </c>
      <c r="C15" s="10" t="s">
        <v>187</v>
      </c>
      <c r="D15" s="10" t="s">
        <v>151</v>
      </c>
      <c r="E15" s="10">
        <f t="shared" ref="E15:E16" si="27">IF(D15="中金买入",1,-1)</f>
        <v>1</v>
      </c>
      <c r="F15" s="10" t="s">
        <v>230</v>
      </c>
      <c r="G15" s="10" t="s">
        <v>226</v>
      </c>
      <c r="H15" s="11">
        <f>RTD("wdf.rtq",,F15,"LastPrice")</f>
        <v>15045</v>
      </c>
      <c r="I15" s="11">
        <v>15600</v>
      </c>
      <c r="J15" s="8">
        <f t="shared" ca="1" si="1"/>
        <v>43105</v>
      </c>
      <c r="K15" s="8">
        <f t="shared" ref="K15:K16" ca="1" si="28">J15+L15</f>
        <v>43195</v>
      </c>
      <c r="L15" s="10">
        <v>90</v>
      </c>
      <c r="M15" s="12">
        <f>(L15-5)/365</f>
        <v>0.23287671232876711</v>
      </c>
      <c r="N15" s="12">
        <v>0</v>
      </c>
      <c r="O15" s="9">
        <v>0.11</v>
      </c>
      <c r="P15" s="13">
        <f>_xll.dnetGBlackScholesNGreeks("price",$G15,$H15,$I15,$M15,$C$3,$N15,$O15,$C$4)*E15</f>
        <v>119.11188619332552</v>
      </c>
      <c r="Q15" s="15">
        <v>0</v>
      </c>
      <c r="R15" s="13">
        <f t="shared" ref="R15:R16" si="29">Q15/10000*M15*H15</f>
        <v>0</v>
      </c>
      <c r="S15" s="13">
        <f t="shared" ref="S15:S16" si="30">IF(P15&lt;=0,ABS(P15)+R15,P15-R15)</f>
        <v>119.11188619332552</v>
      </c>
      <c r="T15" s="14">
        <f t="shared" ref="T15:T16" si="31">S15/H15</f>
        <v>7.9170412890213031E-3</v>
      </c>
      <c r="U15" s="13">
        <f>_xll.dnetGBlackScholesNGreeks("delta",$G15,$H15,$I15,$M15,$C$3,$N15,$O15,$C$4)*E15</f>
        <v>0.25476012619947142</v>
      </c>
      <c r="V15" s="13">
        <f>_xll.dnetGBlackScholesNGreeks("vega",$G15,$H15,$I15,$M15,$C$3,$N15,$O15,$C$4)*E15</f>
        <v>23.212324437745792</v>
      </c>
    </row>
    <row r="16" spans="1:22">
      <c r="A16" s="6">
        <v>1805</v>
      </c>
      <c r="B16" s="13" t="s">
        <v>198</v>
      </c>
      <c r="C16" s="10" t="s">
        <v>187</v>
      </c>
      <c r="D16" s="10" t="s">
        <v>151</v>
      </c>
      <c r="E16" s="10">
        <f t="shared" si="27"/>
        <v>1</v>
      </c>
      <c r="F16" s="10" t="s">
        <v>230</v>
      </c>
      <c r="G16" s="10" t="s">
        <v>228</v>
      </c>
      <c r="H16" s="11">
        <f>RTD("wdf.rtq",,F16,"LastPrice")</f>
        <v>15045</v>
      </c>
      <c r="I16" s="11">
        <v>15750</v>
      </c>
      <c r="J16" s="8">
        <f t="shared" ca="1" si="1"/>
        <v>43105</v>
      </c>
      <c r="K16" s="8">
        <f t="shared" ca="1" si="28"/>
        <v>43195</v>
      </c>
      <c r="L16" s="10">
        <v>90</v>
      </c>
      <c r="M16" s="12">
        <f>(L16-5)/365</f>
        <v>0.23287671232876711</v>
      </c>
      <c r="N16" s="12">
        <v>0</v>
      </c>
      <c r="O16" s="9">
        <v>0.11</v>
      </c>
      <c r="P16" s="13">
        <f>_xll.dnetGBlackScholesNGreeks("price",$G16,$H16,$I16,$M16,$C$3,$N16,$O16,$C$4)*E16</f>
        <v>87.401880036144576</v>
      </c>
      <c r="Q16" s="15">
        <v>0</v>
      </c>
      <c r="R16" s="13">
        <f t="shared" si="29"/>
        <v>0</v>
      </c>
      <c r="S16" s="13">
        <f t="shared" si="30"/>
        <v>87.401880036144576</v>
      </c>
      <c r="T16" s="14">
        <f t="shared" si="31"/>
        <v>5.8093639106776059E-3</v>
      </c>
      <c r="U16" s="13">
        <f>_xll.dnetGBlackScholesNGreeks("delta",$G16,$H16,$I16,$M16,$C$3,$N16,$O16,$C$4)*E16</f>
        <v>0.20059681203292712</v>
      </c>
      <c r="V16" s="13">
        <f>_xll.dnetGBlackScholesNGreeks("vega",$G16,$H16,$I16,$M16,$C$3,$N16,$O16,$C$4)*E16</f>
        <v>20.277441965796925</v>
      </c>
    </row>
    <row r="17" spans="1:22">
      <c r="B17" s="13" t="s">
        <v>198</v>
      </c>
      <c r="C17" s="10" t="s">
        <v>187</v>
      </c>
      <c r="D17" s="10" t="s">
        <v>151</v>
      </c>
      <c r="E17" s="10">
        <f t="shared" ref="E17" si="32">IF(D17="中金买入",1,-1)</f>
        <v>1</v>
      </c>
      <c r="F17" s="10" t="s">
        <v>229</v>
      </c>
      <c r="G17" s="10" t="s">
        <v>39</v>
      </c>
      <c r="H17" s="11">
        <f>RTD("wdf.rtq",,F17,"LastPrice")</f>
        <v>15045</v>
      </c>
      <c r="I17" s="10">
        <v>15700</v>
      </c>
      <c r="J17" s="8">
        <f t="shared" ca="1" si="1"/>
        <v>43105</v>
      </c>
      <c r="K17" s="8">
        <f t="shared" ref="K17" ca="1" si="33">J17+L17</f>
        <v>43195</v>
      </c>
      <c r="L17" s="10">
        <v>90</v>
      </c>
      <c r="M17" s="12">
        <f>(L17-5)/365</f>
        <v>0.23287671232876711</v>
      </c>
      <c r="N17" s="12">
        <v>0</v>
      </c>
      <c r="O17" s="9">
        <v>0.11</v>
      </c>
      <c r="P17" s="13">
        <f>_xll.dnetGBlackScholesNGreeks("price",$G17,$H17,$I17,$M17,$C$3,$N17,$O17,$C$4)*E17</f>
        <v>97.112608523444123</v>
      </c>
      <c r="Q17" s="15">
        <v>0</v>
      </c>
      <c r="R17" s="13">
        <f t="shared" ref="R17" si="34">Q17/10000*M17*H17</f>
        <v>0</v>
      </c>
      <c r="S17" s="13">
        <f t="shared" ref="S17" si="35">IF(P17&lt;=0,ABS(P17)+R17,P17-R17)</f>
        <v>97.112608523444123</v>
      </c>
      <c r="T17" s="14">
        <f t="shared" ref="T17" si="36">S17/H17</f>
        <v>6.4548094731435111E-3</v>
      </c>
      <c r="U17" s="13">
        <f>_xll.dnetGBlackScholesNGreeks("delta",$G17,$H17,$I17,$M17,$C$3,$N17,$O17,$C$4)*E17</f>
        <v>0.21778180578166939</v>
      </c>
      <c r="V17" s="13">
        <f>_xll.dnetGBlackScholesNGreeks("vega",$G17,$H17,$I17,$M17,$C$3,$N17,$O17,$C$4)*E17</f>
        <v>21.285402350719323</v>
      </c>
    </row>
    <row r="18" spans="1:22" ht="12" thickBot="1">
      <c r="B18" s="124" t="s">
        <v>198</v>
      </c>
      <c r="C18" s="125" t="s">
        <v>187</v>
      </c>
      <c r="D18" s="125" t="s">
        <v>151</v>
      </c>
      <c r="E18" s="125">
        <f t="shared" ref="E18:E22" si="37">IF(D18="中金买入",1,-1)</f>
        <v>1</v>
      </c>
      <c r="F18" s="125" t="s">
        <v>232</v>
      </c>
      <c r="G18" s="125" t="s">
        <v>231</v>
      </c>
      <c r="H18" s="126">
        <v>3625</v>
      </c>
      <c r="I18" s="125">
        <v>13000</v>
      </c>
      <c r="J18" s="127">
        <f t="shared" ca="1" si="1"/>
        <v>43105</v>
      </c>
      <c r="K18" s="127">
        <f t="shared" ref="K18:K22" ca="1" si="38">J18+L18</f>
        <v>43169</v>
      </c>
      <c r="L18" s="125">
        <v>64</v>
      </c>
      <c r="M18" s="128">
        <f>(L18-5)/365</f>
        <v>0.16164383561643836</v>
      </c>
      <c r="N18" s="128">
        <v>0</v>
      </c>
      <c r="O18" s="129">
        <v>0.18</v>
      </c>
      <c r="P18" s="124">
        <f>_xll.dnetGBlackScholesNGreeks("price",$G18,$H18,$I18,$M18,$C$3,$N18,$O18,$C$4)*E18</f>
        <v>9344.7407194381958</v>
      </c>
      <c r="Q18" s="130">
        <v>0</v>
      </c>
      <c r="R18" s="124">
        <f t="shared" ref="R18:R22" si="39">Q18/10000*M18*H18</f>
        <v>0</v>
      </c>
      <c r="S18" s="124">
        <f t="shared" ref="S18:S22" si="40">IF(P18&lt;=0,ABS(P18)+R18,P18-R18)</f>
        <v>9344.7407194381958</v>
      </c>
      <c r="T18" s="131">
        <f t="shared" ref="T18:T22" si="41">S18/H18</f>
        <v>2.5778595088105369</v>
      </c>
      <c r="U18" s="124">
        <f>_xll.dnetGBlackScholesNGreeks("delta",$G18,$H18,$I18,$M18,$C$3,$N18,$O18,$C$4)*E18</f>
        <v>-0.99677234338741982</v>
      </c>
      <c r="V18" s="124">
        <f>_xll.dnetGBlackScholesNGreeks("vega",$G18,$H18,$I18,$M18,$C$3,$N18,$O18,$C$4)*E18</f>
        <v>0</v>
      </c>
    </row>
    <row r="19" spans="1:22">
      <c r="A19" s="6">
        <v>1805</v>
      </c>
      <c r="B19" s="132" t="s">
        <v>198</v>
      </c>
      <c r="C19" s="133" t="s">
        <v>187</v>
      </c>
      <c r="D19" s="133" t="s">
        <v>20</v>
      </c>
      <c r="E19" s="133">
        <f>IF(D19="中金买入",1,-1)</f>
        <v>-1</v>
      </c>
      <c r="F19" s="133" t="s">
        <v>233</v>
      </c>
      <c r="G19" s="133" t="s">
        <v>238</v>
      </c>
      <c r="H19" s="134">
        <f>RTD("wdf.rtq",,F19,"LastPrice")</f>
        <v>14025</v>
      </c>
      <c r="I19" s="134">
        <v>13000</v>
      </c>
      <c r="J19" s="135">
        <f t="shared" ca="1" si="1"/>
        <v>43105</v>
      </c>
      <c r="K19" s="135">
        <f ca="1">J19+L19</f>
        <v>43192</v>
      </c>
      <c r="L19" s="133">
        <v>87</v>
      </c>
      <c r="M19" s="136">
        <f>(L19)/365</f>
        <v>0.23835616438356164</v>
      </c>
      <c r="N19" s="136">
        <v>0</v>
      </c>
      <c r="O19" s="137">
        <v>0.34499999999999997</v>
      </c>
      <c r="P19" s="138">
        <f>_xll.dnetGBlackScholesNGreeks("price",$G19,$H19,$I19,$M19,$C$3,$N19,$O19,$C$4)*E19</f>
        <v>-482.37066277378108</v>
      </c>
      <c r="Q19" s="139">
        <v>0</v>
      </c>
      <c r="R19" s="138">
        <f>Q19/10000*M19*H19</f>
        <v>0</v>
      </c>
      <c r="S19" s="138">
        <f>IF(P19&lt;=0,ABS(P19)+R19,P19-R19)</f>
        <v>482.37066277378108</v>
      </c>
      <c r="T19" s="140">
        <f>S19/H19</f>
        <v>3.4393630144298117E-2</v>
      </c>
      <c r="U19" s="138">
        <f>_xll.dnetGBlackScholesNGreeks("delta",$G19,$H19,$I19,$M19,$C$3,$N19,$O19,$C$4)*E19</f>
        <v>0.29498809708456974</v>
      </c>
      <c r="V19" s="141">
        <f>_xll.dnetGBlackScholesNGreeks("vega",$G19,$H19,$I19,$M19,$C$3,$N19,$O19,$C$4)*E19</f>
        <v>-23.562238962990023</v>
      </c>
    </row>
    <row r="20" spans="1:22">
      <c r="A20" s="63"/>
      <c r="B20" s="142" t="s">
        <v>198</v>
      </c>
      <c r="C20" s="10" t="s">
        <v>187</v>
      </c>
      <c r="D20" s="10" t="s">
        <v>20</v>
      </c>
      <c r="E20" s="10">
        <f t="shared" si="37"/>
        <v>-1</v>
      </c>
      <c r="F20" s="10" t="s">
        <v>234</v>
      </c>
      <c r="G20" s="10" t="s">
        <v>238</v>
      </c>
      <c r="H20" s="11">
        <f>RTD("wdf.rtq",,F20,"LastPrice")</f>
        <v>1332.5</v>
      </c>
      <c r="I20" s="11">
        <v>1200</v>
      </c>
      <c r="J20" s="8">
        <f t="shared" ca="1" si="1"/>
        <v>43105</v>
      </c>
      <c r="K20" s="8">
        <f t="shared" ca="1" si="38"/>
        <v>43191</v>
      </c>
      <c r="L20" s="10">
        <v>86</v>
      </c>
      <c r="M20" s="12">
        <f t="shared" ref="M20:M23" si="42">(L20)/365</f>
        <v>0.23561643835616439</v>
      </c>
      <c r="N20" s="12">
        <v>0</v>
      </c>
      <c r="O20" s="9">
        <v>0.39</v>
      </c>
      <c r="P20" s="13">
        <f>_xll.dnetGBlackScholesNGreeks("price",$G20,$H20,$I20,$M20,$C$3,$N20,$O20,$C$4)*E20</f>
        <v>-43.227515758730021</v>
      </c>
      <c r="Q20" s="15">
        <v>0</v>
      </c>
      <c r="R20" s="13">
        <f t="shared" si="39"/>
        <v>0</v>
      </c>
      <c r="S20" s="13">
        <f t="shared" si="40"/>
        <v>43.227515758730021</v>
      </c>
      <c r="T20" s="14">
        <f t="shared" si="41"/>
        <v>3.2440912389290824E-2</v>
      </c>
      <c r="U20" s="13">
        <f>_xll.dnetGBlackScholesNGreeks("delta",$G20,$H20,$I20,$M20,$C$3,$N20,$O20,$C$4)*E20</f>
        <v>0.25730646928820988</v>
      </c>
      <c r="V20" s="143">
        <f>_xll.dnetGBlackScholesNGreeks("vega",$G20,$H20,$I20,$M20,$C$3,$N20,$O20,$C$4)*E20</f>
        <v>-2.0817959191370221</v>
      </c>
    </row>
    <row r="21" spans="1:22">
      <c r="A21" s="6">
        <v>1805</v>
      </c>
      <c r="B21" s="142" t="s">
        <v>198</v>
      </c>
      <c r="C21" s="10" t="s">
        <v>187</v>
      </c>
      <c r="D21" s="10" t="s">
        <v>20</v>
      </c>
      <c r="E21" s="10">
        <f t="shared" si="37"/>
        <v>-1</v>
      </c>
      <c r="F21" s="10" t="s">
        <v>235</v>
      </c>
      <c r="G21" s="10" t="s">
        <v>238</v>
      </c>
      <c r="H21" s="11">
        <f>RTD("wdf.rtq",,F21,"LastPrice")</f>
        <v>530</v>
      </c>
      <c r="I21" s="11">
        <v>450</v>
      </c>
      <c r="J21" s="8">
        <f t="shared" ca="1" si="1"/>
        <v>43105</v>
      </c>
      <c r="K21" s="8">
        <f t="shared" ca="1" si="38"/>
        <v>43205</v>
      </c>
      <c r="L21" s="10">
        <v>100</v>
      </c>
      <c r="M21" s="12">
        <f t="shared" si="42"/>
        <v>0.27397260273972601</v>
      </c>
      <c r="N21" s="12">
        <v>0</v>
      </c>
      <c r="O21" s="9">
        <v>0.34</v>
      </c>
      <c r="P21" s="13">
        <f>_xll.dnetGBlackScholesNGreeks("price",$G21,$H21,$I21,$M21,$C$3,$N21,$O21,$C$4)*E21</f>
        <v>-8.3553251191831919</v>
      </c>
      <c r="Q21" s="15">
        <v>0</v>
      </c>
      <c r="R21" s="13">
        <f t="shared" si="39"/>
        <v>0</v>
      </c>
      <c r="S21" s="13">
        <f t="shared" si="40"/>
        <v>8.3553251191831919</v>
      </c>
      <c r="T21" s="14">
        <f t="shared" si="41"/>
        <v>1.5764764375817343E-2</v>
      </c>
      <c r="U21" s="13">
        <f>_xll.dnetGBlackScholesNGreeks("delta",$G21,$H21,$I21,$M21,$C$3,$N21,$O21,$C$4)*E21</f>
        <v>0.15576727516801725</v>
      </c>
      <c r="V21" s="143">
        <f>_xll.dnetGBlackScholesNGreeks("vega",$G21,$H21,$I21,$M21,$C$3,$N21,$O21,$C$4)*E21</f>
        <v>-0.66178812334905501</v>
      </c>
    </row>
    <row r="22" spans="1:22">
      <c r="B22" s="142" t="s">
        <v>198</v>
      </c>
      <c r="C22" s="10" t="s">
        <v>187</v>
      </c>
      <c r="D22" s="10" t="s">
        <v>20</v>
      </c>
      <c r="E22" s="10">
        <f t="shared" si="37"/>
        <v>-1</v>
      </c>
      <c r="F22" s="10" t="s">
        <v>236</v>
      </c>
      <c r="G22" s="10" t="s">
        <v>39</v>
      </c>
      <c r="H22" s="11">
        <f>RTD("wdf.rtq",,F22,"LastPrice")</f>
        <v>3762</v>
      </c>
      <c r="I22" s="10">
        <v>4000</v>
      </c>
      <c r="J22" s="8">
        <f t="shared" ca="1" si="1"/>
        <v>43105</v>
      </c>
      <c r="K22" s="8">
        <f t="shared" ca="1" si="38"/>
        <v>43205</v>
      </c>
      <c r="L22" s="10">
        <v>100</v>
      </c>
      <c r="M22" s="12">
        <f t="shared" si="42"/>
        <v>0.27397260273972601</v>
      </c>
      <c r="N22" s="12">
        <v>0</v>
      </c>
      <c r="O22" s="9">
        <v>0.26</v>
      </c>
      <c r="P22" s="13">
        <f>_xll.dnetGBlackScholesNGreeks("price",$G22,$H22,$I22,$M22,$C$3,$N22,$O22,$C$4)*E22</f>
        <v>-111.92426088410116</v>
      </c>
      <c r="Q22" s="15">
        <v>0</v>
      </c>
      <c r="R22" s="13">
        <f t="shared" si="39"/>
        <v>0</v>
      </c>
      <c r="S22" s="13">
        <f t="shared" si="40"/>
        <v>111.92426088410116</v>
      </c>
      <c r="T22" s="14">
        <f t="shared" si="41"/>
        <v>2.9751265519431462E-2</v>
      </c>
      <c r="U22" s="13">
        <f>_xll.dnetGBlackScholesNGreeks("delta",$G22,$H22,$I22,$M22,$C$3,$N22,$O22,$C$4)*E22</f>
        <v>-0.34904882289765737</v>
      </c>
      <c r="V22" s="143">
        <f>_xll.dnetGBlackScholesNGreeks("vega",$G22,$H22,$I22,$M22,$C$3,$N22,$O22,$C$4)*E22</f>
        <v>-7.2599877740797183</v>
      </c>
    </row>
    <row r="23" spans="1:22" ht="12" thickBot="1">
      <c r="B23" s="144" t="s">
        <v>198</v>
      </c>
      <c r="C23" s="145" t="s">
        <v>187</v>
      </c>
      <c r="D23" s="145" t="s">
        <v>20</v>
      </c>
      <c r="E23" s="145">
        <f t="shared" ref="E23:E26" si="43">IF(D23="中金买入",1,-1)</f>
        <v>-1</v>
      </c>
      <c r="F23" s="145" t="s">
        <v>237</v>
      </c>
      <c r="G23" s="145" t="s">
        <v>231</v>
      </c>
      <c r="H23" s="146">
        <v>3625</v>
      </c>
      <c r="I23" s="145">
        <v>3450</v>
      </c>
      <c r="J23" s="147">
        <f t="shared" ca="1" si="1"/>
        <v>43105</v>
      </c>
      <c r="K23" s="147">
        <f t="shared" ref="K23:K26" ca="1" si="44">J23+L23</f>
        <v>43205</v>
      </c>
      <c r="L23" s="145">
        <v>100</v>
      </c>
      <c r="M23" s="148">
        <f t="shared" si="42"/>
        <v>0.27397260273972601</v>
      </c>
      <c r="N23" s="148">
        <v>0</v>
      </c>
      <c r="O23" s="149">
        <v>0.26</v>
      </c>
      <c r="P23" s="150">
        <f>_xll.dnetGBlackScholesNGreeks("price",$G23,$H23,$I23,$M23,$C$3,$N23,$O23,$C$4)*E23</f>
        <v>-116.29546041208255</v>
      </c>
      <c r="Q23" s="151">
        <v>0</v>
      </c>
      <c r="R23" s="150">
        <f t="shared" ref="R23:R26" si="45">Q23/10000*M23*H23</f>
        <v>0</v>
      </c>
      <c r="S23" s="150">
        <f t="shared" ref="S23:S26" si="46">IF(P23&lt;=0,ABS(P23)+R23,P23-R23)</f>
        <v>116.29546041208255</v>
      </c>
      <c r="T23" s="152">
        <f t="shared" ref="T23:T26" si="47">S23/H23</f>
        <v>3.2081506320574493E-2</v>
      </c>
      <c r="U23" s="150">
        <f>_xll.dnetGBlackScholesNGreeks("delta",$G23,$H23,$I23,$M23,$C$3,$N23,$O23,$C$4)*E23</f>
        <v>0.33118625079850972</v>
      </c>
      <c r="V23" s="153">
        <f>_xll.dnetGBlackScholesNGreeks("vega",$G23,$H23,$I23,$M23,$C$3,$N23,$O23,$C$4)*E23</f>
        <v>-6.8579699558970333</v>
      </c>
    </row>
    <row r="24" spans="1:22">
      <c r="B24" s="124" t="s">
        <v>198</v>
      </c>
      <c r="C24" s="125" t="s">
        <v>187</v>
      </c>
      <c r="D24" s="125" t="s">
        <v>151</v>
      </c>
      <c r="E24" s="125">
        <f t="shared" si="43"/>
        <v>1</v>
      </c>
      <c r="F24" s="125" t="s">
        <v>232</v>
      </c>
      <c r="G24" s="125" t="s">
        <v>231</v>
      </c>
      <c r="H24" s="126">
        <v>3625</v>
      </c>
      <c r="I24" s="125">
        <v>3450</v>
      </c>
      <c r="J24" s="127">
        <f t="shared" ca="1" si="1"/>
        <v>43105</v>
      </c>
      <c r="K24" s="127">
        <f t="shared" ca="1" si="44"/>
        <v>43168</v>
      </c>
      <c r="L24" s="125">
        <v>63</v>
      </c>
      <c r="M24" s="128">
        <f>(L24-5)/365</f>
        <v>0.15890410958904111</v>
      </c>
      <c r="N24" s="128">
        <v>0</v>
      </c>
      <c r="O24" s="129">
        <v>0.18</v>
      </c>
      <c r="P24" s="124">
        <f>_xll.dnetGBlackScholesNGreeks("price",$G24,$H24,$I24,$M24,$C$3,$N24,$O24,$C$4)*E24</f>
        <v>36.768584211504503</v>
      </c>
      <c r="Q24" s="130">
        <v>0</v>
      </c>
      <c r="R24" s="124">
        <f t="shared" si="45"/>
        <v>0</v>
      </c>
      <c r="S24" s="124">
        <f t="shared" si="46"/>
        <v>36.768584211504503</v>
      </c>
      <c r="T24" s="131">
        <f t="shared" si="47"/>
        <v>1.0143057713518484E-2</v>
      </c>
      <c r="U24" s="124">
        <f>_xll.dnetGBlackScholesNGreeks("delta",$G24,$H24,$I24,$M24,$C$3,$N24,$O24,$C$4)*E24</f>
        <v>-0.23334059399644502</v>
      </c>
      <c r="V24" s="124">
        <f>_xll.dnetGBlackScholesNGreeks("vega",$G24,$H24,$I24,$M24,$C$3,$N24,$O24,$C$4)*E24</f>
        <v>4.4141957453176133</v>
      </c>
    </row>
    <row r="25" spans="1:22">
      <c r="B25" s="124" t="s">
        <v>198</v>
      </c>
      <c r="C25" s="125" t="s">
        <v>187</v>
      </c>
      <c r="D25" s="125" t="s">
        <v>151</v>
      </c>
      <c r="E25" s="125">
        <f t="shared" si="43"/>
        <v>1</v>
      </c>
      <c r="F25" s="125" t="s">
        <v>232</v>
      </c>
      <c r="G25" s="125" t="s">
        <v>231</v>
      </c>
      <c r="H25" s="126">
        <v>3625</v>
      </c>
      <c r="I25" s="125">
        <v>3500</v>
      </c>
      <c r="J25" s="127">
        <f t="shared" ca="1" si="1"/>
        <v>43105</v>
      </c>
      <c r="K25" s="127">
        <f t="shared" ca="1" si="44"/>
        <v>43168</v>
      </c>
      <c r="L25" s="125">
        <v>63</v>
      </c>
      <c r="M25" s="128">
        <f>(L25-5)/365</f>
        <v>0.15890410958904111</v>
      </c>
      <c r="N25" s="128">
        <v>0</v>
      </c>
      <c r="O25" s="129">
        <v>0.18</v>
      </c>
      <c r="P25" s="124">
        <f>_xll.dnetGBlackScholesNGreeks("price",$G25,$H25,$I25,$M25,$C$3,$N25,$O25,$C$4)*E25</f>
        <v>51.241420768475791</v>
      </c>
      <c r="Q25" s="130">
        <v>0</v>
      </c>
      <c r="R25" s="124">
        <f t="shared" si="45"/>
        <v>0</v>
      </c>
      <c r="S25" s="124">
        <f t="shared" si="46"/>
        <v>51.241420768475791</v>
      </c>
      <c r="T25" s="131">
        <f t="shared" si="47"/>
        <v>1.4135564349924357E-2</v>
      </c>
      <c r="U25" s="124">
        <f>_xll.dnetGBlackScholesNGreeks("delta",$G25,$H25,$I25,$M25,$C$3,$N25,$O25,$C$4)*E25</f>
        <v>-0.29886332683872752</v>
      </c>
      <c r="V25" s="124">
        <f>_xll.dnetGBlackScholesNGreeks("vega",$G25,$H25,$I25,$M25,$C$3,$N25,$O25,$C$4)*E25</f>
        <v>5.0051950537351786</v>
      </c>
    </row>
    <row r="26" spans="1:22">
      <c r="B26" s="124" t="s">
        <v>198</v>
      </c>
      <c r="C26" s="125" t="s">
        <v>187</v>
      </c>
      <c r="D26" s="125" t="s">
        <v>151</v>
      </c>
      <c r="E26" s="125">
        <f t="shared" si="43"/>
        <v>1</v>
      </c>
      <c r="F26" s="125" t="s">
        <v>232</v>
      </c>
      <c r="G26" s="125" t="s">
        <v>231</v>
      </c>
      <c r="H26" s="126">
        <v>3625</v>
      </c>
      <c r="I26" s="125">
        <v>3550</v>
      </c>
      <c r="J26" s="127">
        <f t="shared" ca="1" si="1"/>
        <v>43105</v>
      </c>
      <c r="K26" s="127">
        <f t="shared" ca="1" si="44"/>
        <v>43168</v>
      </c>
      <c r="L26" s="125">
        <v>63</v>
      </c>
      <c r="M26" s="128">
        <f>(L26-5)/365</f>
        <v>0.15890410958904111</v>
      </c>
      <c r="N26" s="128">
        <v>0</v>
      </c>
      <c r="O26" s="129">
        <v>0.18</v>
      </c>
      <c r="P26" s="124">
        <f>_xll.dnetGBlackScholesNGreeks("price",$G26,$H26,$I26,$M26,$C$3,$N26,$O26,$C$4)*E26</f>
        <v>69.276335928502931</v>
      </c>
      <c r="Q26" s="130">
        <v>0</v>
      </c>
      <c r="R26" s="124">
        <f t="shared" si="45"/>
        <v>0</v>
      </c>
      <c r="S26" s="124">
        <f t="shared" si="46"/>
        <v>69.276335928502931</v>
      </c>
      <c r="T26" s="131">
        <f t="shared" si="47"/>
        <v>1.9110713359587014E-2</v>
      </c>
      <c r="U26" s="124">
        <f>_xll.dnetGBlackScholesNGreeks("delta",$G26,$H26,$I26,$M26,$C$3,$N26,$O26,$C$4)*E26</f>
        <v>-0.37056111140145731</v>
      </c>
      <c r="V26" s="124">
        <f>_xll.dnetGBlackScholesNGreeks("vega",$G26,$H26,$I26,$M26,$C$3,$N26,$O26,$C$4)*E26</f>
        <v>5.4462208613784924</v>
      </c>
    </row>
    <row r="27" spans="1:22">
      <c r="B27" s="124" t="s">
        <v>241</v>
      </c>
      <c r="C27" s="125" t="s">
        <v>187</v>
      </c>
      <c r="D27" s="125" t="s">
        <v>151</v>
      </c>
      <c r="E27" s="125">
        <f t="shared" ref="E27" si="48">IF(D27="中金买入",1,-1)</f>
        <v>1</v>
      </c>
      <c r="F27" s="125" t="s">
        <v>240</v>
      </c>
      <c r="G27" s="125" t="s">
        <v>39</v>
      </c>
      <c r="H27" s="126">
        <f>RTD("wdf.rtq",,F27,"LastPrice")</f>
        <v>2043</v>
      </c>
      <c r="I27" s="125">
        <v>2112</v>
      </c>
      <c r="J27" s="127">
        <f t="shared" ca="1" si="1"/>
        <v>43105</v>
      </c>
      <c r="K27" s="127">
        <f t="shared" ref="K27" ca="1" si="49">J27+L27</f>
        <v>43120</v>
      </c>
      <c r="L27" s="125">
        <v>15</v>
      </c>
      <c r="M27" s="128">
        <f>(L27)/365</f>
        <v>4.1095890410958902E-2</v>
      </c>
      <c r="N27" s="128">
        <v>0</v>
      </c>
      <c r="O27" s="129">
        <v>0.28999999999999998</v>
      </c>
      <c r="P27" s="124">
        <f>_xll.dnetGBlackScholesNGreeks("price",$G27,$H27,$I27,$M27,$C$3,$N27,$O27,$C$4)*E27</f>
        <v>21.772212841320879</v>
      </c>
      <c r="Q27" s="130">
        <v>0</v>
      </c>
      <c r="R27" s="124">
        <f t="shared" ref="R27" si="50">Q27/10000*M27*H27</f>
        <v>0</v>
      </c>
      <c r="S27" s="124">
        <f t="shared" ref="S27" si="51">IF(P27&lt;=0,ABS(P27)+R27,P27-R27)</f>
        <v>21.772212841320879</v>
      </c>
      <c r="T27" s="131">
        <f t="shared" ref="T27" si="52">S27/H27</f>
        <v>1.0656981322232442E-2</v>
      </c>
      <c r="U27" s="124">
        <f>_xll.dnetGBlackScholesNGreeks("delta",$G27,$H27,$I27,$M27,$C$3,$N27,$O27,$C$4)*E27</f>
        <v>0.29587130457002786</v>
      </c>
      <c r="V27" s="124">
        <f>_xll.dnetGBlackScholesNGreeks("vega",$G27,$H27,$I27,$M27,$C$3,$N27,$O27,$C$4)*E27</f>
        <v>1.4300538933421194</v>
      </c>
    </row>
    <row r="28" spans="1:22">
      <c r="B28" s="124" t="s">
        <v>198</v>
      </c>
      <c r="C28" s="125" t="s">
        <v>187</v>
      </c>
      <c r="D28" s="125" t="s">
        <v>151</v>
      </c>
      <c r="E28" s="125">
        <f t="shared" ref="E28:E30" si="53">IF(D28="中金买入",1,-1)</f>
        <v>1</v>
      </c>
      <c r="F28" s="125" t="s">
        <v>240</v>
      </c>
      <c r="G28" s="125" t="s">
        <v>85</v>
      </c>
      <c r="H28" s="126">
        <f>RTD("wdf.rtq",,F28,"LastPrice")</f>
        <v>2043</v>
      </c>
      <c r="I28" s="125">
        <v>2032</v>
      </c>
      <c r="J28" s="127">
        <f t="shared" ca="1" si="1"/>
        <v>43105</v>
      </c>
      <c r="K28" s="127">
        <f t="shared" ref="K28:K30" ca="1" si="54">J28+L28</f>
        <v>43120</v>
      </c>
      <c r="L28" s="125">
        <v>15</v>
      </c>
      <c r="M28" s="128">
        <f>(L28)/365</f>
        <v>4.1095890410958902E-2</v>
      </c>
      <c r="N28" s="128">
        <v>0</v>
      </c>
      <c r="O28" s="129">
        <v>0.28999999999999998</v>
      </c>
      <c r="P28" s="124">
        <f>_xll.dnetGBlackScholesNGreeks("price",$G28,$H28,$I28,$M28,$C$3,$N28,$O28,$C$4)*E28</f>
        <v>42.445949843370954</v>
      </c>
      <c r="Q28" s="130">
        <v>0</v>
      </c>
      <c r="R28" s="124">
        <f t="shared" ref="R28:R30" si="55">Q28/10000*M28*H28</f>
        <v>0</v>
      </c>
      <c r="S28" s="124">
        <f t="shared" ref="S28:S30" si="56">IF(P28&lt;=0,ABS(P28)+R28,P28-R28)</f>
        <v>42.445949843370954</v>
      </c>
      <c r="T28" s="131">
        <f t="shared" ref="T28:T30" si="57">S28/H28</f>
        <v>2.0776284798517355E-2</v>
      </c>
      <c r="U28" s="124">
        <f>_xll.dnetGBlackScholesNGreeks("delta",$G28,$H28,$I28,$M28,$C$3,$N28,$O28,$C$4)*E28</f>
        <v>-0.45138422519244159</v>
      </c>
      <c r="V28" s="124">
        <f>_xll.dnetGBlackScholesNGreeks("vega",$G28,$H28,$I28,$M28,$C$3,$N28,$O28,$C$4)*E28</f>
        <v>1.6388047011682829</v>
      </c>
    </row>
    <row r="29" spans="1:22" ht="12" thickBot="1">
      <c r="B29" s="124" t="s">
        <v>198</v>
      </c>
      <c r="C29" s="125" t="s">
        <v>187</v>
      </c>
      <c r="D29" s="125" t="s">
        <v>151</v>
      </c>
      <c r="E29" s="125">
        <f t="shared" si="53"/>
        <v>1</v>
      </c>
      <c r="F29" s="125" t="s">
        <v>232</v>
      </c>
      <c r="G29" s="125" t="s">
        <v>231</v>
      </c>
      <c r="H29" s="126">
        <f>RTD("wdf.rtq",,F29,"LastPrice")</f>
        <v>3601</v>
      </c>
      <c r="I29" s="125">
        <v>3550</v>
      </c>
      <c r="J29" s="127">
        <f t="shared" ca="1" si="1"/>
        <v>43105</v>
      </c>
      <c r="K29" s="127">
        <f t="shared" ca="1" si="54"/>
        <v>43168</v>
      </c>
      <c r="L29" s="125">
        <v>63</v>
      </c>
      <c r="M29" s="128">
        <f>(L29-5)/365</f>
        <v>0.15890410958904111</v>
      </c>
      <c r="N29" s="128">
        <v>0</v>
      </c>
      <c r="O29" s="129">
        <v>0.17</v>
      </c>
      <c r="P29" s="124">
        <f>_xll.dnetGBlackScholesNGreeks("price",$G29,$H29,$I29,$M29,$C$3,$N29,$O29,$C$4)*E29</f>
        <v>73.044858158979878</v>
      </c>
      <c r="Q29" s="130">
        <v>0</v>
      </c>
      <c r="R29" s="124">
        <f t="shared" si="55"/>
        <v>0</v>
      </c>
      <c r="S29" s="124">
        <f t="shared" si="56"/>
        <v>73.044858158979878</v>
      </c>
      <c r="T29" s="131">
        <f t="shared" si="57"/>
        <v>2.0284603765337372E-2</v>
      </c>
      <c r="U29" s="124">
        <f>_xll.dnetGBlackScholesNGreeks("delta",$G29,$H29,$I29,$M29,$C$3,$N29,$O29,$C$4)*E29</f>
        <v>-0.40219195373083494</v>
      </c>
      <c r="V29" s="124">
        <f>_xll.dnetGBlackScholesNGreeks("vega",$G29,$H29,$I29,$M29,$C$3,$N29,$O29,$C$4)*E29</f>
        <v>5.5401306256228509</v>
      </c>
    </row>
    <row r="30" spans="1:22">
      <c r="B30" s="155" t="s">
        <v>241</v>
      </c>
      <c r="C30" s="156" t="s">
        <v>187</v>
      </c>
      <c r="D30" s="156" t="s">
        <v>151</v>
      </c>
      <c r="E30" s="156">
        <f t="shared" si="53"/>
        <v>1</v>
      </c>
      <c r="F30" s="156" t="s">
        <v>243</v>
      </c>
      <c r="G30" s="156" t="s">
        <v>85</v>
      </c>
      <c r="H30" s="157">
        <f>RTD("wdf.rtq",,F30,"LastPrice")</f>
        <v>3664</v>
      </c>
      <c r="I30" s="156">
        <v>3500</v>
      </c>
      <c r="J30" s="158">
        <f t="shared" ca="1" si="1"/>
        <v>43105</v>
      </c>
      <c r="K30" s="158">
        <f t="shared" ca="1" si="54"/>
        <v>43168</v>
      </c>
      <c r="L30" s="156">
        <v>63</v>
      </c>
      <c r="M30" s="159">
        <f>(L30-5)/365</f>
        <v>0.15890410958904111</v>
      </c>
      <c r="N30" s="159">
        <v>0</v>
      </c>
      <c r="O30" s="160">
        <v>0.19</v>
      </c>
      <c r="P30" s="161">
        <f>_xll.dnetGBlackScholesNGreeks("price",$G30,$H30,$I30,$M30,$C$3,$N30,$O30,$C$4)*E30</f>
        <v>45.245292753506419</v>
      </c>
      <c r="Q30" s="162">
        <v>0</v>
      </c>
      <c r="R30" s="161">
        <f t="shared" si="55"/>
        <v>0</v>
      </c>
      <c r="S30" s="161">
        <f t="shared" si="56"/>
        <v>45.245292753506419</v>
      </c>
      <c r="T30" s="163">
        <f t="shared" si="57"/>
        <v>1.2348606100847821E-2</v>
      </c>
      <c r="U30" s="161">
        <f>_xll.dnetGBlackScholesNGreeks("delta",$G30,$H30,$I30,$M30,$C$3,$N30,$O30,$C$4)*E30</f>
        <v>-0.25945607682729133</v>
      </c>
      <c r="V30" s="164">
        <f>_xll.dnetGBlackScholesNGreeks("vega",$G30,$H30,$I30,$M30,$C$3,$N30,$O30,$C$4)*E30</f>
        <v>4.7230847430070639</v>
      </c>
    </row>
    <row r="31" spans="1:22">
      <c r="B31" s="165" t="s">
        <v>198</v>
      </c>
      <c r="C31" s="125" t="s">
        <v>187</v>
      </c>
      <c r="D31" s="125" t="s">
        <v>151</v>
      </c>
      <c r="E31" s="125">
        <f t="shared" ref="E31:E33" si="58">IF(D31="中金买入",1,-1)</f>
        <v>1</v>
      </c>
      <c r="F31" s="125" t="s">
        <v>243</v>
      </c>
      <c r="G31" s="125" t="s">
        <v>85</v>
      </c>
      <c r="H31" s="126">
        <f>RTD("wdf.rtq",,F31,"LastPrice")</f>
        <v>3664</v>
      </c>
      <c r="I31" s="125">
        <v>3550</v>
      </c>
      <c r="J31" s="127">
        <f t="shared" ca="1" si="1"/>
        <v>43105</v>
      </c>
      <c r="K31" s="127">
        <f t="shared" ref="K31:K33" ca="1" si="59">J31+L31</f>
        <v>43168</v>
      </c>
      <c r="L31" s="125">
        <v>63</v>
      </c>
      <c r="M31" s="128">
        <f>(L31-5)/365</f>
        <v>0.15890410958904111</v>
      </c>
      <c r="N31" s="128">
        <v>0</v>
      </c>
      <c r="O31" s="129">
        <v>0.19</v>
      </c>
      <c r="P31" s="124">
        <f>_xll.dnetGBlackScholesNGreeks("price",$G31,$H31,$I31,$M31,$C$3,$N31,$O31,$C$4)*E31</f>
        <v>61.114659612544301</v>
      </c>
      <c r="Q31" s="130">
        <v>0</v>
      </c>
      <c r="R31" s="124">
        <f t="shared" ref="R31:R33" si="60">Q31/10000*M31*H31</f>
        <v>0</v>
      </c>
      <c r="S31" s="124">
        <f t="shared" ref="S31:S33" si="61">IF(P31&lt;=0,ABS(P31)+R31,P31-R31)</f>
        <v>61.114659612544301</v>
      </c>
      <c r="T31" s="131">
        <f t="shared" ref="T31:T33" si="62">S31/H31</f>
        <v>1.6679765178096152E-2</v>
      </c>
      <c r="U31" s="124">
        <f>_xll.dnetGBlackScholesNGreeks("delta",$G31,$H31,$I31,$M31,$C$3,$N31,$O31,$C$4)*E31</f>
        <v>-0.32345524900847522</v>
      </c>
      <c r="V31" s="166">
        <f>_xll.dnetGBlackScholesNGreeks("vega",$G31,$H31,$I31,$M31,$C$3,$N31,$O31,$C$4)*E31</f>
        <v>5.2355260051872392</v>
      </c>
    </row>
    <row r="32" spans="1:22" ht="12" thickBot="1">
      <c r="B32" s="144" t="s">
        <v>198</v>
      </c>
      <c r="C32" s="145" t="s">
        <v>187</v>
      </c>
      <c r="D32" s="145" t="s">
        <v>151</v>
      </c>
      <c r="E32" s="145">
        <f t="shared" si="58"/>
        <v>1</v>
      </c>
      <c r="F32" s="145" t="s">
        <v>243</v>
      </c>
      <c r="G32" s="145" t="s">
        <v>231</v>
      </c>
      <c r="H32" s="146">
        <f>RTD("wdf.rtq",,F32,"LastPrice")</f>
        <v>3664</v>
      </c>
      <c r="I32" s="145">
        <v>3600</v>
      </c>
      <c r="J32" s="147">
        <f t="shared" ca="1" si="1"/>
        <v>43105</v>
      </c>
      <c r="K32" s="147">
        <f t="shared" ca="1" si="59"/>
        <v>43168</v>
      </c>
      <c r="L32" s="145">
        <v>63</v>
      </c>
      <c r="M32" s="148">
        <f>(L32-5)/365</f>
        <v>0.15890410958904111</v>
      </c>
      <c r="N32" s="148">
        <v>0</v>
      </c>
      <c r="O32" s="149">
        <v>0.19</v>
      </c>
      <c r="P32" s="150">
        <f>_xll.dnetGBlackScholesNGreeks("price",$G32,$H32,$I32,$M32,$C$3,$N32,$O32,$C$4)*E32</f>
        <v>80.415587988584548</v>
      </c>
      <c r="Q32" s="151">
        <v>0</v>
      </c>
      <c r="R32" s="150">
        <f t="shared" si="60"/>
        <v>0</v>
      </c>
      <c r="S32" s="150">
        <f t="shared" si="61"/>
        <v>80.415587988584548</v>
      </c>
      <c r="T32" s="152">
        <f t="shared" si="62"/>
        <v>2.194748580474469E-2</v>
      </c>
      <c r="U32" s="150">
        <f>_xll.dnetGBlackScholesNGreeks("delta",$G32,$H32,$I32,$M32,$C$3,$N32,$O32,$C$4)*E32</f>
        <v>-0.39212770091126004</v>
      </c>
      <c r="V32" s="153">
        <f>_xll.dnetGBlackScholesNGreeks("vega",$G32,$H32,$I32,$M32,$C$3,$N32,$O32,$C$4)*E32</f>
        <v>5.5992278192871936</v>
      </c>
    </row>
    <row r="33" spans="2:22">
      <c r="B33" s="155" t="s">
        <v>241</v>
      </c>
      <c r="C33" s="156" t="s">
        <v>187</v>
      </c>
      <c r="D33" s="156" t="s">
        <v>151</v>
      </c>
      <c r="E33" s="156">
        <f t="shared" si="58"/>
        <v>1</v>
      </c>
      <c r="F33" s="156" t="s">
        <v>245</v>
      </c>
      <c r="G33" s="156" t="s">
        <v>85</v>
      </c>
      <c r="H33" s="157">
        <v>546</v>
      </c>
      <c r="I33" s="157">
        <v>510</v>
      </c>
      <c r="J33" s="158">
        <f t="shared" ca="1" si="1"/>
        <v>43105</v>
      </c>
      <c r="K33" s="158">
        <f t="shared" ca="1" si="59"/>
        <v>43137</v>
      </c>
      <c r="L33" s="156">
        <v>32</v>
      </c>
      <c r="M33" s="159">
        <f t="shared" ref="M33:M38" si="63">(L33)/365</f>
        <v>8.7671232876712329E-2</v>
      </c>
      <c r="N33" s="159">
        <v>0</v>
      </c>
      <c r="O33" s="160">
        <v>0.32</v>
      </c>
      <c r="P33" s="161">
        <f>_xll.dnetGBlackScholesNGreeks("price",$G33,$H33,$I33,$M33,$C$3,$N33,$O33,$C$4)*E33</f>
        <v>6.8898925316476607</v>
      </c>
      <c r="Q33" s="162">
        <v>0</v>
      </c>
      <c r="R33" s="161">
        <f t="shared" si="60"/>
        <v>0</v>
      </c>
      <c r="S33" s="161">
        <f t="shared" si="61"/>
        <v>6.8898925316476607</v>
      </c>
      <c r="T33" s="163">
        <f t="shared" si="62"/>
        <v>1.2618850790563482E-2</v>
      </c>
      <c r="U33" s="161">
        <f>_xll.dnetGBlackScholesNGreeks("delta",$G33,$H33,$I33,$M33,$C$3,$N33,$O33,$C$4)*E33</f>
        <v>-0.22107785454039686</v>
      </c>
      <c r="V33" s="164">
        <f>_xll.dnetGBlackScholesNGreeks("vega",$G33,$H33,$I33,$M33,$C$3,$N33,$O33,$C$4)*E33</f>
        <v>0.47956686540241833</v>
      </c>
    </row>
    <row r="34" spans="2:22">
      <c r="B34" s="165" t="s">
        <v>198</v>
      </c>
      <c r="C34" s="125" t="s">
        <v>187</v>
      </c>
      <c r="D34" s="125" t="s">
        <v>151</v>
      </c>
      <c r="E34" s="125">
        <f t="shared" ref="E34" si="64">IF(D34="中金买入",1,-1)</f>
        <v>1</v>
      </c>
      <c r="F34" s="125" t="s">
        <v>245</v>
      </c>
      <c r="G34" s="125" t="s">
        <v>85</v>
      </c>
      <c r="H34" s="126">
        <v>546</v>
      </c>
      <c r="I34" s="126">
        <v>520</v>
      </c>
      <c r="J34" s="127">
        <f t="shared" ca="1" si="1"/>
        <v>43105</v>
      </c>
      <c r="K34" s="127">
        <f t="shared" ref="K34" ca="1" si="65">J34+L34</f>
        <v>43137</v>
      </c>
      <c r="L34" s="125">
        <v>32</v>
      </c>
      <c r="M34" s="128">
        <f t="shared" si="63"/>
        <v>8.7671232876712329E-2</v>
      </c>
      <c r="N34" s="128">
        <v>0</v>
      </c>
      <c r="O34" s="129">
        <v>0.32</v>
      </c>
      <c r="P34" s="124">
        <f>_xll.dnetGBlackScholesNGreeks("price",$G34,$H34,$I34,$M34,$C$3,$N34,$O34,$C$4)*E34</f>
        <v>9.7326858104572409</v>
      </c>
      <c r="Q34" s="130">
        <v>0</v>
      </c>
      <c r="R34" s="124">
        <f t="shared" ref="R34" si="66">Q34/10000*M34*H34</f>
        <v>0</v>
      </c>
      <c r="S34" s="124">
        <f t="shared" ref="S34" si="67">IF(P34&lt;=0,ABS(P34)+R34,P34-R34)</f>
        <v>9.7326858104572409</v>
      </c>
      <c r="T34" s="131">
        <f t="shared" ref="T34" si="68">S34/H34</f>
        <v>1.7825431887284325E-2</v>
      </c>
      <c r="U34" s="124">
        <f>_xll.dnetGBlackScholesNGreeks("delta",$G34,$H34,$I34,$M34,$C$3,$N34,$O34,$C$4)*E34</f>
        <v>-0.28644919410538705</v>
      </c>
      <c r="V34" s="166">
        <f>_xll.dnetGBlackScholesNGreeks("vega",$G34,$H34,$I34,$M34,$C$3,$N34,$O34,$C$4)*E34</f>
        <v>0.54961365697697318</v>
      </c>
    </row>
    <row r="35" spans="2:22" ht="12" thickBot="1">
      <c r="B35" s="165" t="s">
        <v>198</v>
      </c>
      <c r="C35" s="125" t="s">
        <v>187</v>
      </c>
      <c r="D35" s="125" t="s">
        <v>151</v>
      </c>
      <c r="E35" s="125">
        <f t="shared" ref="E35:E37" si="69">IF(D35="中金买入",1,-1)</f>
        <v>1</v>
      </c>
      <c r="F35" s="125" t="s">
        <v>245</v>
      </c>
      <c r="G35" s="125" t="s">
        <v>85</v>
      </c>
      <c r="H35" s="126">
        <v>546</v>
      </c>
      <c r="I35" s="126">
        <v>550</v>
      </c>
      <c r="J35" s="127">
        <f t="shared" ca="1" si="1"/>
        <v>43105</v>
      </c>
      <c r="K35" s="127">
        <f t="shared" ref="K35:K37" ca="1" si="70">J35+L35</f>
        <v>43137</v>
      </c>
      <c r="L35" s="125">
        <v>32</v>
      </c>
      <c r="M35" s="128">
        <f t="shared" si="63"/>
        <v>8.7671232876712329E-2</v>
      </c>
      <c r="N35" s="128">
        <v>0</v>
      </c>
      <c r="O35" s="129">
        <v>0.32</v>
      </c>
      <c r="P35" s="124">
        <f>_xll.dnetGBlackScholesNGreeks("price",$G35,$H35,$I35,$M35,$C$3,$N35,$O35,$C$4)*E35</f>
        <v>22.727982589592102</v>
      </c>
      <c r="Q35" s="130">
        <v>0</v>
      </c>
      <c r="R35" s="124">
        <f t="shared" ref="R35:R37" si="71">Q35/10000*M35*H35</f>
        <v>0</v>
      </c>
      <c r="S35" s="124">
        <f t="shared" ref="S35:S37" si="72">IF(P35&lt;=0,ABS(P35)+R35,P35-R35)</f>
        <v>22.727982589592102</v>
      </c>
      <c r="T35" s="131">
        <f t="shared" ref="T35:T37" si="73">S35/H35</f>
        <v>4.1626341739179673E-2</v>
      </c>
      <c r="U35" s="124">
        <f>_xll.dnetGBlackScholesNGreeks("delta",$G35,$H35,$I35,$M35,$C$3,$N35,$O35,$C$4)*E35</f>
        <v>-0.51093529337435939</v>
      </c>
      <c r="V35" s="166">
        <f>_xll.dnetGBlackScholesNGreeks("vega",$G35,$H35,$I35,$M35,$C$3,$N35,$O35,$C$4)*E35</f>
        <v>0.64354257352886179</v>
      </c>
    </row>
    <row r="36" spans="2:22">
      <c r="B36" s="155" t="s">
        <v>241</v>
      </c>
      <c r="C36" s="156" t="s">
        <v>187</v>
      </c>
      <c r="D36" s="156" t="s">
        <v>151</v>
      </c>
      <c r="E36" s="156">
        <f t="shared" si="69"/>
        <v>1</v>
      </c>
      <c r="F36" s="156" t="s">
        <v>245</v>
      </c>
      <c r="G36" s="156" t="s">
        <v>85</v>
      </c>
      <c r="H36" s="157">
        <v>546</v>
      </c>
      <c r="I36" s="157">
        <v>510</v>
      </c>
      <c r="J36" s="158">
        <f t="shared" ca="1" si="1"/>
        <v>43105</v>
      </c>
      <c r="K36" s="158">
        <f t="shared" ca="1" si="70"/>
        <v>43142</v>
      </c>
      <c r="L36" s="156">
        <v>37</v>
      </c>
      <c r="M36" s="159">
        <f t="shared" si="63"/>
        <v>0.10136986301369863</v>
      </c>
      <c r="N36" s="159">
        <v>0</v>
      </c>
      <c r="O36" s="160">
        <v>0.32</v>
      </c>
      <c r="P36" s="161">
        <f>_xll.dnetGBlackScholesNGreeks("price",$G36,$H36,$I36,$M36,$C$3,$N36,$O36,$C$4)*E36</f>
        <v>8.0644623609340158</v>
      </c>
      <c r="Q36" s="162">
        <v>0</v>
      </c>
      <c r="R36" s="161">
        <f t="shared" si="71"/>
        <v>0</v>
      </c>
      <c r="S36" s="161">
        <f t="shared" si="72"/>
        <v>8.0644623609340158</v>
      </c>
      <c r="T36" s="163">
        <f t="shared" si="73"/>
        <v>1.4770077584128235E-2</v>
      </c>
      <c r="U36" s="161">
        <f>_xll.dnetGBlackScholesNGreeks("delta",$G36,$H36,$I36,$M36,$C$3,$N36,$O36,$C$4)*E36</f>
        <v>-0.23515784413916663</v>
      </c>
      <c r="V36" s="164">
        <f>_xll.dnetGBlackScholesNGreeks("vega",$G36,$H36,$I36,$M36,$C$3,$N36,$O36,$C$4)*E36</f>
        <v>0.53382241191216906</v>
      </c>
    </row>
    <row r="37" spans="2:22">
      <c r="B37" s="165" t="s">
        <v>198</v>
      </c>
      <c r="C37" s="125" t="s">
        <v>187</v>
      </c>
      <c r="D37" s="125" t="s">
        <v>151</v>
      </c>
      <c r="E37" s="125">
        <f t="shared" si="69"/>
        <v>1</v>
      </c>
      <c r="F37" s="125" t="s">
        <v>245</v>
      </c>
      <c r="G37" s="125" t="s">
        <v>85</v>
      </c>
      <c r="H37" s="126">
        <v>546</v>
      </c>
      <c r="I37" s="126">
        <v>520</v>
      </c>
      <c r="J37" s="127">
        <f t="shared" ca="1" si="1"/>
        <v>43105</v>
      </c>
      <c r="K37" s="127">
        <f t="shared" ca="1" si="70"/>
        <v>43142</v>
      </c>
      <c r="L37" s="125">
        <v>37</v>
      </c>
      <c r="M37" s="128">
        <f t="shared" si="63"/>
        <v>0.10136986301369863</v>
      </c>
      <c r="N37" s="128">
        <v>0</v>
      </c>
      <c r="O37" s="129">
        <v>0.32</v>
      </c>
      <c r="P37" s="124">
        <f>_xll.dnetGBlackScholesNGreeks("price",$G37,$H37,$I37,$M37,$C$3,$N37,$O37,$C$4)*E37</f>
        <v>11.066248447728583</v>
      </c>
      <c r="Q37" s="130">
        <v>0</v>
      </c>
      <c r="R37" s="124">
        <f t="shared" si="71"/>
        <v>0</v>
      </c>
      <c r="S37" s="124">
        <f t="shared" si="72"/>
        <v>11.066248447728583</v>
      </c>
      <c r="T37" s="131">
        <f t="shared" si="73"/>
        <v>2.0267854299869201E-2</v>
      </c>
      <c r="U37" s="124">
        <f>_xll.dnetGBlackScholesNGreeks("delta",$G37,$H37,$I37,$M37,$C$3,$N37,$O37,$C$4)*E37</f>
        <v>-0.2975135026659359</v>
      </c>
      <c r="V37" s="166">
        <f>_xll.dnetGBlackScholesNGreeks("vega",$G37,$H37,$I37,$M37,$C$3,$N37,$O37,$C$4)*E37</f>
        <v>0.60141670001236491</v>
      </c>
    </row>
    <row r="38" spans="2:22">
      <c r="B38" s="165" t="s">
        <v>198</v>
      </c>
      <c r="C38" s="125" t="s">
        <v>187</v>
      </c>
      <c r="D38" s="125" t="s">
        <v>151</v>
      </c>
      <c r="E38" s="125">
        <f t="shared" ref="E38" si="74">IF(D38="中金买入",1,-1)</f>
        <v>1</v>
      </c>
      <c r="F38" s="125" t="s">
        <v>245</v>
      </c>
      <c r="G38" s="125" t="s">
        <v>85</v>
      </c>
      <c r="H38" s="126">
        <v>546</v>
      </c>
      <c r="I38" s="126">
        <v>550</v>
      </c>
      <c r="J38" s="127">
        <f t="shared" ca="1" si="1"/>
        <v>43105</v>
      </c>
      <c r="K38" s="127">
        <f t="shared" ref="K38" ca="1" si="75">J38+L38</f>
        <v>43142</v>
      </c>
      <c r="L38" s="125">
        <v>37</v>
      </c>
      <c r="M38" s="128">
        <f t="shared" si="63"/>
        <v>0.10136986301369863</v>
      </c>
      <c r="N38" s="128">
        <v>0</v>
      </c>
      <c r="O38" s="129">
        <v>0.32</v>
      </c>
      <c r="P38" s="124">
        <f>_xll.dnetGBlackScholesNGreeks("price",$G38,$H38,$I38,$M38,$C$3,$N38,$O38,$C$4)*E38</f>
        <v>24.272012559127006</v>
      </c>
      <c r="Q38" s="130">
        <v>0</v>
      </c>
      <c r="R38" s="124">
        <f t="shared" ref="R38" si="76">Q38/10000*M38*H38</f>
        <v>0</v>
      </c>
      <c r="S38" s="124">
        <f t="shared" ref="S38" si="77">IF(P38&lt;=0,ABS(P38)+R38,P38-R38)</f>
        <v>24.272012559127006</v>
      </c>
      <c r="T38" s="131">
        <f t="shared" ref="T38" si="78">S38/H38</f>
        <v>4.4454235456276567E-2</v>
      </c>
      <c r="U38" s="124">
        <f>_xll.dnetGBlackScholesNGreeks("delta",$G38,$H38,$I38,$M38,$C$3,$N38,$O38,$C$4)*E38</f>
        <v>-0.50722880084208555</v>
      </c>
      <c r="V38" s="166">
        <f>_xll.dnetGBlackScholesNGreeks("vega",$G38,$H38,$I38,$M38,$C$3,$N38,$O38,$C$4)*E38</f>
        <v>0.69196211524428008</v>
      </c>
    </row>
    <row r="39" spans="2:22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12"/>
      <c r="O39" s="9"/>
      <c r="P39" s="13"/>
      <c r="Q39" s="15"/>
      <c r="R39" s="13"/>
      <c r="S39" s="13"/>
      <c r="T39" s="14"/>
      <c r="U39" s="13"/>
      <c r="V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zoomScale="85" zoomScaleNormal="85" workbookViewId="0">
      <selection activeCell="J35" sqref="J35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5" width="9.25" style="6" bestFit="1" customWidth="1"/>
    <col min="6" max="7" width="9" style="6"/>
    <col min="8" max="8" width="9.5" style="6" bestFit="1" customWidth="1"/>
    <col min="9" max="9" width="11.5" style="6" customWidth="1"/>
    <col min="10" max="10" width="11.625" style="6" bestFit="1" customWidth="1"/>
    <col min="11" max="11" width="10.5" style="6" bestFit="1" customWidth="1"/>
    <col min="12" max="13" width="8.125" style="6" customWidth="1"/>
    <col min="14" max="14" width="9.25" style="6" bestFit="1" customWidth="1"/>
    <col min="15" max="15" width="7.25" style="6" customWidth="1"/>
    <col min="16" max="16" width="9.25" style="6" bestFit="1" customWidth="1"/>
    <col min="17" max="17" width="10.125" style="6" customWidth="1"/>
    <col min="18" max="18" width="6.5" style="6" customWidth="1"/>
    <col min="19" max="19" width="10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>
      <c r="B1" s="204" t="s">
        <v>37</v>
      </c>
      <c r="C1" s="198"/>
    </row>
    <row r="2" spans="1:22" ht="12" thickTop="1">
      <c r="B2" s="37" t="s">
        <v>0</v>
      </c>
      <c r="C2" s="4">
        <v>43061</v>
      </c>
    </row>
    <row r="3" spans="1:22">
      <c r="B3" s="37" t="s">
        <v>1</v>
      </c>
      <c r="C3" s="37">
        <v>0.02</v>
      </c>
    </row>
    <row r="4" spans="1:22" ht="12" thickBot="1">
      <c r="B4" s="38" t="s">
        <v>18</v>
      </c>
      <c r="C4" s="38">
        <v>0.01</v>
      </c>
    </row>
    <row r="5" spans="1:22" ht="12" thickTop="1"/>
    <row r="6" spans="1:22" ht="12" thickBot="1"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</row>
    <row r="7" spans="1:22" ht="15" thickTop="1" thickBot="1">
      <c r="A7" s="68"/>
      <c r="B7" s="69" t="s">
        <v>29</v>
      </c>
      <c r="C7" s="69" t="s">
        <v>2</v>
      </c>
      <c r="D7" s="70" t="s">
        <v>30</v>
      </c>
      <c r="E7" s="70"/>
      <c r="F7" s="70" t="s">
        <v>32</v>
      </c>
      <c r="G7" s="70" t="s">
        <v>23</v>
      </c>
      <c r="H7" s="70" t="s">
        <v>8</v>
      </c>
      <c r="I7" s="70" t="s">
        <v>7</v>
      </c>
      <c r="J7" s="70" t="s">
        <v>9</v>
      </c>
      <c r="K7" s="70" t="s">
        <v>10</v>
      </c>
      <c r="L7" s="70" t="s">
        <v>11</v>
      </c>
      <c r="M7" s="70" t="s">
        <v>12</v>
      </c>
      <c r="N7" s="70" t="s">
        <v>47</v>
      </c>
      <c r="O7" s="70" t="s">
        <v>13</v>
      </c>
      <c r="P7" s="70" t="s">
        <v>14</v>
      </c>
      <c r="Q7" s="70" t="s">
        <v>26</v>
      </c>
      <c r="R7" s="70" t="s">
        <v>28</v>
      </c>
      <c r="S7" s="70" t="s">
        <v>15</v>
      </c>
      <c r="T7" s="69" t="s">
        <v>33</v>
      </c>
      <c r="U7" s="69" t="s">
        <v>16</v>
      </c>
      <c r="V7" s="69" t="s">
        <v>17</v>
      </c>
    </row>
    <row r="8" spans="1:22" ht="14.25" thickTop="1">
      <c r="A8" s="71"/>
      <c r="B8" s="72" t="s">
        <v>200</v>
      </c>
      <c r="C8" s="73" t="s">
        <v>187</v>
      </c>
      <c r="D8" s="73" t="s">
        <v>20</v>
      </c>
      <c r="E8" s="73">
        <f>IF(D8="中金买入",1,-1)</f>
        <v>-1</v>
      </c>
      <c r="F8" s="73" t="s">
        <v>186</v>
      </c>
      <c r="G8" s="73" t="s">
        <v>39</v>
      </c>
      <c r="H8" s="74">
        <v>100</v>
      </c>
      <c r="I8" s="73">
        <v>100</v>
      </c>
      <c r="J8" s="75">
        <f ca="1">TODAY()</f>
        <v>43105</v>
      </c>
      <c r="K8" s="75">
        <f ca="1">J8+L8</f>
        <v>43135</v>
      </c>
      <c r="L8" s="73">
        <v>30</v>
      </c>
      <c r="M8" s="76">
        <f>L8/365</f>
        <v>8.2191780821917804E-2</v>
      </c>
      <c r="N8" s="76">
        <v>0</v>
      </c>
      <c r="O8" s="77">
        <v>0.32</v>
      </c>
      <c r="P8" s="72">
        <f>_xll.dnetGBlackScholesNGreeks("price",$G8,$H8,$I8,$M8,$C$3,$N8,$O8,$C$4)*E8</f>
        <v>-3.6526499295562971</v>
      </c>
      <c r="Q8" s="78"/>
      <c r="R8" s="72"/>
      <c r="S8" s="72">
        <f>P8+R8</f>
        <v>-3.6526499295562971</v>
      </c>
      <c r="T8" s="79"/>
      <c r="U8" s="72">
        <f>_xll.dnetGBlackScholesNGreeks("delta",$G8,$H8,$I8,$M8,$C$3,$N8,$O8,$C$4)*E8</f>
        <v>-0.51744199617651532</v>
      </c>
      <c r="V8" s="72">
        <f>_xll.dnetGBlackScholesNGreeks("vega",$G8,$H8,$I8,$M8,$C$3,$N8,$O8,$C$4)*E8</f>
        <v>-0.11406523569462124</v>
      </c>
    </row>
    <row r="9" spans="1:22" ht="13.5">
      <c r="A9" s="71"/>
      <c r="B9" s="80" t="s">
        <v>201</v>
      </c>
      <c r="C9" s="81" t="s">
        <v>187</v>
      </c>
      <c r="D9" s="81" t="s">
        <v>151</v>
      </c>
      <c r="E9" s="81">
        <f>IF(D9="中金买入",1,-1)</f>
        <v>1</v>
      </c>
      <c r="F9" s="81" t="s">
        <v>186</v>
      </c>
      <c r="G9" s="81" t="s">
        <v>39</v>
      </c>
      <c r="H9" s="82">
        <v>100</v>
      </c>
      <c r="I9" s="81">
        <v>100</v>
      </c>
      <c r="J9" s="83">
        <f t="shared" ref="J9:L10" ca="1" si="0">J8</f>
        <v>43105</v>
      </c>
      <c r="K9" s="83">
        <f t="shared" ca="1" si="0"/>
        <v>43135</v>
      </c>
      <c r="L9" s="81">
        <f t="shared" si="0"/>
        <v>30</v>
      </c>
      <c r="M9" s="84">
        <f>L9/365</f>
        <v>8.2191780821917804E-2</v>
      </c>
      <c r="N9" s="84">
        <f>N8</f>
        <v>0</v>
      </c>
      <c r="O9" s="85">
        <v>0.3</v>
      </c>
      <c r="P9" s="80">
        <f>_xll.dnetGBlackScholesNGreeks("price",$G9,$H9,$I9,$M9,$C$3,$N9,$O9,$C$4)*E9</f>
        <v>3.4245046917201378</v>
      </c>
      <c r="Q9" s="86"/>
      <c r="R9" s="80"/>
      <c r="S9" s="80">
        <f>P9+R9</f>
        <v>3.4245046917201378</v>
      </c>
      <c r="T9" s="87"/>
      <c r="U9" s="80">
        <f>_xll.dnetGBlackScholesNGreeks("delta",$G9,$H9,$I9,$M9,$C$3,$N9,$O9,$C$4)*E9</f>
        <v>0.51630126926376363</v>
      </c>
      <c r="V9" s="80">
        <f>_xll.dnetGBlackScholesNGreeks("vega",$G9,$H9,$I9,$M9,$C$3,$N9,$O9,$C$4)*E9</f>
        <v>0.11407976820886745</v>
      </c>
    </row>
    <row r="10" spans="1:22" ht="13.5">
      <c r="A10" s="71"/>
      <c r="B10" s="88" t="s">
        <v>202</v>
      </c>
      <c r="C10" s="89" t="s">
        <v>187</v>
      </c>
      <c r="D10" s="89" t="s">
        <v>151</v>
      </c>
      <c r="E10" s="89"/>
      <c r="F10" s="89" t="str">
        <f>F9</f>
        <v>RB1805</v>
      </c>
      <c r="G10" s="89"/>
      <c r="H10" s="90">
        <f>H9</f>
        <v>100</v>
      </c>
      <c r="I10" s="89" t="str">
        <f>I8 &amp; "|" &amp; I9</f>
        <v>100|100</v>
      </c>
      <c r="J10" s="91">
        <f t="shared" ca="1" si="0"/>
        <v>43105</v>
      </c>
      <c r="K10" s="91">
        <f t="shared" ca="1" si="0"/>
        <v>43135</v>
      </c>
      <c r="L10" s="89">
        <f t="shared" si="0"/>
        <v>30</v>
      </c>
      <c r="M10" s="92">
        <f>M9</f>
        <v>8.2191780821917804E-2</v>
      </c>
      <c r="N10" s="92"/>
      <c r="O10" s="89"/>
      <c r="P10" s="88">
        <f>P9+P8</f>
        <v>-0.22814523783615925</v>
      </c>
      <c r="Q10" s="89">
        <v>80</v>
      </c>
      <c r="R10" s="88">
        <f>Q10/10000*M10*H10</f>
        <v>6.5753424657534254E-2</v>
      </c>
      <c r="S10" s="88">
        <f>IF(P10&lt;=0,ABS(P10)+R10,P10-R10)</f>
        <v>0.29389866249369351</v>
      </c>
      <c r="T10" s="93">
        <f>S10/H10</f>
        <v>2.9389866249369349E-3</v>
      </c>
      <c r="U10" s="93">
        <f t="shared" ref="U10:V10" si="1">U9+U8</f>
        <v>-1.1407269127516884E-3</v>
      </c>
      <c r="V10" s="93">
        <f t="shared" si="1"/>
        <v>1.4532514246212713E-5</v>
      </c>
    </row>
    <row r="11" spans="1:22" ht="13.5">
      <c r="A11" s="94"/>
      <c r="B11" s="80" t="s">
        <v>200</v>
      </c>
      <c r="C11" s="81" t="s">
        <v>187</v>
      </c>
      <c r="D11" s="81" t="s">
        <v>20</v>
      </c>
      <c r="E11" s="81">
        <f>IF(D11="中金买入",1,-1)</f>
        <v>-1</v>
      </c>
      <c r="F11" s="81" t="s">
        <v>213</v>
      </c>
      <c r="G11" s="81" t="s">
        <v>27</v>
      </c>
      <c r="H11" s="82">
        <v>3663</v>
      </c>
      <c r="I11" s="82">
        <v>3900</v>
      </c>
      <c r="J11" s="83">
        <f ca="1">TODAY()</f>
        <v>43105</v>
      </c>
      <c r="K11" s="83">
        <f ca="1">J11+L11</f>
        <v>43254</v>
      </c>
      <c r="L11" s="81">
        <v>149</v>
      </c>
      <c r="M11" s="84">
        <f>L11/365</f>
        <v>0.40821917808219177</v>
      </c>
      <c r="N11" s="84">
        <v>0</v>
      </c>
      <c r="O11" s="85">
        <v>0.28000000000000003</v>
      </c>
      <c r="P11" s="80">
        <f>_xll.dnetGBlackScholesNGreeks("price",$G11,$H11,$I11,$M11,$C$3,$N11,$O11,$C$4)*E11</f>
        <v>-165.99775284586872</v>
      </c>
      <c r="Q11" s="86"/>
      <c r="R11" s="80"/>
      <c r="S11" s="80">
        <f>P11+R11</f>
        <v>-165.99775284586872</v>
      </c>
      <c r="T11" s="87"/>
      <c r="U11" s="80">
        <f>_xll.dnetGBlackScholesNGreeks("delta",$G11,$H11,$I11,$M11,$C$3,$N11,$O11,$C$4)*E11</f>
        <v>-0.39381870977877043</v>
      </c>
      <c r="V11" s="80">
        <f>_xll.dnetGBlackScholesNGreeks("vega",$G11,$H11,$I11,$M11,$C$3,$N11,$O11,$C$4)*E11</f>
        <v>-8.9499857201507211</v>
      </c>
    </row>
    <row r="12" spans="1:22" ht="13.5">
      <c r="A12" s="94"/>
      <c r="B12" s="80" t="s">
        <v>201</v>
      </c>
      <c r="C12" s="81" t="s">
        <v>187</v>
      </c>
      <c r="D12" s="81" t="s">
        <v>151</v>
      </c>
      <c r="E12" s="81">
        <f>IF(D12="中金买入",1,-1)</f>
        <v>1</v>
      </c>
      <c r="F12" s="81" t="str">
        <f>F11</f>
        <v>rb1810</v>
      </c>
      <c r="G12" s="81" t="s">
        <v>27</v>
      </c>
      <c r="H12" s="82">
        <f>H11</f>
        <v>3663</v>
      </c>
      <c r="I12" s="82">
        <v>4100</v>
      </c>
      <c r="J12" s="83">
        <f ca="1">J11</f>
        <v>43105</v>
      </c>
      <c r="K12" s="83">
        <f ca="1">K11</f>
        <v>43254</v>
      </c>
      <c r="L12" s="81">
        <f>L11</f>
        <v>149</v>
      </c>
      <c r="M12" s="84">
        <f>L12/365</f>
        <v>0.40821917808219177</v>
      </c>
      <c r="N12" s="84">
        <v>0.04</v>
      </c>
      <c r="O12" s="85">
        <v>0.26</v>
      </c>
      <c r="P12" s="80">
        <f>_xll.dnetGBlackScholesNGreeks("price",$G12,$H12,$I12,$M12,$C$3,$N12,$O12,$C$4)*E12</f>
        <v>111.9257363021411</v>
      </c>
      <c r="Q12" s="86"/>
      <c r="R12" s="80"/>
      <c r="S12" s="80">
        <f>P12+R12</f>
        <v>111.9257363021411</v>
      </c>
      <c r="T12" s="87"/>
      <c r="U12" s="80">
        <f>_xll.dnetGBlackScholesNGreeks("delta",$G12,$H12,$I12,$M12,$C$3,$N12,$O12,$C$4)*E12</f>
        <v>0.31209693338496436</v>
      </c>
      <c r="V12" s="80">
        <f>_xll.dnetGBlackScholesNGreeks("vega",$G12,$H12,$I12,$M12,$C$3,$N12,$O12,$C$4)*E12</f>
        <v>8.3173153994594031</v>
      </c>
    </row>
    <row r="13" spans="1:22" ht="13.5">
      <c r="A13" s="94"/>
      <c r="B13" s="88" t="s">
        <v>202</v>
      </c>
      <c r="C13" s="89" t="s">
        <v>187</v>
      </c>
      <c r="D13" s="89" t="s">
        <v>20</v>
      </c>
      <c r="E13" s="89"/>
      <c r="F13" s="89" t="str">
        <f>F12</f>
        <v>rb1810</v>
      </c>
      <c r="G13" s="89"/>
      <c r="H13" s="90">
        <f>H12</f>
        <v>3663</v>
      </c>
      <c r="I13" s="89" t="str">
        <f>I11 &amp; "|" &amp; I12</f>
        <v>3900|4100</v>
      </c>
      <c r="J13" s="91">
        <f t="shared" ref="J13:K13" ca="1" si="2">J12</f>
        <v>43105</v>
      </c>
      <c r="K13" s="91">
        <f t="shared" ca="1" si="2"/>
        <v>43254</v>
      </c>
      <c r="L13" s="89">
        <f>L12</f>
        <v>149</v>
      </c>
      <c r="M13" s="92">
        <f>M12</f>
        <v>0.40821917808219177</v>
      </c>
      <c r="N13" s="92"/>
      <c r="O13" s="89"/>
      <c r="P13" s="88">
        <f>P12+P11</f>
        <v>-54.072016543727614</v>
      </c>
      <c r="Q13" s="89">
        <v>0</v>
      </c>
      <c r="R13" s="88">
        <f>Q13/10000*M13*H13</f>
        <v>0</v>
      </c>
      <c r="S13" s="88">
        <f>IF(P13&lt;=0,ABS(P13)+R13,P13-R13)</f>
        <v>54.072016543727614</v>
      </c>
      <c r="T13" s="93">
        <f>S13/H13</f>
        <v>1.4761675278112917E-2</v>
      </c>
      <c r="U13" s="93">
        <f>U12+U11</f>
        <v>-8.1721776393806067E-2</v>
      </c>
      <c r="V13" s="93">
        <f>V12+V11</f>
        <v>-0.63267032069131801</v>
      </c>
    </row>
    <row r="14" spans="1:22" ht="13.5">
      <c r="A14" s="94"/>
      <c r="B14" s="80" t="s">
        <v>200</v>
      </c>
      <c r="C14" s="81" t="s">
        <v>187</v>
      </c>
      <c r="D14" s="81" t="s">
        <v>20</v>
      </c>
      <c r="E14" s="81">
        <f>IF(D14="中金买入",1,-1)</f>
        <v>-1</v>
      </c>
      <c r="F14" s="81" t="s">
        <v>212</v>
      </c>
      <c r="G14" s="81" t="s">
        <v>27</v>
      </c>
      <c r="H14" s="82">
        <v>3663</v>
      </c>
      <c r="I14" s="82">
        <v>3850</v>
      </c>
      <c r="J14" s="83">
        <f ca="1">TODAY()</f>
        <v>43105</v>
      </c>
      <c r="K14" s="83">
        <f ca="1">J14+L14</f>
        <v>43254</v>
      </c>
      <c r="L14" s="81">
        <v>149</v>
      </c>
      <c r="M14" s="84">
        <f>L14/365</f>
        <v>0.40821917808219177</v>
      </c>
      <c r="N14" s="84">
        <v>0</v>
      </c>
      <c r="O14" s="85">
        <v>0.28000000000000003</v>
      </c>
      <c r="P14" s="80">
        <f>_xll.dnetGBlackScholesNGreeks("price",$G14,$H14,$I14,$M14,$C$3,$N14,$O14,$C$4)*E14</f>
        <v>-183.01682921136171</v>
      </c>
      <c r="Q14" s="86"/>
      <c r="R14" s="80"/>
      <c r="S14" s="80">
        <f>P14+R14</f>
        <v>-183.01682921136171</v>
      </c>
      <c r="T14" s="87"/>
      <c r="U14" s="80">
        <f>_xll.dnetGBlackScholesNGreeks("delta",$G14,$H14,$I14,$M14,$C$3,$N14,$O14,$C$4)*E14</f>
        <v>-0.4216406817022289</v>
      </c>
      <c r="V14" s="80">
        <f>_xll.dnetGBlackScholesNGreeks("vega",$G14,$H14,$I14,$M14,$C$3,$N14,$O14,$C$4)*E14</f>
        <v>-9.0966206987250189</v>
      </c>
    </row>
    <row r="15" spans="1:22" ht="13.5">
      <c r="A15" s="94"/>
      <c r="B15" s="80" t="s">
        <v>201</v>
      </c>
      <c r="C15" s="81" t="s">
        <v>187</v>
      </c>
      <c r="D15" s="81" t="s">
        <v>151</v>
      </c>
      <c r="E15" s="81">
        <f>IF(D15="中金买入",1,-1)</f>
        <v>1</v>
      </c>
      <c r="F15" s="81" t="str">
        <f>F14</f>
        <v>rb1810</v>
      </c>
      <c r="G15" s="81" t="s">
        <v>27</v>
      </c>
      <c r="H15" s="82">
        <f>H14</f>
        <v>3663</v>
      </c>
      <c r="I15" s="82">
        <v>4000</v>
      </c>
      <c r="J15" s="83">
        <f ca="1">J14</f>
        <v>43105</v>
      </c>
      <c r="K15" s="83">
        <f ca="1">K14</f>
        <v>43254</v>
      </c>
      <c r="L15" s="81">
        <f>L14</f>
        <v>149</v>
      </c>
      <c r="M15" s="84">
        <f>L15/365</f>
        <v>0.40821917808219177</v>
      </c>
      <c r="N15" s="84">
        <v>0</v>
      </c>
      <c r="O15" s="85">
        <v>0.26</v>
      </c>
      <c r="P15" s="80">
        <f>_xll.dnetGBlackScholesNGreeks("price",$G15,$H15,$I15,$M15,$C$3,$N15,$O15,$C$4)*E15</f>
        <v>118.83455596301837</v>
      </c>
      <c r="Q15" s="86"/>
      <c r="R15" s="80"/>
      <c r="S15" s="80">
        <f>P15+R15</f>
        <v>118.83455596301837</v>
      </c>
      <c r="T15" s="87"/>
      <c r="U15" s="80">
        <f>_xll.dnetGBlackScholesNGreeks("delta",$G15,$H15,$I15,$M15,$C$3,$N15,$O15,$C$4)*E15</f>
        <v>0.32486401036067036</v>
      </c>
      <c r="V15" s="80">
        <f>_xll.dnetGBlackScholesNGreeks("vega",$G15,$H15,$I15,$M15,$C$3,$N15,$O15,$C$4)*E15</f>
        <v>8.3796365498338901</v>
      </c>
    </row>
    <row r="16" spans="1:22" ht="13.5">
      <c r="A16" s="94"/>
      <c r="B16" s="88" t="s">
        <v>202</v>
      </c>
      <c r="C16" s="89" t="s">
        <v>187</v>
      </c>
      <c r="D16" s="89" t="s">
        <v>20</v>
      </c>
      <c r="E16" s="89"/>
      <c r="F16" s="89" t="str">
        <f>F15</f>
        <v>rb1810</v>
      </c>
      <c r="G16" s="89"/>
      <c r="H16" s="90">
        <f>H15</f>
        <v>3663</v>
      </c>
      <c r="I16" s="89" t="str">
        <f>I14 &amp; "|" &amp; I15</f>
        <v>3850|4000</v>
      </c>
      <c r="J16" s="91">
        <f t="shared" ref="J16:K16" ca="1" si="3">J15</f>
        <v>43105</v>
      </c>
      <c r="K16" s="91">
        <f t="shared" ca="1" si="3"/>
        <v>43254</v>
      </c>
      <c r="L16" s="89">
        <f>L15</f>
        <v>149</v>
      </c>
      <c r="M16" s="92">
        <f>M15</f>
        <v>0.40821917808219177</v>
      </c>
      <c r="N16" s="92"/>
      <c r="O16" s="89"/>
      <c r="P16" s="88">
        <f>P15+P14</f>
        <v>-64.182273248343336</v>
      </c>
      <c r="Q16" s="89">
        <v>0</v>
      </c>
      <c r="R16" s="88">
        <f>Q16/10000*M16*H16</f>
        <v>0</v>
      </c>
      <c r="S16" s="88">
        <f>IF(P16&lt;=0,ABS(P16)+R16,P16-R16)</f>
        <v>64.182273248343336</v>
      </c>
      <c r="T16" s="93">
        <f>S16/H16</f>
        <v>1.7521778118575849E-2</v>
      </c>
      <c r="U16" s="93">
        <f>U15+U14</f>
        <v>-9.677667134155854E-2</v>
      </c>
      <c r="V16" s="93">
        <f>V15+V14</f>
        <v>-0.71698414889112883</v>
      </c>
    </row>
    <row r="17" spans="1:22" ht="13.5">
      <c r="A17" s="94"/>
      <c r="B17" s="80" t="s">
        <v>200</v>
      </c>
      <c r="C17" s="81" t="s">
        <v>187</v>
      </c>
      <c r="D17" s="81" t="s">
        <v>20</v>
      </c>
      <c r="E17" s="81">
        <f>IF(D17="中金买入",1,-1)</f>
        <v>-1</v>
      </c>
      <c r="F17" s="81" t="s">
        <v>212</v>
      </c>
      <c r="G17" s="81" t="s">
        <v>39</v>
      </c>
      <c r="H17" s="82">
        <v>3663</v>
      </c>
      <c r="I17" s="82">
        <v>3750</v>
      </c>
      <c r="J17" s="83">
        <f ca="1">TODAY()</f>
        <v>43105</v>
      </c>
      <c r="K17" s="83">
        <f ca="1">J17+L17</f>
        <v>43254</v>
      </c>
      <c r="L17" s="81">
        <v>149</v>
      </c>
      <c r="M17" s="84">
        <f>L17/365</f>
        <v>0.40821917808219177</v>
      </c>
      <c r="N17" s="84">
        <v>0</v>
      </c>
      <c r="O17" s="85">
        <v>0.28000000000000003</v>
      </c>
      <c r="P17" s="80">
        <f>_xll.dnetGBlackScholesNGreeks("price",$G17,$H17,$I17,$M17,$C$3,$N17,$O17,$C$4)*E17</f>
        <v>-221.13189735007222</v>
      </c>
      <c r="Q17" s="86"/>
      <c r="R17" s="80"/>
      <c r="S17" s="80">
        <f>P17+R17</f>
        <v>-221.13189735007222</v>
      </c>
      <c r="T17" s="87"/>
      <c r="U17" s="80">
        <f>_xll.dnetGBlackScholesNGreeks("delta",$G17,$H17,$I17,$M17,$C$3,$N17,$O17,$C$4)*E17</f>
        <v>-0.47941398562443283</v>
      </c>
      <c r="V17" s="80">
        <f>_xll.dnetGBlackScholesNGreeks("vega",$G17,$H17,$I17,$M17,$C$3,$N17,$O17,$C$4)*E17</f>
        <v>-9.2525983819865587</v>
      </c>
    </row>
    <row r="18" spans="1:22" ht="13.5">
      <c r="A18" s="94"/>
      <c r="B18" s="80" t="s">
        <v>201</v>
      </c>
      <c r="C18" s="81" t="s">
        <v>187</v>
      </c>
      <c r="D18" s="81" t="s">
        <v>151</v>
      </c>
      <c r="E18" s="81">
        <f>IF(D18="中金买入",1,-1)</f>
        <v>1</v>
      </c>
      <c r="F18" s="81" t="str">
        <f>F17</f>
        <v>rb1810</v>
      </c>
      <c r="G18" s="81" t="s">
        <v>24</v>
      </c>
      <c r="H18" s="82">
        <f>H17</f>
        <v>3663</v>
      </c>
      <c r="I18" s="82">
        <v>3850</v>
      </c>
      <c r="J18" s="83">
        <f ca="1">J17</f>
        <v>43105</v>
      </c>
      <c r="K18" s="83">
        <f ca="1">K17</f>
        <v>43254</v>
      </c>
      <c r="L18" s="81">
        <f>L17</f>
        <v>149</v>
      </c>
      <c r="M18" s="84">
        <f>L18/365</f>
        <v>0.40821917808219177</v>
      </c>
      <c r="N18" s="84">
        <v>0</v>
      </c>
      <c r="O18" s="85">
        <v>0.26</v>
      </c>
      <c r="P18" s="80">
        <f>_xll.dnetGBlackScholesNGreeks("price",$G18,$H18,$I18,$M18,$C$3,$N18,$O18,$C$4)*E18</f>
        <v>164.87171584066755</v>
      </c>
      <c r="Q18" s="86"/>
      <c r="R18" s="80"/>
      <c r="S18" s="80">
        <f>P18+R18</f>
        <v>164.87171584066755</v>
      </c>
      <c r="T18" s="87"/>
      <c r="U18" s="80">
        <f>_xll.dnetGBlackScholesNGreeks("delta",$G18,$H18,$I18,$M18,$C$3,$N18,$O18,$C$4)*E18</f>
        <v>0.41086506383862798</v>
      </c>
      <c r="V18" s="80">
        <f>_xll.dnetGBlackScholesNGreeks("vega",$G18,$H18,$I18,$M18,$C$3,$N18,$O18,$C$4)*E18</f>
        <v>9.0453419323658864</v>
      </c>
    </row>
    <row r="19" spans="1:22" ht="13.5">
      <c r="A19" s="94"/>
      <c r="B19" s="88" t="s">
        <v>202</v>
      </c>
      <c r="C19" s="89" t="s">
        <v>187</v>
      </c>
      <c r="D19" s="89" t="s">
        <v>20</v>
      </c>
      <c r="E19" s="89"/>
      <c r="F19" s="89" t="str">
        <f>F18</f>
        <v>rb1810</v>
      </c>
      <c r="G19" s="89"/>
      <c r="H19" s="90">
        <f>H18</f>
        <v>3663</v>
      </c>
      <c r="I19" s="89" t="str">
        <f>I17 &amp; "|" &amp; I18</f>
        <v>3750|3850</v>
      </c>
      <c r="J19" s="91">
        <f t="shared" ref="J19:K19" ca="1" si="4">J18</f>
        <v>43105</v>
      </c>
      <c r="K19" s="91">
        <f t="shared" ca="1" si="4"/>
        <v>43254</v>
      </c>
      <c r="L19" s="89">
        <f>L18</f>
        <v>149</v>
      </c>
      <c r="M19" s="92">
        <f>M18</f>
        <v>0.40821917808219177</v>
      </c>
      <c r="N19" s="92"/>
      <c r="O19" s="89"/>
      <c r="P19" s="88">
        <f>P18+P17</f>
        <v>-56.260181509404674</v>
      </c>
      <c r="Q19" s="89">
        <v>0</v>
      </c>
      <c r="R19" s="88">
        <f>Q19/10000*M19*H19</f>
        <v>0</v>
      </c>
      <c r="S19" s="88">
        <f>IF(P19&lt;=0,ABS(P19)+R19,P19-R19)</f>
        <v>56.260181509404674</v>
      </c>
      <c r="T19" s="93">
        <f>S19/H19</f>
        <v>1.5359044911112387E-2</v>
      </c>
      <c r="U19" s="93">
        <f>U18+U17</f>
        <v>-6.8548921785804851E-2</v>
      </c>
      <c r="V19" s="93">
        <f>V18+V17</f>
        <v>-0.20725644962067236</v>
      </c>
    </row>
    <row r="20" spans="1:22" ht="13.5">
      <c r="A20" s="94"/>
      <c r="B20" s="80"/>
      <c r="C20" s="81"/>
      <c r="D20" s="81"/>
      <c r="E20" s="81"/>
      <c r="F20" s="81"/>
      <c r="G20" s="81"/>
      <c r="H20" s="82"/>
      <c r="I20" s="81"/>
      <c r="J20" s="83"/>
      <c r="K20" s="83"/>
      <c r="L20" s="81"/>
      <c r="M20" s="84"/>
      <c r="N20" s="84"/>
      <c r="O20" s="85"/>
      <c r="P20" s="80"/>
      <c r="Q20" s="86"/>
      <c r="R20" s="80"/>
      <c r="S20" s="80"/>
      <c r="T20" s="87"/>
      <c r="U20" s="80"/>
      <c r="V20" s="80"/>
    </row>
    <row r="21" spans="1:22" ht="13.5">
      <c r="A21" s="94"/>
      <c r="B21" s="80"/>
      <c r="C21" s="81"/>
      <c r="D21" s="81"/>
      <c r="E21" s="81"/>
      <c r="F21" s="81"/>
      <c r="G21" s="81"/>
      <c r="H21" s="82"/>
      <c r="I21" s="81"/>
      <c r="J21" s="83"/>
      <c r="K21" s="83"/>
      <c r="L21" s="81"/>
      <c r="M21" s="84"/>
      <c r="N21" s="84"/>
      <c r="O21" s="85"/>
      <c r="P21" s="80"/>
      <c r="Q21" s="86"/>
      <c r="R21" s="80"/>
      <c r="S21" s="80"/>
      <c r="T21" s="87"/>
      <c r="U21" s="80"/>
      <c r="V21" s="80"/>
    </row>
    <row r="22" spans="1:22" ht="13.5">
      <c r="A22" s="94"/>
      <c r="B22" s="88"/>
      <c r="C22" s="89"/>
      <c r="D22" s="89"/>
      <c r="E22" s="89"/>
      <c r="F22" s="89"/>
      <c r="G22" s="89"/>
      <c r="H22" s="90"/>
      <c r="I22" s="89"/>
      <c r="J22" s="91"/>
      <c r="K22" s="91"/>
      <c r="L22" s="89"/>
      <c r="M22" s="92"/>
      <c r="N22" s="92"/>
      <c r="O22" s="89"/>
      <c r="P22" s="88"/>
      <c r="Q22" s="89"/>
      <c r="R22" s="88"/>
      <c r="S22" s="88"/>
      <c r="T22" s="93"/>
      <c r="U22" s="93"/>
      <c r="V22" s="93"/>
    </row>
    <row r="23" spans="1:22" ht="13.5">
      <c r="A23" s="94"/>
      <c r="B23" s="80"/>
      <c r="C23" s="81"/>
      <c r="D23" s="81"/>
      <c r="E23" s="81"/>
      <c r="F23" s="81"/>
      <c r="G23" s="81"/>
      <c r="H23" s="82"/>
      <c r="I23" s="81"/>
      <c r="J23" s="83"/>
      <c r="K23" s="83"/>
      <c r="L23" s="81"/>
      <c r="M23" s="84"/>
      <c r="N23" s="84"/>
      <c r="O23" s="85"/>
      <c r="P23" s="80"/>
      <c r="Q23" s="86"/>
      <c r="R23" s="80"/>
      <c r="S23" s="80"/>
      <c r="T23" s="87"/>
      <c r="U23" s="80"/>
      <c r="V23" s="80"/>
    </row>
    <row r="24" spans="1:22" ht="13.5">
      <c r="A24" s="94"/>
      <c r="B24" s="80"/>
      <c r="C24" s="81"/>
      <c r="D24" s="81"/>
      <c r="E24" s="81"/>
      <c r="F24" s="81"/>
      <c r="G24" s="81"/>
      <c r="H24" s="82"/>
      <c r="I24" s="81"/>
      <c r="J24" s="83"/>
      <c r="K24" s="83"/>
      <c r="L24" s="81"/>
      <c r="M24" s="84"/>
      <c r="N24" s="84"/>
      <c r="O24" s="85"/>
      <c r="P24" s="80"/>
      <c r="Q24" s="86"/>
      <c r="R24" s="80"/>
      <c r="S24" s="80"/>
      <c r="T24" s="87"/>
      <c r="U24" s="80"/>
      <c r="V24" s="80"/>
    </row>
    <row r="25" spans="1:22" ht="13.5">
      <c r="A25" s="94"/>
      <c r="B25" s="88"/>
      <c r="C25" s="89"/>
      <c r="D25" s="89"/>
      <c r="E25" s="89"/>
      <c r="F25" s="89"/>
      <c r="G25" s="89"/>
      <c r="H25" s="90"/>
      <c r="I25" s="89"/>
      <c r="J25" s="91"/>
      <c r="K25" s="91"/>
      <c r="L25" s="89"/>
      <c r="M25" s="92"/>
      <c r="N25" s="92"/>
      <c r="O25" s="89"/>
      <c r="P25" s="88"/>
      <c r="Q25" s="89"/>
      <c r="R25" s="88"/>
      <c r="S25" s="88"/>
      <c r="T25" s="93"/>
      <c r="U25" s="93"/>
      <c r="V25" s="93"/>
    </row>
    <row r="26" spans="1:22" ht="13.5">
      <c r="A26" s="94"/>
      <c r="B26" s="80"/>
      <c r="C26" s="81"/>
      <c r="D26" s="81"/>
      <c r="E26" s="81"/>
      <c r="F26" s="81"/>
      <c r="G26" s="81"/>
      <c r="H26" s="82"/>
      <c r="I26" s="81"/>
      <c r="J26" s="83"/>
      <c r="K26" s="83"/>
      <c r="L26" s="81"/>
      <c r="M26" s="84"/>
      <c r="N26" s="84"/>
      <c r="O26" s="85"/>
      <c r="P26" s="80"/>
      <c r="Q26" s="86"/>
      <c r="R26" s="80"/>
      <c r="S26" s="80"/>
      <c r="T26" s="87"/>
      <c r="U26" s="80"/>
      <c r="V26" s="80"/>
    </row>
    <row r="27" spans="1:22" ht="13.5">
      <c r="A27" s="94"/>
      <c r="B27" s="80"/>
      <c r="C27" s="81"/>
      <c r="D27" s="81"/>
      <c r="E27" s="81"/>
      <c r="F27" s="81"/>
      <c r="G27" s="81"/>
      <c r="H27" s="82"/>
      <c r="I27" s="81"/>
      <c r="J27" s="83"/>
      <c r="K27" s="83"/>
      <c r="L27" s="81"/>
      <c r="M27" s="84"/>
      <c r="N27" s="84"/>
      <c r="O27" s="85"/>
      <c r="P27" s="80"/>
      <c r="Q27" s="86"/>
      <c r="R27" s="80"/>
      <c r="S27" s="80"/>
      <c r="T27" s="87"/>
      <c r="U27" s="80"/>
      <c r="V27" s="80"/>
    </row>
    <row r="28" spans="1:22" ht="13.5">
      <c r="A28" s="94"/>
      <c r="B28" s="88"/>
      <c r="C28" s="89"/>
      <c r="D28" s="89"/>
      <c r="E28" s="89"/>
      <c r="F28" s="89"/>
      <c r="G28" s="89"/>
      <c r="H28" s="90"/>
      <c r="I28" s="89"/>
      <c r="J28" s="91"/>
      <c r="K28" s="91"/>
      <c r="L28" s="89"/>
      <c r="M28" s="92"/>
      <c r="N28" s="92"/>
      <c r="O28" s="89"/>
      <c r="P28" s="88"/>
      <c r="Q28" s="89"/>
      <c r="R28" s="88"/>
      <c r="S28" s="88"/>
      <c r="T28" s="93"/>
      <c r="U28" s="93"/>
      <c r="V28" s="93"/>
    </row>
    <row r="29" spans="1:22">
      <c r="B29" s="45"/>
      <c r="C29" s="40"/>
      <c r="D29" s="40"/>
      <c r="E29" s="40"/>
      <c r="F29" s="40"/>
      <c r="G29" s="40"/>
      <c r="H29" s="41"/>
      <c r="I29" s="40"/>
      <c r="J29" s="42"/>
      <c r="K29" s="42"/>
      <c r="L29" s="40"/>
      <c r="M29" s="43"/>
      <c r="N29" s="43"/>
      <c r="O29" s="44"/>
      <c r="P29" s="45"/>
      <c r="Q29" s="46"/>
      <c r="R29" s="45"/>
      <c r="S29" s="45"/>
      <c r="T29" s="47"/>
      <c r="U29" s="45"/>
      <c r="V29" s="45"/>
    </row>
    <row r="30" spans="1:22">
      <c r="B30" s="45"/>
      <c r="C30" s="40"/>
      <c r="D30" s="40"/>
      <c r="E30" s="40"/>
      <c r="F30" s="40"/>
      <c r="G30" s="40"/>
      <c r="H30" s="41"/>
      <c r="I30" s="40"/>
      <c r="J30" s="42"/>
      <c r="K30" s="42"/>
      <c r="L30" s="40"/>
      <c r="M30" s="43"/>
      <c r="N30" s="43"/>
      <c r="O30" s="44"/>
      <c r="P30" s="45"/>
      <c r="Q30" s="46"/>
      <c r="R30" s="45"/>
      <c r="S30" s="45"/>
      <c r="T30" s="47"/>
      <c r="U30" s="45"/>
      <c r="V30" s="45"/>
    </row>
    <row r="31" spans="1:22">
      <c r="B31" s="45"/>
      <c r="C31" s="40"/>
      <c r="D31" s="40"/>
      <c r="E31" s="40"/>
      <c r="F31" s="40"/>
      <c r="G31" s="40"/>
      <c r="H31" s="41"/>
      <c r="I31" s="40"/>
      <c r="J31" s="42"/>
      <c r="K31" s="42"/>
      <c r="L31" s="40"/>
      <c r="M31" s="43"/>
      <c r="N31" s="43"/>
      <c r="O31" s="44"/>
      <c r="P31" s="45"/>
      <c r="Q31" s="46"/>
      <c r="R31" s="45"/>
      <c r="S31" s="45"/>
      <c r="T31" s="47"/>
      <c r="U31" s="45"/>
      <c r="V31" s="45"/>
    </row>
    <row r="32" spans="1:22">
      <c r="B32" s="45"/>
      <c r="C32" s="40"/>
      <c r="D32" s="40"/>
      <c r="E32" s="40"/>
      <c r="F32" s="40"/>
      <c r="G32" s="40"/>
      <c r="H32" s="41"/>
      <c r="I32" s="40"/>
      <c r="J32" s="42"/>
      <c r="K32" s="42"/>
      <c r="L32" s="40"/>
      <c r="M32" s="43"/>
      <c r="N32" s="43"/>
      <c r="O32" s="44"/>
      <c r="P32" s="45"/>
      <c r="Q32" s="46"/>
      <c r="R32" s="45"/>
      <c r="S32" s="45"/>
      <c r="T32" s="47"/>
      <c r="U32" s="45"/>
      <c r="V32" s="45"/>
    </row>
    <row r="33" spans="2:22">
      <c r="B33" s="45"/>
      <c r="C33" s="40"/>
      <c r="D33" s="40"/>
      <c r="E33" s="40"/>
      <c r="F33" s="40"/>
      <c r="G33" s="40"/>
      <c r="H33" s="41"/>
      <c r="I33" s="40"/>
      <c r="J33" s="42"/>
      <c r="K33" s="42"/>
      <c r="L33" s="40"/>
      <c r="M33" s="43"/>
      <c r="N33" s="43"/>
      <c r="O33" s="44"/>
      <c r="P33" s="45"/>
      <c r="Q33" s="46"/>
      <c r="R33" s="45"/>
      <c r="S33" s="45"/>
      <c r="T33" s="47"/>
      <c r="U33" s="45"/>
      <c r="V33" s="45"/>
    </row>
    <row r="34" spans="2:22">
      <c r="B34" s="45"/>
      <c r="C34" s="40"/>
      <c r="D34" s="40"/>
      <c r="E34" s="40"/>
      <c r="F34" s="40"/>
      <c r="G34" s="40"/>
      <c r="H34" s="41"/>
      <c r="I34" s="40"/>
      <c r="J34" s="42"/>
      <c r="K34" s="42"/>
      <c r="L34" s="40"/>
      <c r="M34" s="43"/>
      <c r="N34" s="43"/>
      <c r="O34" s="44"/>
      <c r="P34" s="45"/>
      <c r="Q34" s="46"/>
      <c r="R34" s="45"/>
      <c r="S34" s="45"/>
      <c r="T34" s="47"/>
      <c r="U34" s="45"/>
      <c r="V34" s="45"/>
    </row>
    <row r="35" spans="2:22">
      <c r="B35" s="45"/>
      <c r="C35" s="40"/>
      <c r="D35" s="40"/>
      <c r="E35" s="40"/>
      <c r="F35" s="40"/>
      <c r="G35" s="40"/>
      <c r="H35" s="41"/>
      <c r="I35" s="40"/>
      <c r="J35" s="42"/>
      <c r="K35" s="42"/>
      <c r="L35" s="40"/>
      <c r="M35" s="43"/>
      <c r="N35" s="43"/>
      <c r="O35" s="44"/>
      <c r="P35" s="45"/>
      <c r="Q35" s="46"/>
      <c r="R35" s="45"/>
      <c r="S35" s="45"/>
      <c r="T35" s="47"/>
      <c r="U35" s="45"/>
      <c r="V35" s="45"/>
    </row>
    <row r="36" spans="2:22">
      <c r="B36" s="45"/>
      <c r="C36" s="40"/>
      <c r="D36" s="40"/>
      <c r="E36" s="40"/>
      <c r="F36" s="40"/>
      <c r="G36" s="40"/>
      <c r="H36" s="41"/>
      <c r="I36" s="40"/>
      <c r="J36" s="42"/>
      <c r="K36" s="42"/>
      <c r="L36" s="40"/>
      <c r="M36" s="43"/>
      <c r="N36" s="43"/>
      <c r="O36" s="44"/>
      <c r="P36" s="45"/>
      <c r="Q36" s="46"/>
      <c r="R36" s="45"/>
      <c r="S36" s="45"/>
      <c r="T36" s="47"/>
      <c r="U36" s="45"/>
      <c r="V36" s="45"/>
    </row>
    <row r="37" spans="2:22">
      <c r="B37" s="45"/>
      <c r="C37" s="40"/>
      <c r="D37" s="40"/>
      <c r="E37" s="40"/>
      <c r="F37" s="40"/>
      <c r="G37" s="40"/>
      <c r="H37" s="41"/>
      <c r="I37" s="40"/>
      <c r="J37" s="42"/>
      <c r="K37" s="42"/>
      <c r="L37" s="40"/>
      <c r="M37" s="43"/>
      <c r="N37" s="43"/>
      <c r="O37" s="44"/>
      <c r="P37" s="45"/>
      <c r="Q37" s="46"/>
      <c r="R37" s="45"/>
      <c r="S37" s="45"/>
      <c r="T37" s="47"/>
      <c r="U37" s="45"/>
      <c r="V37" s="45"/>
    </row>
    <row r="38" spans="2:22">
      <c r="B38" s="45"/>
      <c r="C38" s="40"/>
      <c r="D38" s="40"/>
      <c r="E38" s="40"/>
      <c r="F38" s="40"/>
      <c r="G38" s="40"/>
      <c r="H38" s="41"/>
      <c r="I38" s="40"/>
      <c r="J38" s="42"/>
      <c r="K38" s="42"/>
      <c r="L38" s="40"/>
      <c r="M38" s="43"/>
      <c r="N38" s="43"/>
      <c r="O38" s="44"/>
      <c r="P38" s="45"/>
      <c r="Q38" s="46"/>
      <c r="R38" s="45"/>
      <c r="S38" s="45"/>
      <c r="T38" s="47"/>
      <c r="U38" s="45"/>
      <c r="V38" s="45"/>
    </row>
    <row r="39" spans="2:22">
      <c r="B39" s="45"/>
      <c r="C39" s="40"/>
      <c r="D39" s="40"/>
      <c r="E39" s="40"/>
      <c r="F39" s="40"/>
      <c r="G39" s="40"/>
      <c r="H39" s="41"/>
      <c r="I39" s="40"/>
      <c r="J39" s="42"/>
      <c r="K39" s="42"/>
      <c r="L39" s="40"/>
      <c r="M39" s="43"/>
      <c r="N39" s="43"/>
      <c r="O39" s="44"/>
      <c r="P39" s="45"/>
      <c r="Q39" s="46"/>
      <c r="R39" s="45"/>
      <c r="S39" s="45"/>
      <c r="T39" s="47"/>
      <c r="U39" s="45"/>
      <c r="V39" s="45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opLeftCell="D1" workbookViewId="0">
      <selection activeCell="O9" sqref="O9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>
      <c r="B1" s="198" t="s">
        <v>38</v>
      </c>
      <c r="C1" s="198"/>
    </row>
    <row r="2" spans="1:25" ht="12" thickTop="1">
      <c r="B2" s="3" t="s">
        <v>0</v>
      </c>
      <c r="C2" s="4">
        <v>43061</v>
      </c>
    </row>
    <row r="3" spans="1:25">
      <c r="B3" s="3" t="s">
        <v>1</v>
      </c>
      <c r="C3" s="3">
        <v>0.02</v>
      </c>
    </row>
    <row r="4" spans="1:25" ht="12" thickBot="1">
      <c r="B4" s="5" t="s">
        <v>18</v>
      </c>
      <c r="C4" s="5">
        <v>0.01</v>
      </c>
    </row>
    <row r="5" spans="1:25" ht="12" thickTop="1"/>
    <row r="6" spans="1:25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>
      <c r="A8" s="63"/>
      <c r="B8" s="24" t="s">
        <v>198</v>
      </c>
      <c r="C8" s="19" t="s">
        <v>187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 t="e">
        <f>RTD("wdf.rtq",,F8,"LastPrice")</f>
        <v>#N/A</v>
      </c>
      <c r="I8" s="19">
        <v>3800</v>
      </c>
      <c r="J8" s="19">
        <v>3890</v>
      </c>
      <c r="K8" s="19" t="e">
        <f>_xll.dnetDiscreteAdjustedBarrier($H8,$J8,$R8,1/365)</f>
        <v>#VALUE!</v>
      </c>
      <c r="L8" s="65">
        <v>0.02</v>
      </c>
      <c r="M8" s="21">
        <f ca="1">TODAY()</f>
        <v>43105</v>
      </c>
      <c r="N8" s="21">
        <f ca="1">M8+O8</f>
        <v>43135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 t="e">
        <f>_xll.dnetStandardBarrierNGreeks("price",G8,H8,I8,K8,L8*H8,P8,$C$3,Q8,R8,$C$4)*E8</f>
        <v>#VALUE!</v>
      </c>
      <c r="T8" s="25">
        <v>80</v>
      </c>
      <c r="U8" s="24" t="e">
        <f>T8/10000*P8*H8</f>
        <v>#N/A</v>
      </c>
      <c r="V8" s="24" t="e">
        <f>IF(S8&lt;=0,ABS(S8)+U8,S8-U8)</f>
        <v>#VALUE!</v>
      </c>
      <c r="W8" s="26" t="e">
        <f>V8/H8</f>
        <v>#VALUE!</v>
      </c>
      <c r="X8" s="24" t="e">
        <f>_xll.dnetStandardBarrierNGreeks("delta",G8,H8,I8,K8,L8*H8,P8,$C$3,Q8,R8,$C$4)</f>
        <v>#VALUE!</v>
      </c>
      <c r="Y8" s="24" t="e">
        <f>_xll.dnetStandardBarrierNGreeks("vega",G8,H8,I8,K8,L8*H8,P8,$C$3,Q8,R8,$C$4)</f>
        <v>#VALUE!</v>
      </c>
    </row>
    <row r="9" spans="1:25">
      <c r="A9" s="63"/>
      <c r="B9" s="13" t="s">
        <v>199</v>
      </c>
      <c r="C9" s="10" t="s">
        <v>189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66">
        <v>5.0000000000000001E-3</v>
      </c>
      <c r="M9" s="8">
        <f ca="1">TODAY()</f>
        <v>43105</v>
      </c>
      <c r="N9" s="8">
        <f ca="1">M9+O9</f>
        <v>43285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66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66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66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workbookViewId="0">
      <selection activeCell="J27" sqref="J27"/>
    </sheetView>
  </sheetViews>
  <sheetFormatPr defaultRowHeight="13.5"/>
  <cols>
    <col min="1" max="1" width="10.875" bestFit="1" customWidth="1"/>
  </cols>
  <sheetData>
    <row r="1" spans="1:6" ht="15.75" thickBot="1">
      <c r="A1" s="95">
        <v>43087</v>
      </c>
      <c r="B1" s="96"/>
      <c r="C1" s="97" t="s">
        <v>49</v>
      </c>
      <c r="D1" s="96"/>
      <c r="E1" s="97" t="s">
        <v>50</v>
      </c>
      <c r="F1" s="98"/>
    </row>
    <row r="2" spans="1:6" ht="15.75" thickBot="1">
      <c r="A2" s="99" t="s">
        <v>51</v>
      </c>
      <c r="B2" s="100" t="s">
        <v>52</v>
      </c>
      <c r="C2" s="101" t="s">
        <v>53</v>
      </c>
      <c r="D2" s="101" t="s">
        <v>54</v>
      </c>
      <c r="E2" s="101" t="s">
        <v>55</v>
      </c>
      <c r="F2" s="102" t="s">
        <v>56</v>
      </c>
    </row>
    <row r="3" spans="1:6" ht="15.75" thickBot="1">
      <c r="A3" s="103" t="s">
        <v>57</v>
      </c>
      <c r="B3" s="104" t="s">
        <v>58</v>
      </c>
      <c r="C3" s="105">
        <v>0.20499999999999999</v>
      </c>
      <c r="D3" s="105">
        <v>0.25</v>
      </c>
      <c r="E3" s="105">
        <v>0.21</v>
      </c>
      <c r="F3" s="107">
        <v>0.25</v>
      </c>
    </row>
    <row r="4" spans="1:6" ht="15.75" thickBot="1">
      <c r="A4" s="99" t="s">
        <v>59</v>
      </c>
      <c r="B4" s="100" t="s">
        <v>60</v>
      </c>
      <c r="C4" s="108">
        <v>0.13750000000000001</v>
      </c>
      <c r="D4" s="108">
        <v>0.1825</v>
      </c>
      <c r="E4" s="108">
        <v>0.14499999999999999</v>
      </c>
      <c r="F4" s="109">
        <v>0.185</v>
      </c>
    </row>
    <row r="5" spans="1:6" ht="15.75" thickBot="1">
      <c r="A5" s="103" t="s">
        <v>61</v>
      </c>
      <c r="B5" s="104" t="s">
        <v>62</v>
      </c>
      <c r="C5" s="106"/>
      <c r="D5" s="106"/>
      <c r="E5" s="106"/>
      <c r="F5" s="110"/>
    </row>
    <row r="6" spans="1:6" ht="15.75" thickBot="1">
      <c r="A6" s="99" t="s">
        <v>63</v>
      </c>
      <c r="B6" s="100" t="s">
        <v>64</v>
      </c>
      <c r="C6" s="111">
        <v>0.29499999999999998</v>
      </c>
      <c r="D6" s="111">
        <v>0.35499999999999998</v>
      </c>
      <c r="E6" s="111">
        <v>0.26500000000000001</v>
      </c>
      <c r="F6" s="112">
        <v>0.315</v>
      </c>
    </row>
    <row r="7" spans="1:6" ht="15.75" thickBot="1">
      <c r="A7" s="103" t="s">
        <v>65</v>
      </c>
      <c r="B7" s="104" t="s">
        <v>66</v>
      </c>
      <c r="C7" s="105">
        <v>0.15</v>
      </c>
      <c r="D7" s="105">
        <v>0.19</v>
      </c>
      <c r="E7" s="105">
        <v>0.155</v>
      </c>
      <c r="F7" s="107">
        <v>0.19</v>
      </c>
    </row>
    <row r="8" spans="1:6" ht="15.75" thickBot="1">
      <c r="A8" s="99" t="s">
        <v>67</v>
      </c>
      <c r="B8" s="100" t="s">
        <v>68</v>
      </c>
      <c r="C8" s="111">
        <v>0.32</v>
      </c>
      <c r="D8" s="111">
        <v>0.44</v>
      </c>
      <c r="E8" s="111">
        <v>0.32</v>
      </c>
      <c r="F8" s="112">
        <v>0.42</v>
      </c>
    </row>
    <row r="9" spans="1:6" ht="15.75" thickBot="1">
      <c r="A9" s="103" t="s">
        <v>69</v>
      </c>
      <c r="B9" s="104" t="s">
        <v>70</v>
      </c>
      <c r="C9" s="105">
        <v>0.32</v>
      </c>
      <c r="D9" s="105">
        <v>0.44</v>
      </c>
      <c r="E9" s="105">
        <v>0.32</v>
      </c>
      <c r="F9" s="107">
        <v>0.42</v>
      </c>
    </row>
    <row r="10" spans="1:6" ht="15.75" thickBot="1">
      <c r="A10" s="99" t="s">
        <v>71</v>
      </c>
      <c r="B10" s="100" t="s">
        <v>72</v>
      </c>
      <c r="C10" s="111">
        <v>0.24</v>
      </c>
      <c r="D10" s="111">
        <v>0.32</v>
      </c>
      <c r="E10" s="111">
        <v>0.27</v>
      </c>
      <c r="F10" s="112">
        <v>0.34</v>
      </c>
    </row>
    <row r="11" spans="1:6" ht="15.75" thickBot="1">
      <c r="A11" s="103" t="s">
        <v>73</v>
      </c>
      <c r="B11" s="104" t="s">
        <v>74</v>
      </c>
      <c r="C11" s="105">
        <v>0.32250000000000001</v>
      </c>
      <c r="D11" s="105">
        <v>0.39750000000000002</v>
      </c>
      <c r="E11" s="105">
        <v>0.32500000000000001</v>
      </c>
      <c r="F11" s="107">
        <v>0.39500000000000002</v>
      </c>
    </row>
    <row r="12" spans="1:6" ht="15.75" thickBot="1">
      <c r="A12" s="99" t="s">
        <v>75</v>
      </c>
      <c r="B12" s="100" t="s">
        <v>76</v>
      </c>
      <c r="C12" s="111">
        <v>0.215</v>
      </c>
      <c r="D12" s="111">
        <v>0.28499999999999998</v>
      </c>
      <c r="E12" s="111">
        <v>0.23499999999999999</v>
      </c>
      <c r="F12" s="112">
        <v>0.30499999999999999</v>
      </c>
    </row>
    <row r="13" spans="1:6" ht="15.75" thickBot="1">
      <c r="A13" s="103" t="s">
        <v>77</v>
      </c>
      <c r="B13" s="104" t="s">
        <v>78</v>
      </c>
      <c r="C13" s="105">
        <v>9.2499999999999999E-2</v>
      </c>
      <c r="D13" s="105">
        <v>0.1225</v>
      </c>
      <c r="E13" s="105">
        <v>0.1</v>
      </c>
      <c r="F13" s="107">
        <v>0.13</v>
      </c>
    </row>
    <row r="14" spans="1:6" ht="15.75" thickBot="1">
      <c r="A14" s="99" t="s">
        <v>79</v>
      </c>
      <c r="B14" s="100" t="s">
        <v>80</v>
      </c>
      <c r="C14" s="108">
        <v>0.11</v>
      </c>
      <c r="D14" s="108">
        <v>0.17</v>
      </c>
      <c r="E14" s="108">
        <v>0.14499999999999999</v>
      </c>
      <c r="F14" s="109">
        <v>0.19500000000000001</v>
      </c>
    </row>
    <row r="15" spans="1:6" ht="15.75" thickBot="1">
      <c r="A15" s="103" t="s">
        <v>81</v>
      </c>
      <c r="B15" s="104" t="s">
        <v>82</v>
      </c>
      <c r="C15" s="106"/>
      <c r="D15" s="106"/>
      <c r="E15" s="106"/>
      <c r="F15" s="110"/>
    </row>
    <row r="16" spans="1:6" ht="15.75" thickBot="1">
      <c r="A16" s="99" t="s">
        <v>83</v>
      </c>
      <c r="B16" s="100" t="s">
        <v>84</v>
      </c>
      <c r="C16" s="111">
        <v>0.13</v>
      </c>
      <c r="D16" s="111">
        <v>0.19</v>
      </c>
      <c r="E16" s="111">
        <v>0.185</v>
      </c>
      <c r="F16" s="112">
        <v>0.23499999999999999</v>
      </c>
    </row>
    <row r="17" spans="1:6" ht="15.75" thickBot="1">
      <c r="A17" s="103" t="s">
        <v>85</v>
      </c>
      <c r="B17" s="104" t="s">
        <v>86</v>
      </c>
      <c r="C17" s="113">
        <v>0.14749999999999999</v>
      </c>
      <c r="D17" s="113">
        <v>0.19750000000000001</v>
      </c>
      <c r="E17" s="113">
        <v>0.16</v>
      </c>
      <c r="F17" s="114">
        <v>0.21</v>
      </c>
    </row>
    <row r="18" spans="1:6" ht="15.75" thickBot="1">
      <c r="A18" s="99" t="s">
        <v>87</v>
      </c>
      <c r="B18" s="100" t="s">
        <v>88</v>
      </c>
      <c r="C18" s="115"/>
      <c r="D18" s="115"/>
      <c r="E18" s="115"/>
      <c r="F18" s="116"/>
    </row>
    <row r="19" spans="1:6" ht="15.75" thickBot="1">
      <c r="A19" s="103" t="s">
        <v>89</v>
      </c>
      <c r="B19" s="104" t="s">
        <v>90</v>
      </c>
      <c r="C19" s="106"/>
      <c r="D19" s="106"/>
      <c r="E19" s="106"/>
      <c r="F19" s="110"/>
    </row>
    <row r="20" spans="1:6" ht="15.75" thickBot="1">
      <c r="A20" s="99" t="s">
        <v>91</v>
      </c>
      <c r="B20" s="100" t="s">
        <v>92</v>
      </c>
      <c r="C20" s="108">
        <v>0.09</v>
      </c>
      <c r="D20" s="108">
        <v>0.17</v>
      </c>
      <c r="E20" s="108">
        <v>0.11</v>
      </c>
      <c r="F20" s="109">
        <v>0.19</v>
      </c>
    </row>
    <row r="21" spans="1:6" ht="15.75" thickBot="1">
      <c r="A21" s="103" t="s">
        <v>93</v>
      </c>
      <c r="B21" s="104" t="s">
        <v>94</v>
      </c>
      <c r="C21" s="106"/>
      <c r="D21" s="106"/>
      <c r="E21" s="106"/>
      <c r="F21" s="110"/>
    </row>
    <row r="22" spans="1:6" ht="15.75" thickBot="1">
      <c r="A22" s="99" t="s">
        <v>95</v>
      </c>
      <c r="B22" s="100" t="s">
        <v>96</v>
      </c>
      <c r="C22" s="111">
        <v>0.12</v>
      </c>
      <c r="D22" s="111">
        <v>0.16</v>
      </c>
      <c r="E22" s="111">
        <v>0.13500000000000001</v>
      </c>
      <c r="F22" s="112">
        <v>0.17</v>
      </c>
    </row>
    <row r="23" spans="1:6" ht="15.75" thickBot="1">
      <c r="A23" s="103" t="s">
        <v>97</v>
      </c>
      <c r="B23" s="104" t="s">
        <v>98</v>
      </c>
      <c r="C23" s="105">
        <v>0.12</v>
      </c>
      <c r="D23" s="105">
        <v>0.16</v>
      </c>
      <c r="E23" s="105">
        <v>0.13500000000000001</v>
      </c>
      <c r="F23" s="107">
        <v>0.17499999999999999</v>
      </c>
    </row>
    <row r="24" spans="1:6" ht="15.75" thickBot="1">
      <c r="A24" s="99" t="s">
        <v>39</v>
      </c>
      <c r="B24" s="100" t="s">
        <v>99</v>
      </c>
      <c r="C24" s="111">
        <v>7.7499999999999999E-2</v>
      </c>
      <c r="D24" s="111">
        <v>0.1225</v>
      </c>
      <c r="E24" s="111">
        <v>8.5000000000000006E-2</v>
      </c>
      <c r="F24" s="112">
        <v>0.125</v>
      </c>
    </row>
    <row r="25" spans="1:6" ht="15.75" thickBot="1">
      <c r="A25" s="103" t="s">
        <v>100</v>
      </c>
      <c r="B25" s="104" t="s">
        <v>101</v>
      </c>
      <c r="C25" s="105">
        <v>0.1</v>
      </c>
      <c r="D25" s="105">
        <v>0.15</v>
      </c>
      <c r="E25" s="105">
        <v>0.105</v>
      </c>
      <c r="F25" s="107">
        <v>0.155</v>
      </c>
    </row>
    <row r="26" spans="1:6" ht="15.75" thickBot="1">
      <c r="A26" s="99" t="s">
        <v>102</v>
      </c>
      <c r="B26" s="100" t="s">
        <v>103</v>
      </c>
      <c r="C26" s="108">
        <v>0.2</v>
      </c>
      <c r="D26" s="108">
        <v>0.28000000000000003</v>
      </c>
      <c r="E26" s="108">
        <v>0.2</v>
      </c>
      <c r="F26" s="109">
        <v>0.27</v>
      </c>
    </row>
    <row r="27" spans="1:6" ht="15.75" thickBot="1">
      <c r="A27" s="103" t="s">
        <v>104</v>
      </c>
      <c r="B27" s="104" t="s">
        <v>105</v>
      </c>
      <c r="C27" s="117"/>
      <c r="D27" s="117"/>
      <c r="E27" s="117"/>
      <c r="F27" s="118"/>
    </row>
    <row r="28" spans="1:6" ht="15.75" thickBot="1">
      <c r="A28" s="99" t="s">
        <v>106</v>
      </c>
      <c r="B28" s="100" t="s">
        <v>107</v>
      </c>
      <c r="C28" s="119"/>
      <c r="D28" s="119"/>
      <c r="E28" s="119"/>
      <c r="F28" s="120"/>
    </row>
    <row r="29" spans="1:6" ht="15.75" thickBot="1">
      <c r="A29" s="103" t="s">
        <v>108</v>
      </c>
      <c r="B29" s="104" t="s">
        <v>109</v>
      </c>
      <c r="C29" s="105">
        <v>0.23250000000000001</v>
      </c>
      <c r="D29" s="105">
        <v>0.28749999999999998</v>
      </c>
      <c r="E29" s="105">
        <v>0.22</v>
      </c>
      <c r="F29" s="107">
        <v>0.27</v>
      </c>
    </row>
    <row r="30" spans="1:6" ht="15.75" thickBot="1">
      <c r="A30" s="99" t="s">
        <v>110</v>
      </c>
      <c r="B30" s="100" t="s">
        <v>111</v>
      </c>
      <c r="C30" s="108">
        <v>0.19</v>
      </c>
      <c r="D30" s="108">
        <v>0.23</v>
      </c>
      <c r="E30" s="108">
        <v>0.2</v>
      </c>
      <c r="F30" s="109">
        <v>0.24</v>
      </c>
    </row>
    <row r="31" spans="1:6" ht="15.75" thickBot="1">
      <c r="A31" s="103" t="s">
        <v>112</v>
      </c>
      <c r="B31" s="104" t="s">
        <v>113</v>
      </c>
      <c r="C31" s="106"/>
      <c r="D31" s="106"/>
      <c r="E31" s="106"/>
      <c r="F31" s="110"/>
    </row>
    <row r="32" spans="1:6" ht="15.75" thickBot="1">
      <c r="A32" s="99" t="s">
        <v>114</v>
      </c>
      <c r="B32" s="100" t="s">
        <v>115</v>
      </c>
      <c r="C32" s="111">
        <v>0.3</v>
      </c>
      <c r="D32" s="111">
        <v>0.4</v>
      </c>
      <c r="E32" s="111">
        <v>0.30499999999999999</v>
      </c>
      <c r="F32" s="112">
        <v>0.39500000000000002</v>
      </c>
    </row>
    <row r="33" spans="1:6" ht="15.75" thickBot="1">
      <c r="A33" s="103" t="s">
        <v>116</v>
      </c>
      <c r="B33" s="104" t="s">
        <v>117</v>
      </c>
      <c r="C33" s="105">
        <v>0.1225</v>
      </c>
      <c r="D33" s="105">
        <v>0.16250000000000001</v>
      </c>
      <c r="E33" s="105">
        <v>0.13</v>
      </c>
      <c r="F33" s="107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H28" sqref="H28"/>
    </sheetView>
  </sheetViews>
  <sheetFormatPr defaultRowHeight="13.5"/>
  <cols>
    <col min="1" max="1" width="9" style="1"/>
  </cols>
  <sheetData>
    <row r="1" spans="1:16">
      <c r="A1" s="16" t="s">
        <v>36</v>
      </c>
      <c r="B1" s="2" t="s">
        <v>19</v>
      </c>
      <c r="C1" s="2" t="s">
        <v>24</v>
      </c>
      <c r="K1" s="48" t="s">
        <v>155</v>
      </c>
      <c r="L1" s="48" t="s">
        <v>152</v>
      </c>
      <c r="M1" s="48"/>
      <c r="N1" s="48"/>
      <c r="O1" s="48"/>
      <c r="P1" s="48"/>
    </row>
    <row r="2" spans="1:16">
      <c r="A2" s="16" t="s">
        <v>3</v>
      </c>
      <c r="B2" s="2" t="s">
        <v>21</v>
      </c>
      <c r="C2" s="2" t="s">
        <v>25</v>
      </c>
      <c r="K2" s="48" t="s">
        <v>156</v>
      </c>
      <c r="L2" s="48" t="s">
        <v>157</v>
      </c>
      <c r="M2" s="48"/>
      <c r="N2" s="48"/>
      <c r="O2" s="48"/>
      <c r="P2" s="48"/>
    </row>
    <row r="3" spans="1:16">
      <c r="A3" s="2" t="s">
        <v>5</v>
      </c>
      <c r="C3" s="2" t="s">
        <v>153</v>
      </c>
    </row>
    <row r="4" spans="1:16">
      <c r="A4" s="2" t="s">
        <v>4</v>
      </c>
      <c r="C4" s="2" t="s">
        <v>154</v>
      </c>
    </row>
    <row r="5" spans="1:16">
      <c r="A5" s="2" t="s">
        <v>6</v>
      </c>
    </row>
    <row r="6" spans="1:16">
      <c r="A6" s="2" t="s">
        <v>35</v>
      </c>
    </row>
    <row r="7" spans="1:16">
      <c r="A7" s="2" t="s">
        <v>42</v>
      </c>
    </row>
    <row r="8" spans="1:16">
      <c r="A8" s="2" t="s">
        <v>43</v>
      </c>
    </row>
    <row r="9" spans="1:16">
      <c r="A9" s="2" t="s">
        <v>188</v>
      </c>
    </row>
    <row r="10" spans="1:16">
      <c r="A10" s="2" t="s">
        <v>196</v>
      </c>
    </row>
    <row r="11" spans="1:16">
      <c r="A11" s="2" t="s">
        <v>203</v>
      </c>
    </row>
    <row r="12" spans="1:16">
      <c r="A12" s="2" t="s">
        <v>204</v>
      </c>
    </row>
    <row r="13" spans="1:16">
      <c r="A13" s="2" t="s">
        <v>205</v>
      </c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>
      <c r="B1" s="205" t="s">
        <v>37</v>
      </c>
      <c r="C1" s="205"/>
    </row>
    <row r="2" spans="1:21" ht="12" thickTop="1">
      <c r="B2" s="3" t="s">
        <v>0</v>
      </c>
      <c r="C2" s="4">
        <v>43061</v>
      </c>
    </row>
    <row r="3" spans="1:21">
      <c r="B3" s="3" t="s">
        <v>1</v>
      </c>
      <c r="C3" s="3">
        <v>0.02</v>
      </c>
    </row>
    <row r="4" spans="1:21" ht="12" thickBot="1">
      <c r="B4" s="5" t="s">
        <v>18</v>
      </c>
      <c r="C4" s="5">
        <v>0.01</v>
      </c>
    </row>
    <row r="5" spans="1:21" ht="12" thickTop="1"/>
    <row r="6" spans="1:21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>
      <c r="A8" s="27"/>
      <c r="B8" s="24" t="s">
        <v>198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 t="e">
        <f>RTD("wdf.rtq",,F8,"LastPrice")</f>
        <v>#N/A</v>
      </c>
      <c r="I8" s="19">
        <v>3800</v>
      </c>
      <c r="J8" s="21">
        <f ca="1">TODAY()</f>
        <v>43105</v>
      </c>
      <c r="K8" s="21">
        <f ca="1">J8+L8</f>
        <v>43135</v>
      </c>
      <c r="L8" s="19">
        <v>30</v>
      </c>
      <c r="M8" s="22">
        <f>L8/365</f>
        <v>8.2191780821917804E-2</v>
      </c>
      <c r="N8" s="23">
        <v>0.3</v>
      </c>
      <c r="O8" s="24" t="e">
        <f>_xll.dnetGBlackScholesNGreeks("price",$G8,$H8,$I8,$M8,$C$3,$C$4,$N8)</f>
        <v>#VALUE!</v>
      </c>
      <c r="P8" s="25">
        <v>80</v>
      </c>
      <c r="Q8" s="24" t="e">
        <f>P8/10000*M8*H8*(-E8)</f>
        <v>#N/A</v>
      </c>
      <c r="R8" s="24" t="e">
        <f>O8+Q8</f>
        <v>#VALUE!</v>
      </c>
      <c r="S8" s="26" t="e">
        <f>R8/H8</f>
        <v>#VALUE!</v>
      </c>
      <c r="T8" s="24" t="e">
        <f>_xll.dnetGBlackScholesNGreeks("delta",$G8,$H8,$I8,$M8,$C$3,$C$4,$N8,$C$4)</f>
        <v>#VALUE!</v>
      </c>
      <c r="U8" s="24" t="e">
        <f>_xll.dnetGBlackScholesNGreeks("vega",$G8,$H8,$I8,$M8,$C$3,$C$4,$N8)</f>
        <v>#VALUE!</v>
      </c>
    </row>
    <row r="9" spans="1:21">
      <c r="A9" s="27"/>
      <c r="B9" s="13" t="s">
        <v>199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43105</v>
      </c>
      <c r="K9" s="8">
        <f ca="1">J9+L9</f>
        <v>43135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43105</v>
      </c>
      <c r="K10" s="8">
        <f ca="1">J10+L10</f>
        <v>43135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offer_van combo</vt:lpstr>
      <vt:lpstr>recap</vt:lpstr>
      <vt:lpstr>offer_van_sf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2018-01-05T05:59:36Z</dcterms:modified>
</cp:coreProperties>
</file>