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firstSheet="1" activeTab="3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H37" i="9" l="1"/>
  <c r="Q36" i="9"/>
  <c r="Q37" i="9" s="1"/>
  <c r="I36" i="9"/>
  <c r="I37" i="9" s="1"/>
  <c r="E36" i="9"/>
  <c r="E37" i="9" s="1"/>
  <c r="D36" i="9"/>
  <c r="J35" i="9"/>
  <c r="F35" i="9"/>
  <c r="F36" i="9" s="1"/>
  <c r="F37" i="9" s="1"/>
  <c r="D35" i="9"/>
  <c r="H34" i="9"/>
  <c r="Q33" i="9"/>
  <c r="Q34" i="9" s="1"/>
  <c r="I33" i="9"/>
  <c r="I34" i="9" s="1"/>
  <c r="E33" i="9"/>
  <c r="E34" i="9" s="1"/>
  <c r="D33" i="9"/>
  <c r="J32" i="9"/>
  <c r="F32" i="9"/>
  <c r="F33" i="9" s="1"/>
  <c r="F34" i="9" s="1"/>
  <c r="D32" i="9"/>
  <c r="H31" i="9"/>
  <c r="Q30" i="9"/>
  <c r="Q31" i="9" s="1"/>
  <c r="I30" i="9"/>
  <c r="I31" i="9" s="1"/>
  <c r="E30" i="9"/>
  <c r="E31" i="9" s="1"/>
  <c r="D30" i="9"/>
  <c r="J29" i="9"/>
  <c r="F29" i="9"/>
  <c r="F30" i="9" s="1"/>
  <c r="F31" i="9" s="1"/>
  <c r="D29" i="9"/>
  <c r="H25" i="9"/>
  <c r="H28" i="9"/>
  <c r="Q27" i="9"/>
  <c r="Q28" i="9" s="1"/>
  <c r="I27" i="9"/>
  <c r="I28" i="9" s="1"/>
  <c r="E27" i="9"/>
  <c r="E28" i="9" s="1"/>
  <c r="D27" i="9"/>
  <c r="J26" i="9"/>
  <c r="F26" i="9"/>
  <c r="F27" i="9" s="1"/>
  <c r="F28" i="9" s="1"/>
  <c r="D26" i="9"/>
  <c r="Q24" i="9"/>
  <c r="Q25" i="9" s="1"/>
  <c r="I24" i="9"/>
  <c r="I25" i="9" s="1"/>
  <c r="E24" i="9"/>
  <c r="E25" i="9" s="1"/>
  <c r="D24" i="9"/>
  <c r="J23" i="9"/>
  <c r="F23" i="9"/>
  <c r="G23" i="9" s="1"/>
  <c r="G24" i="9" s="1"/>
  <c r="G25" i="9" s="1"/>
  <c r="D23" i="9"/>
  <c r="H22" i="9"/>
  <c r="Q21" i="9"/>
  <c r="Q22" i="9" s="1"/>
  <c r="I21" i="9"/>
  <c r="I22" i="9" s="1"/>
  <c r="E21" i="9"/>
  <c r="E22" i="9" s="1"/>
  <c r="D21" i="9"/>
  <c r="J20" i="9"/>
  <c r="F20" i="9"/>
  <c r="F21" i="9" s="1"/>
  <c r="F22" i="9" s="1"/>
  <c r="D20" i="9"/>
  <c r="I12" i="9"/>
  <c r="I13" i="9" s="1"/>
  <c r="E15" i="9"/>
  <c r="E16" i="9" s="1"/>
  <c r="E10" i="9"/>
  <c r="R63" i="1"/>
  <c r="I63" i="1"/>
  <c r="N63" i="1" s="1"/>
  <c r="E63" i="1"/>
  <c r="F63" i="1" s="1"/>
  <c r="R62" i="1"/>
  <c r="I62" i="1"/>
  <c r="N62" i="1" s="1"/>
  <c r="E62" i="1"/>
  <c r="F62" i="1" s="1"/>
  <c r="R61" i="1"/>
  <c r="I61" i="1"/>
  <c r="N61" i="1" s="1"/>
  <c r="E61" i="1"/>
  <c r="F61" i="1" s="1"/>
  <c r="R60" i="1"/>
  <c r="I60" i="1"/>
  <c r="N60" i="1" s="1"/>
  <c r="E60" i="1"/>
  <c r="F60" i="1" s="1"/>
  <c r="R59" i="1"/>
  <c r="I59" i="1"/>
  <c r="N59" i="1" s="1"/>
  <c r="E59" i="1"/>
  <c r="F59" i="1" s="1"/>
  <c r="R58" i="1"/>
  <c r="I58" i="1"/>
  <c r="N58" i="1" s="1"/>
  <c r="E58" i="1"/>
  <c r="F58" i="1" s="1"/>
  <c r="R57" i="1"/>
  <c r="I57" i="1"/>
  <c r="N57" i="1" s="1"/>
  <c r="E57" i="1"/>
  <c r="F57" i="1" s="1"/>
  <c r="R56" i="1"/>
  <c r="I56" i="1"/>
  <c r="N56" i="1" s="1"/>
  <c r="E56" i="1"/>
  <c r="F56" i="1" s="1"/>
  <c r="R55" i="1"/>
  <c r="I55" i="1"/>
  <c r="N55" i="1" s="1"/>
  <c r="E55" i="1"/>
  <c r="F55" i="1" s="1"/>
  <c r="R54" i="1"/>
  <c r="I54" i="1"/>
  <c r="N54" i="1" s="1"/>
  <c r="E54" i="1"/>
  <c r="F54" i="1" s="1"/>
  <c r="R53" i="1"/>
  <c r="I53" i="1"/>
  <c r="N53" i="1" s="1"/>
  <c r="E53" i="1"/>
  <c r="F53" i="1" s="1"/>
  <c r="R52" i="1"/>
  <c r="I52" i="1"/>
  <c r="N52" i="1" s="1"/>
  <c r="E52" i="1"/>
  <c r="F52" i="1" s="1"/>
  <c r="R51" i="1"/>
  <c r="I51" i="1"/>
  <c r="N51" i="1" s="1"/>
  <c r="E51" i="1"/>
  <c r="F51" i="1" s="1"/>
  <c r="R50" i="1"/>
  <c r="I50" i="1"/>
  <c r="N50" i="1" s="1"/>
  <c r="E50" i="1"/>
  <c r="F50" i="1" s="1"/>
  <c r="R49" i="1"/>
  <c r="I49" i="1"/>
  <c r="N49" i="1" s="1"/>
  <c r="E49" i="1"/>
  <c r="F49" i="1" s="1"/>
  <c r="R48" i="1"/>
  <c r="I48" i="1"/>
  <c r="N48" i="1" s="1"/>
  <c r="E48" i="1"/>
  <c r="F48" i="1" s="1"/>
  <c r="R47" i="1"/>
  <c r="I47" i="1"/>
  <c r="N47" i="1" s="1"/>
  <c r="E47" i="1"/>
  <c r="F47" i="1" s="1"/>
  <c r="R46" i="1"/>
  <c r="I46" i="1"/>
  <c r="N46" i="1" s="1"/>
  <c r="E46" i="1"/>
  <c r="F46" i="1" s="1"/>
  <c r="R45" i="1"/>
  <c r="I45" i="1"/>
  <c r="N45" i="1" s="1"/>
  <c r="E45" i="1"/>
  <c r="F45" i="1" s="1"/>
  <c r="R44" i="1"/>
  <c r="I44" i="1"/>
  <c r="N44" i="1" s="1"/>
  <c r="E44" i="1"/>
  <c r="F44" i="1" s="1"/>
  <c r="R43" i="1"/>
  <c r="I43" i="1"/>
  <c r="N43" i="1" s="1"/>
  <c r="E43" i="1"/>
  <c r="F43" i="1" s="1"/>
  <c r="R42" i="1"/>
  <c r="I42" i="1"/>
  <c r="N42" i="1" s="1"/>
  <c r="E42" i="1"/>
  <c r="F42" i="1" s="1"/>
  <c r="R41" i="1"/>
  <c r="I41" i="1"/>
  <c r="N41" i="1" s="1"/>
  <c r="E41" i="1"/>
  <c r="F41" i="1" s="1"/>
  <c r="R40" i="1"/>
  <c r="I40" i="1"/>
  <c r="N40" i="1" s="1"/>
  <c r="E40" i="1"/>
  <c r="F40" i="1" s="1"/>
  <c r="R39" i="1"/>
  <c r="I39" i="1"/>
  <c r="N39" i="1" s="1"/>
  <c r="E39" i="1"/>
  <c r="F39" i="1" s="1"/>
  <c r="R38" i="1"/>
  <c r="I38" i="1"/>
  <c r="N38" i="1" s="1"/>
  <c r="E38" i="1"/>
  <c r="F38" i="1" s="1"/>
  <c r="R37" i="1"/>
  <c r="I37" i="1"/>
  <c r="N37" i="1" s="1"/>
  <c r="E37" i="1"/>
  <c r="F37" i="1" s="1"/>
  <c r="R36" i="1"/>
  <c r="I36" i="1"/>
  <c r="N36" i="1" s="1"/>
  <c r="E36" i="1"/>
  <c r="F36" i="1" s="1"/>
  <c r="R35" i="1"/>
  <c r="I35" i="1"/>
  <c r="N35" i="1" s="1"/>
  <c r="E35" i="1"/>
  <c r="F35" i="1" s="1"/>
  <c r="R34" i="1"/>
  <c r="I34" i="1"/>
  <c r="N34" i="1" s="1"/>
  <c r="E34" i="1"/>
  <c r="F34" i="1" s="1"/>
  <c r="R33" i="1"/>
  <c r="I33" i="1"/>
  <c r="N33" i="1" s="1"/>
  <c r="E33" i="1"/>
  <c r="F33" i="1" s="1"/>
  <c r="R32" i="1"/>
  <c r="I32" i="1"/>
  <c r="N32" i="1" s="1"/>
  <c r="E32" i="1"/>
  <c r="F32" i="1" s="1"/>
  <c r="R31" i="1"/>
  <c r="I31" i="1"/>
  <c r="N31" i="1" s="1"/>
  <c r="E31" i="1"/>
  <c r="F31" i="1" s="1"/>
  <c r="R30" i="1"/>
  <c r="I30" i="1"/>
  <c r="N30" i="1" s="1"/>
  <c r="E30" i="1"/>
  <c r="F30" i="1" s="1"/>
  <c r="R29" i="1"/>
  <c r="I29" i="1"/>
  <c r="N29" i="1" s="1"/>
  <c r="E29" i="1"/>
  <c r="F29" i="1" s="1"/>
  <c r="R28" i="1"/>
  <c r="I28" i="1"/>
  <c r="N28" i="1" s="1"/>
  <c r="E28" i="1"/>
  <c r="F28" i="1" s="1"/>
  <c r="R27" i="1"/>
  <c r="I27" i="1"/>
  <c r="N27" i="1" s="1"/>
  <c r="E27" i="1"/>
  <c r="F27" i="1" s="1"/>
  <c r="R26" i="1"/>
  <c r="I26" i="1"/>
  <c r="N26" i="1" s="1"/>
  <c r="E26" i="1"/>
  <c r="F26" i="1" s="1"/>
  <c r="R25" i="1"/>
  <c r="I25" i="1"/>
  <c r="E25" i="1"/>
  <c r="F25" i="1" s="1"/>
  <c r="R24" i="1"/>
  <c r="I24" i="1"/>
  <c r="N24" i="1" s="1"/>
  <c r="E24" i="1"/>
  <c r="F24" i="1" s="1"/>
  <c r="R23" i="1"/>
  <c r="I23" i="1"/>
  <c r="N23" i="1" s="1"/>
  <c r="E23" i="1"/>
  <c r="F23" i="1" s="1"/>
  <c r="R22" i="1"/>
  <c r="I22" i="1"/>
  <c r="E22" i="1"/>
  <c r="F22" i="1" s="1"/>
  <c r="R21" i="1"/>
  <c r="I21" i="1"/>
  <c r="N21" i="1" s="1"/>
  <c r="E21" i="1"/>
  <c r="F21" i="1" s="1"/>
  <c r="R20" i="1"/>
  <c r="I20" i="1"/>
  <c r="N20" i="1" s="1"/>
  <c r="E20" i="1"/>
  <c r="F20" i="1" s="1"/>
  <c r="R19" i="1"/>
  <c r="I19" i="1"/>
  <c r="E19" i="1"/>
  <c r="F19" i="1" s="1"/>
  <c r="R18" i="1"/>
  <c r="I18" i="1"/>
  <c r="N18" i="1" s="1"/>
  <c r="E18" i="1"/>
  <c r="F18" i="1" s="1"/>
  <c r="R17" i="1"/>
  <c r="I17" i="1"/>
  <c r="N17" i="1" s="1"/>
  <c r="E17" i="1"/>
  <c r="F17" i="1" s="1"/>
  <c r="R16" i="1"/>
  <c r="I16" i="1"/>
  <c r="E16" i="1"/>
  <c r="F16" i="1" s="1"/>
  <c r="R15" i="1"/>
  <c r="I15" i="1"/>
  <c r="N15" i="1" s="1"/>
  <c r="E15" i="1"/>
  <c r="F15" i="1" s="1"/>
  <c r="R14" i="1"/>
  <c r="I14" i="1"/>
  <c r="N14" i="1" s="1"/>
  <c r="E14" i="1"/>
  <c r="F14" i="1" s="1"/>
  <c r="R13" i="1"/>
  <c r="I13" i="1"/>
  <c r="E13" i="1"/>
  <c r="F13" i="1" s="1"/>
  <c r="R12" i="1"/>
  <c r="I12" i="1"/>
  <c r="N12" i="1" s="1"/>
  <c r="E12" i="1"/>
  <c r="F12" i="1" s="1"/>
  <c r="R11" i="1"/>
  <c r="I11" i="1"/>
  <c r="N11" i="1" s="1"/>
  <c r="E11" i="1"/>
  <c r="F11" i="1" s="1"/>
  <c r="R10" i="1"/>
  <c r="I10" i="1"/>
  <c r="E10" i="1"/>
  <c r="F10" i="1" s="1"/>
  <c r="V32" i="9"/>
  <c r="V35" i="9"/>
  <c r="V29" i="9"/>
  <c r="V23" i="9"/>
  <c r="V26" i="9"/>
  <c r="V20" i="9"/>
  <c r="V60" i="1"/>
  <c r="L55" i="1"/>
  <c r="U56" i="1"/>
  <c r="U52" i="1"/>
  <c r="U48" i="1"/>
  <c r="V63" i="1"/>
  <c r="V55" i="1"/>
  <c r="L50" i="1"/>
  <c r="L63" i="1"/>
  <c r="V52" i="1"/>
  <c r="L47" i="1"/>
  <c r="U60" i="1"/>
  <c r="V59" i="1"/>
  <c r="L54" i="1"/>
  <c r="V47" i="1"/>
  <c r="L60" i="1"/>
  <c r="L56" i="1"/>
  <c r="L52" i="1"/>
  <c r="L48" i="1"/>
  <c r="L59" i="1"/>
  <c r="V56" i="1"/>
  <c r="L51" i="1"/>
  <c r="V48" i="1"/>
  <c r="L62" i="1"/>
  <c r="L58" i="1"/>
  <c r="V51" i="1"/>
  <c r="L46" i="1"/>
  <c r="U63" i="1"/>
  <c r="L61" i="1"/>
  <c r="V54" i="1"/>
  <c r="U47" i="1"/>
  <c r="U51" i="1"/>
  <c r="V62" i="1"/>
  <c r="L57" i="1"/>
  <c r="U50" i="1"/>
  <c r="V58" i="1"/>
  <c r="U55" i="1"/>
  <c r="U46" i="1"/>
  <c r="U59" i="1"/>
  <c r="U49" i="1"/>
  <c r="U53" i="1"/>
  <c r="U41" i="1"/>
  <c r="U37" i="1"/>
  <c r="U33" i="1"/>
  <c r="U29" i="1"/>
  <c r="U35" i="1"/>
  <c r="L45" i="1"/>
  <c r="V42" i="1"/>
  <c r="V34" i="1"/>
  <c r="L29" i="1"/>
  <c r="V43" i="1"/>
  <c r="L42" i="1"/>
  <c r="V39" i="1"/>
  <c r="L38" i="1"/>
  <c r="V35" i="1"/>
  <c r="L34" i="1"/>
  <c r="V31" i="1"/>
  <c r="L30" i="1"/>
  <c r="L41" i="1"/>
  <c r="L37" i="1"/>
  <c r="V30" i="1"/>
  <c r="V45" i="1"/>
  <c r="V41" i="1"/>
  <c r="V37" i="1"/>
  <c r="V33" i="1"/>
  <c r="V29" i="1"/>
  <c r="U43" i="1"/>
  <c r="U39" i="1"/>
  <c r="U31" i="1"/>
  <c r="V38" i="1"/>
  <c r="L33" i="1"/>
  <c r="U30" i="1"/>
  <c r="V28" i="1"/>
  <c r="U42" i="1"/>
  <c r="U38" i="1"/>
  <c r="U34" i="1"/>
  <c r="V32" i="1"/>
  <c r="V44" i="1"/>
  <c r="L39" i="1"/>
  <c r="L35" i="1"/>
  <c r="U45" i="1"/>
  <c r="L43" i="1"/>
  <c r="V40" i="1"/>
  <c r="V36" i="1"/>
  <c r="L31" i="1"/>
  <c r="U17" i="1"/>
  <c r="U10" i="1"/>
  <c r="L24" i="1"/>
  <c r="L17" i="1"/>
  <c r="L27" i="1"/>
  <c r="L20" i="1"/>
  <c r="U11" i="1"/>
  <c r="L11" i="1"/>
  <c r="L14" i="1"/>
  <c r="V14" i="1"/>
  <c r="V24" i="1"/>
  <c r="L23" i="1"/>
  <c r="U14" i="1"/>
  <c r="V10" i="1"/>
  <c r="L18" i="1"/>
  <c r="L21" i="1"/>
  <c r="V18" i="1"/>
  <c r="V11" i="1"/>
  <c r="V21" i="1"/>
  <c r="U18" i="1"/>
  <c r="L10" i="1"/>
  <c r="U21" i="1"/>
  <c r="V17" i="1"/>
  <c r="V27" i="1"/>
  <c r="L26" i="1"/>
  <c r="V12" i="1"/>
  <c r="L19" i="1"/>
  <c r="L16" i="1"/>
  <c r="V20" i="1"/>
  <c r="V15" i="1"/>
  <c r="U24" i="1"/>
  <c r="L22" i="1"/>
  <c r="V23" i="1"/>
  <c r="U25" i="1"/>
  <c r="V13" i="1"/>
  <c r="L13" i="1"/>
  <c r="J30" i="9" l="1"/>
  <c r="J36" i="9"/>
  <c r="J33" i="9"/>
  <c r="G29" i="9"/>
  <c r="G30" i="9" s="1"/>
  <c r="G31" i="9" s="1"/>
  <c r="G32" i="9"/>
  <c r="G33" i="9" s="1"/>
  <c r="G34" i="9" s="1"/>
  <c r="G35" i="9"/>
  <c r="G36" i="9" s="1"/>
  <c r="G37" i="9" s="1"/>
  <c r="G26" i="9"/>
  <c r="G27" i="9" s="1"/>
  <c r="G28" i="9" s="1"/>
  <c r="J21" i="9"/>
  <c r="J24" i="9"/>
  <c r="J27" i="9"/>
  <c r="G20" i="9"/>
  <c r="G21" i="9" s="1"/>
  <c r="G22" i="9" s="1"/>
  <c r="F24" i="9"/>
  <c r="F25" i="9" s="1"/>
  <c r="O57" i="1"/>
  <c r="T57" i="1" s="1"/>
  <c r="O61" i="1"/>
  <c r="T61" i="1" s="1"/>
  <c r="O46" i="1"/>
  <c r="T46" i="1" s="1"/>
  <c r="O58" i="1"/>
  <c r="T58" i="1" s="1"/>
  <c r="O62" i="1"/>
  <c r="T62" i="1" s="1"/>
  <c r="O51" i="1"/>
  <c r="T51" i="1" s="1"/>
  <c r="O59" i="1"/>
  <c r="T59" i="1" s="1"/>
  <c r="O48" i="1"/>
  <c r="T48" i="1" s="1"/>
  <c r="O52" i="1"/>
  <c r="T52" i="1" s="1"/>
  <c r="O56" i="1"/>
  <c r="T56" i="1" s="1"/>
  <c r="O60" i="1"/>
  <c r="T60" i="1" s="1"/>
  <c r="O54" i="1"/>
  <c r="T54" i="1" s="1"/>
  <c r="O47" i="1"/>
  <c r="T47" i="1" s="1"/>
  <c r="O63" i="1"/>
  <c r="T63" i="1" s="1"/>
  <c r="O50" i="1"/>
  <c r="T50" i="1" s="1"/>
  <c r="O55" i="1"/>
  <c r="T55" i="1" s="1"/>
  <c r="O31" i="1"/>
  <c r="T31" i="1" s="1"/>
  <c r="O43" i="1"/>
  <c r="T43" i="1" s="1"/>
  <c r="O35" i="1"/>
  <c r="T35" i="1" s="1"/>
  <c r="O39" i="1"/>
  <c r="T39" i="1" s="1"/>
  <c r="O33" i="1"/>
  <c r="T33" i="1" s="1"/>
  <c r="O37" i="1"/>
  <c r="T37" i="1" s="1"/>
  <c r="O41" i="1"/>
  <c r="T41" i="1" s="1"/>
  <c r="O30" i="1"/>
  <c r="T30" i="1" s="1"/>
  <c r="O34" i="1"/>
  <c r="T34" i="1" s="1"/>
  <c r="O38" i="1"/>
  <c r="T38" i="1" s="1"/>
  <c r="O42" i="1"/>
  <c r="T42" i="1" s="1"/>
  <c r="O29" i="1"/>
  <c r="T29" i="1" s="1"/>
  <c r="O45" i="1"/>
  <c r="T45" i="1" s="1"/>
  <c r="O26" i="1"/>
  <c r="T26" i="1" s="1"/>
  <c r="N13" i="1"/>
  <c r="O13" i="1" s="1"/>
  <c r="T13" i="1" s="1"/>
  <c r="O21" i="1"/>
  <c r="T21" i="1" s="1"/>
  <c r="O18" i="1"/>
  <c r="T18" i="1" s="1"/>
  <c r="O23" i="1"/>
  <c r="T23" i="1" s="1"/>
  <c r="N16" i="1"/>
  <c r="O16" i="1" s="1"/>
  <c r="T16" i="1" s="1"/>
  <c r="O14" i="1"/>
  <c r="T14" i="1" s="1"/>
  <c r="O11" i="1"/>
  <c r="T11" i="1" s="1"/>
  <c r="O20" i="1"/>
  <c r="T20" i="1" s="1"/>
  <c r="O27" i="1"/>
  <c r="T27" i="1" s="1"/>
  <c r="O17" i="1"/>
  <c r="T17" i="1" s="1"/>
  <c r="O24" i="1"/>
  <c r="T24" i="1" s="1"/>
  <c r="N22" i="1"/>
  <c r="O22" i="1" s="1"/>
  <c r="T22" i="1" s="1"/>
  <c r="N10" i="1"/>
  <c r="O10" i="1" s="1"/>
  <c r="T10" i="1" s="1"/>
  <c r="N19" i="1"/>
  <c r="O19" i="1" s="1"/>
  <c r="T19" i="1" s="1"/>
  <c r="N25" i="1"/>
  <c r="D26" i="2"/>
  <c r="M30" i="9"/>
  <c r="M36" i="9"/>
  <c r="V33" i="9"/>
  <c r="U36" i="9"/>
  <c r="V36" i="9"/>
  <c r="U29" i="9"/>
  <c r="M29" i="9"/>
  <c r="U32" i="9"/>
  <c r="M33" i="9"/>
  <c r="U35" i="9"/>
  <c r="U30" i="9"/>
  <c r="U33" i="9"/>
  <c r="V30" i="9"/>
  <c r="M32" i="9"/>
  <c r="M35" i="9"/>
  <c r="V24" i="9"/>
  <c r="U21" i="9"/>
  <c r="U26" i="9"/>
  <c r="M23" i="9"/>
  <c r="M26" i="9"/>
  <c r="U23" i="9"/>
  <c r="M27" i="9"/>
  <c r="M20" i="9"/>
  <c r="U24" i="9"/>
  <c r="V27" i="9"/>
  <c r="V21" i="9"/>
  <c r="U20" i="9"/>
  <c r="U27" i="9"/>
  <c r="M24" i="9"/>
  <c r="M21" i="9"/>
  <c r="V61" i="1"/>
  <c r="L53" i="1"/>
  <c r="U57" i="1"/>
  <c r="U54" i="1"/>
  <c r="U58" i="1"/>
  <c r="U61" i="1"/>
  <c r="U62" i="1"/>
  <c r="V49" i="1"/>
  <c r="V46" i="1"/>
  <c r="V53" i="1"/>
  <c r="L49" i="1"/>
  <c r="V57" i="1"/>
  <c r="V50" i="1"/>
  <c r="L40" i="1"/>
  <c r="U40" i="1"/>
  <c r="L32" i="1"/>
  <c r="L36" i="1"/>
  <c r="L44" i="1"/>
  <c r="U28" i="1"/>
  <c r="U32" i="1"/>
  <c r="U36" i="1"/>
  <c r="L28" i="1"/>
  <c r="U44" i="1"/>
  <c r="U19" i="1"/>
  <c r="V26" i="1"/>
  <c r="L12" i="1"/>
  <c r="L25" i="1"/>
  <c r="U26" i="1"/>
  <c r="L15" i="1"/>
  <c r="U16" i="1"/>
  <c r="U12" i="1"/>
  <c r="V22" i="1"/>
  <c r="U13" i="1"/>
  <c r="V16" i="1"/>
  <c r="U20" i="1"/>
  <c r="U22" i="1"/>
  <c r="V25" i="1"/>
  <c r="U23" i="1"/>
  <c r="U15" i="1"/>
  <c r="U27" i="1"/>
  <c r="V19" i="1"/>
  <c r="P30" i="9" l="1"/>
  <c r="J31" i="9"/>
  <c r="O31" i="9" s="1"/>
  <c r="P36" i="9"/>
  <c r="J37" i="9"/>
  <c r="O37" i="9" s="1"/>
  <c r="V34" i="9"/>
  <c r="J34" i="9"/>
  <c r="O34" i="9" s="1"/>
  <c r="P35" i="9"/>
  <c r="M37" i="9"/>
  <c r="P32" i="9"/>
  <c r="V31" i="9"/>
  <c r="U34" i="9"/>
  <c r="U31" i="9"/>
  <c r="P33" i="9"/>
  <c r="M34" i="9"/>
  <c r="P29" i="9"/>
  <c r="M31" i="9"/>
  <c r="V37" i="9"/>
  <c r="U37" i="9"/>
  <c r="P21" i="9"/>
  <c r="M22" i="9"/>
  <c r="P24" i="9"/>
  <c r="M25" i="9"/>
  <c r="U28" i="9"/>
  <c r="V22" i="9"/>
  <c r="V28" i="9"/>
  <c r="U25" i="9"/>
  <c r="P20" i="9"/>
  <c r="P27" i="9"/>
  <c r="M28" i="9"/>
  <c r="P26" i="9"/>
  <c r="P23" i="9"/>
  <c r="U22" i="9"/>
  <c r="V25" i="9"/>
  <c r="J22" i="9"/>
  <c r="O22" i="9" s="1"/>
  <c r="J28" i="9"/>
  <c r="O28" i="9" s="1"/>
  <c r="J25" i="9"/>
  <c r="O25" i="9" s="1"/>
  <c r="O49" i="1"/>
  <c r="T49" i="1" s="1"/>
  <c r="O53" i="1"/>
  <c r="T53" i="1" s="1"/>
  <c r="O28" i="1"/>
  <c r="T28" i="1" s="1"/>
  <c r="O44" i="1"/>
  <c r="T44" i="1" s="1"/>
  <c r="O36" i="1"/>
  <c r="T36" i="1" s="1"/>
  <c r="O32" i="1"/>
  <c r="T32" i="1" s="1"/>
  <c r="O40" i="1"/>
  <c r="T40" i="1" s="1"/>
  <c r="O15" i="1"/>
  <c r="T15" i="1" s="1"/>
  <c r="O25" i="1"/>
  <c r="T25" i="1" s="1"/>
  <c r="O12" i="1"/>
  <c r="T12" i="1" s="1"/>
  <c r="I18" i="9"/>
  <c r="Q18" i="9"/>
  <c r="Q19" i="9" s="1"/>
  <c r="E18" i="9"/>
  <c r="P34" i="9" l="1"/>
  <c r="T34" i="9" s="1"/>
  <c r="P31" i="9"/>
  <c r="T31" i="9" s="1"/>
  <c r="P37" i="9"/>
  <c r="T37" i="9" s="1"/>
  <c r="P25" i="9"/>
  <c r="T25" i="9" s="1"/>
  <c r="P28" i="9"/>
  <c r="T28" i="9" s="1"/>
  <c r="P22" i="9"/>
  <c r="T22" i="9" s="1"/>
  <c r="I19" i="9"/>
  <c r="H19" i="9"/>
  <c r="E19" i="9"/>
  <c r="J18" i="9"/>
  <c r="J19" i="9" s="1"/>
  <c r="D18" i="9"/>
  <c r="J17" i="9"/>
  <c r="F17" i="9"/>
  <c r="F18" i="9" s="1"/>
  <c r="F19" i="9" s="1"/>
  <c r="D17" i="9"/>
  <c r="U17" i="9"/>
  <c r="G17" i="9" l="1"/>
  <c r="G18" i="9" s="1"/>
  <c r="G19" i="9" s="1"/>
  <c r="M18" i="9"/>
  <c r="U18" i="9"/>
  <c r="M17" i="9"/>
  <c r="V18" i="9"/>
  <c r="V17" i="9"/>
  <c r="P17" i="9" l="1"/>
  <c r="U19" i="9"/>
  <c r="V19" i="9"/>
  <c r="P18" i="9"/>
  <c r="M19" i="9"/>
  <c r="O19" i="9"/>
  <c r="P19" i="9" l="1"/>
  <c r="T19" i="9" s="1"/>
  <c r="D14" i="9" l="1"/>
  <c r="D15" i="9"/>
  <c r="E12" i="9"/>
  <c r="E13" i="9" s="1"/>
  <c r="H16" i="9"/>
  <c r="I15" i="9"/>
  <c r="I16" i="9" s="1"/>
  <c r="J14" i="9"/>
  <c r="F14" i="9"/>
  <c r="F15" i="9" s="1"/>
  <c r="F16" i="9" s="1"/>
  <c r="M14" i="9"/>
  <c r="V14" i="9"/>
  <c r="J15" i="9" l="1"/>
  <c r="J16" i="9" s="1"/>
  <c r="Q12" i="9"/>
  <c r="Q13" i="9" s="1"/>
  <c r="Q15" i="9"/>
  <c r="P14" i="9"/>
  <c r="G14" i="9"/>
  <c r="G15" i="9" s="1"/>
  <c r="G16" i="9" s="1"/>
  <c r="U15" i="9"/>
  <c r="U14" i="9"/>
  <c r="M15" i="9"/>
  <c r="V15" i="9"/>
  <c r="V16" i="9" l="1"/>
  <c r="U16" i="9"/>
  <c r="M16" i="9"/>
  <c r="P15" i="9"/>
  <c r="Q16" i="9"/>
  <c r="O16" i="9" s="1"/>
  <c r="H13" i="9"/>
  <c r="D12" i="9"/>
  <c r="J11" i="9"/>
  <c r="F11" i="9"/>
  <c r="F12" i="9" s="1"/>
  <c r="F13" i="9" s="1"/>
  <c r="D11" i="9"/>
  <c r="V11" i="9"/>
  <c r="P16" i="9" l="1"/>
  <c r="T16" i="9" s="1"/>
  <c r="J12" i="9"/>
  <c r="G11" i="9"/>
  <c r="G12" i="9" s="1"/>
  <c r="G13" i="9" s="1"/>
  <c r="U12" i="9"/>
  <c r="V12" i="9"/>
  <c r="M12" i="9"/>
  <c r="M11" i="9"/>
  <c r="U11" i="9"/>
  <c r="P12" i="9" l="1"/>
  <c r="J13" i="9"/>
  <c r="O13" i="9" s="1"/>
  <c r="U13" i="9"/>
  <c r="V13" i="9"/>
  <c r="P11" i="9"/>
  <c r="M13" i="9"/>
  <c r="P13" i="9" l="1"/>
  <c r="T13" i="9" s="1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V8" i="9"/>
  <c r="U9" i="9"/>
  <c r="O10" i="9" l="1"/>
  <c r="I10" i="9"/>
  <c r="F9" i="9"/>
  <c r="F10" i="9" s="1"/>
  <c r="V9" i="9"/>
  <c r="M9" i="9"/>
  <c r="U8" i="9"/>
  <c r="M8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7"/>
  <c r="H8" i="8"/>
  <c r="K9" i="8"/>
  <c r="O10" i="7"/>
  <c r="O9" i="7"/>
  <c r="U10" i="7"/>
  <c r="T10" i="7"/>
  <c r="U9" i="7"/>
  <c r="T9" i="7"/>
  <c r="U8" i="8" l="1"/>
  <c r="Q9" i="7"/>
  <c r="R9" i="7" s="1"/>
  <c r="S9" i="7" s="1"/>
  <c r="Q10" i="7"/>
  <c r="R10" i="7" s="1"/>
  <c r="S10" i="7" s="1"/>
  <c r="Q8" i="7"/>
  <c r="X9" i="8"/>
  <c r="S9" i="8"/>
  <c r="T8" i="7"/>
  <c r="U8" i="7"/>
  <c r="Y9" i="8"/>
  <c r="O8" i="7"/>
  <c r="K8" i="8"/>
  <c r="V9" i="8" l="1"/>
  <c r="W9" i="8" s="1"/>
  <c r="R8" i="7"/>
  <c r="S8" i="7" s="1"/>
  <c r="Y8" i="8"/>
  <c r="X8" i="8"/>
  <c r="S8" i="8"/>
  <c r="V8" i="8" l="1"/>
  <c r="W8" i="8" s="1"/>
  <c r="R9" i="1"/>
  <c r="R8" i="1"/>
  <c r="I9" i="1" l="1"/>
  <c r="E9" i="1"/>
  <c r="F9" i="1" s="1"/>
  <c r="I8" i="1"/>
  <c r="E8" i="1"/>
  <c r="F8" i="1" s="1"/>
  <c r="V9" i="1"/>
  <c r="P8" i="1"/>
  <c r="L9" i="1"/>
  <c r="U9" i="1"/>
  <c r="N8" i="1" l="1"/>
  <c r="N9" i="1"/>
  <c r="O9" i="1" s="1"/>
  <c r="T9" i="1" s="1"/>
  <c r="V8" i="1"/>
  <c r="U8" i="1"/>
  <c r="L8" i="1"/>
  <c r="O8" i="1" l="1"/>
  <c r="T8" i="1" s="1"/>
</calcChain>
</file>

<file path=xl/sharedStrings.xml><?xml version="1.0" encoding="utf-8"?>
<sst xmlns="http://schemas.openxmlformats.org/spreadsheetml/2006/main" count="759" uniqueCount="207">
  <si>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</si>
  <si>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</si>
  <si>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</si>
  <si>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</si>
  <si>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</si>
  <si>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</si>
  <si>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</si>
  <si>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</si>
  <si>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</si>
  <si>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</si>
  <si>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</si>
  <si>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</si>
  <si>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</si>
  <si>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</si>
  <si>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</si>
  <si>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</si>
  <si>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</si>
  <si>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</si>
  <si>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</si>
  <si>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</si>
  <si>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</si>
  <si>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</si>
  <si>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</si>
  <si>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</si>
  <si>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</si>
  <si>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</si>
  <si>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</si>
  <si>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</si>
  <si>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</si>
  <si>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</si>
  <si>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</si>
  <si>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</si>
  <si>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</si>
  <si>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</si>
  <si>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</si>
  <si>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</si>
  <si>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</si>
  <si>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</si>
  <si>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</si>
  <si>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</si>
  <si>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</si>
  <si>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</si>
  <si>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</si>
  <si>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</si>
  <si>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</si>
  <si>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</si>
  <si>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</si>
  <si>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</si>
  <si>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</si>
  <si>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</si>
  <si>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</si>
  <si>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</si>
  <si>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</si>
  <si>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</si>
  <si>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</si>
  <si>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</si>
  <si>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</si>
  <si>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</si>
  <si>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</si>
  <si>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</si>
  <si>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</si>
  <si>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</si>
  <si>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</si>
  <si>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</si>
  <si>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</si>
  <si>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</si>
  <si>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</si>
  <si>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</si>
  <si>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</si>
  <si>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</si>
  <si>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</si>
  <si>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</si>
  <si>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</si>
  <si>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</si>
  <si>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</si>
  <si>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</si>
  <si>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</si>
  <si>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</si>
  <si>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</si>
  <si>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</si>
  <si>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</si>
  <si>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</si>
  <si>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</si>
  <si>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</si>
  <si>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</si>
  <si>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</si>
  <si>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</si>
  <si>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</si>
  <si>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</si>
  <si>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</si>
  <si>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</si>
  <si>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</si>
  <si>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</si>
  <si>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</si>
  <si>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</si>
  <si>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</si>
  <si>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</si>
  <si>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</si>
  <si>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</si>
  <si>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</si>
  <si>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</si>
  <si>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</si>
  <si>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</si>
  <si>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</si>
  <si>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</si>
  <si>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</si>
  <si>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</si>
  <si>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</si>
  <si>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</si>
  <si>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</si>
  <si>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</si>
  <si>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</si>
  <si>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</si>
  <si>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</si>
  <si>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</si>
  <si>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</si>
  <si>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</si>
  <si>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</si>
  <si>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</si>
  <si>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</si>
  <si>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</si>
  <si>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</si>
  <si>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</si>
  <si>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</si>
  <si>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</si>
  <si>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</si>
  <si>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</si>
  <si>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</si>
  <si>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</si>
  <si>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</si>
  <si>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</si>
  <si>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</si>
  <si>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</si>
  <si>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</si>
  <si>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</si>
  <si>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</si>
  <si>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</si>
  <si>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</si>
  <si>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</si>
  <si>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</si>
  <si>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</si>
  <si>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</si>
  <si>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</si>
  <si>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</si>
  <si>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</si>
  <si>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</si>
  <si>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</si>
  <si>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</si>
  <si>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</si>
  <si>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</si>
  <si>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</si>
  <si>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</si>
  <si>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</si>
  <si>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</si>
  <si>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</si>
  <si>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</si>
  <si>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</si>
  <si>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</si>
  <si>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</si>
  <si>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</si>
  <si>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</si>
  <si>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</si>
  <si>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</si>
  <si>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</si>
  <si>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</si>
  <si>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</si>
  <si>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</si>
  <si>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</si>
  <si>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</si>
  <si>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</si>
  <si>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</si>
  <si>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</si>
  <si>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</si>
  <si>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</si>
  <si>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</si>
  <si>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</si>
  <si>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</si>
  <si>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</si>
  <si>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</si>
  <si>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中金公司</t>
    <phoneticPr fontId="1" type="noConversion"/>
  </si>
  <si>
    <t>天物国际</t>
    <phoneticPr fontId="1" type="noConversion"/>
  </si>
  <si>
    <t>RB1810</t>
    <phoneticPr fontId="1" type="noConversion"/>
  </si>
  <si>
    <t>RMB</t>
    <phoneticPr fontId="1" type="noConversion"/>
  </si>
  <si>
    <t>看跌期权</t>
    <phoneticPr fontId="1" type="noConversion"/>
  </si>
  <si>
    <t>风险逆转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</si>
  <si>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</si>
  <si>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</si>
  <si>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前程石化</t>
    <phoneticPr fontId="1" type="noConversion"/>
  </si>
  <si>
    <t>L1805</t>
    <phoneticPr fontId="1" type="noConversion"/>
  </si>
  <si>
    <t>权利金总额（元）：</t>
    <phoneticPr fontId="1" type="noConversion"/>
  </si>
  <si>
    <t>权利金方向:</t>
    <phoneticPr fontId="1" type="noConversion"/>
  </si>
  <si>
    <t>前程石化支付中金</t>
    <phoneticPr fontId="1" type="noConversion"/>
  </si>
  <si>
    <t>客户名称：</t>
    <phoneticPr fontId="1" type="noConversion"/>
  </si>
  <si>
    <t>前程石化支付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</si>
  <si>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</si>
  <si>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</si>
  <si>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</si>
  <si>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</si>
  <si>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</si>
  <si>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行权价1|行权价2</t>
    <phoneticPr fontId="1" type="noConversion"/>
  </si>
  <si>
    <t>i1805</t>
  </si>
  <si>
    <t>i1805</t>
    <phoneticPr fontId="1" type="noConversion"/>
  </si>
  <si>
    <t>J1805</t>
  </si>
  <si>
    <t>J1805</t>
    <phoneticPr fontId="1" type="noConversion"/>
  </si>
  <si>
    <t>jm1805</t>
  </si>
  <si>
    <t>jm1805</t>
    <phoneticPr fontId="1" type="noConversion"/>
  </si>
  <si>
    <t>jm1805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</si>
</sst>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2" formatCode="###,###,##0.0"/>
  </numFmts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theme="3" tint="0.39997558519241921"/>
      </left>
      <right/>
      <top style="medium">
        <color theme="3" tint="0.39997558519241921"/>
      </top>
      <bottom style="thin">
        <color indexed="64"/>
      </bottom>
      <diagonal/>
    </border>
    <border>
      <left/>
      <right/>
      <top style="medium">
        <color theme="3" tint="0.39997558519241921"/>
      </top>
      <bottom style="thin">
        <color indexed="64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thin">
        <color indexed="64"/>
      </bottom>
      <diagonal/>
    </border>
    <border>
      <left style="medium">
        <color theme="3" tint="0.39997558519241921"/>
      </left>
      <right/>
      <top/>
      <bottom style="thin">
        <color indexed="64"/>
      </bottom>
      <diagonal/>
    </border>
    <border>
      <left/>
      <right style="medium">
        <color theme="3" tint="0.39997558519241921"/>
      </right>
      <top/>
      <bottom style="thin">
        <color indexed="64"/>
      </bottom>
      <diagonal/>
    </border>
    <border>
      <left style="medium">
        <color theme="3" tint="0.39997558519241921"/>
      </left>
      <right/>
      <top/>
      <bottom style="medium">
        <color indexed="64"/>
      </bottom>
      <diagonal/>
    </border>
    <border>
      <left/>
      <right style="medium">
        <color theme="3" tint="0.39997558519241921"/>
      </right>
      <top/>
      <bottom style="medium">
        <color indexed="64"/>
      </bottom>
      <diagonal/>
    </border>
    <border>
      <left style="medium">
        <color theme="3" tint="0.3999755851924192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3" tint="0.39997558519241921"/>
      </right>
      <top style="medium">
        <color indexed="64"/>
      </top>
      <bottom style="thin">
        <color indexed="64"/>
      </bottom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262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1" fillId="7" borderId="1" xfId="0" applyFont="1" applyFill="1" applyBorder="1"/>
    <xf numFmtId="0" fontId="22" fillId="6" borderId="0" xfId="0" applyFont="1" applyFill="1"/>
    <xf numFmtId="2" fontId="21" fillId="9" borderId="6" xfId="0" applyNumberFormat="1" applyFont="1" applyFill="1" applyBorder="1"/>
    <xf numFmtId="0" fontId="21" fillId="9" borderId="6" xfId="0" applyFont="1" applyFill="1" applyBorder="1"/>
    <xf numFmtId="176" fontId="21" fillId="9" borderId="6" xfId="0" applyNumberFormat="1" applyFont="1" applyFill="1" applyBorder="1"/>
    <xf numFmtId="14" fontId="21" fillId="5" borderId="6" xfId="0" applyNumberFormat="1" applyFont="1" applyFill="1" applyBorder="1"/>
    <xf numFmtId="177" fontId="21" fillId="9" borderId="6" xfId="0" applyNumberFormat="1" applyFont="1" applyFill="1" applyBorder="1"/>
    <xf numFmtId="0" fontId="21" fillId="4" borderId="6" xfId="0" applyFont="1" applyFill="1" applyBorder="1"/>
    <xf numFmtId="0" fontId="21" fillId="8" borderId="6" xfId="0" applyFont="1" applyFill="1" applyBorder="1"/>
    <xf numFmtId="10" fontId="21" fillId="9" borderId="6" xfId="1" applyNumberFormat="1" applyFont="1" applyFill="1" applyBorder="1" applyAlignment="1"/>
    <xf numFmtId="2" fontId="21" fillId="9" borderId="2" xfId="0" applyNumberFormat="1" applyFont="1" applyFill="1" applyBorder="1"/>
    <xf numFmtId="0" fontId="21" fillId="9" borderId="2" xfId="0" applyFont="1" applyFill="1" applyBorder="1"/>
    <xf numFmtId="178" fontId="21" fillId="9" borderId="2" xfId="0" applyNumberFormat="1" applyFont="1" applyFill="1" applyBorder="1"/>
    <xf numFmtId="14" fontId="21" fillId="5" borderId="2" xfId="0" applyNumberFormat="1" applyFont="1" applyFill="1" applyBorder="1"/>
    <xf numFmtId="177" fontId="21" fillId="9" borderId="2" xfId="0" applyNumberFormat="1" applyFont="1" applyFill="1" applyBorder="1"/>
    <xf numFmtId="0" fontId="21" fillId="4" borderId="2" xfId="0" applyFont="1" applyFill="1" applyBorder="1"/>
    <xf numFmtId="0" fontId="21" fillId="8" borderId="2" xfId="0" applyFont="1" applyFill="1" applyBorder="1"/>
    <xf numFmtId="10" fontId="21" fillId="9" borderId="2" xfId="1" applyNumberFormat="1" applyFont="1" applyFill="1" applyBorder="1" applyAlignment="1"/>
    <xf numFmtId="2" fontId="21" fillId="12" borderId="2" xfId="0" applyNumberFormat="1" applyFont="1" applyFill="1" applyBorder="1"/>
    <xf numFmtId="0" fontId="21" fillId="12" borderId="2" xfId="0" applyFont="1" applyFill="1" applyBorder="1"/>
    <xf numFmtId="178" fontId="21" fillId="12" borderId="2" xfId="0" applyNumberFormat="1" applyFont="1" applyFill="1" applyBorder="1"/>
    <xf numFmtId="14" fontId="21" fillId="12" borderId="2" xfId="0" applyNumberFormat="1" applyFont="1" applyFill="1" applyBorder="1"/>
    <xf numFmtId="177" fontId="21" fillId="12" borderId="2" xfId="0" applyNumberFormat="1" applyFont="1" applyFill="1" applyBorder="1"/>
    <xf numFmtId="10" fontId="21" fillId="12" borderId="2" xfId="1" applyNumberFormat="1" applyFont="1" applyFill="1" applyBorder="1" applyAlignment="1"/>
    <xf numFmtId="0" fontId="23" fillId="6" borderId="0" xfId="0" applyFont="1" applyFill="1"/>
    <xf numFmtId="14" fontId="24" fillId="13" borderId="9" xfId="0" applyNumberFormat="1" applyFont="1" applyFill="1" applyBorder="1" applyAlignment="1">
      <alignment horizontal="right" vertical="center" wrapText="1"/>
    </xf>
    <xf numFmtId="0" fontId="25" fillId="13" borderId="9" xfId="0" applyFont="1" applyFill="1" applyBorder="1" applyAlignment="1">
      <alignment vertical="center" wrapText="1"/>
    </xf>
    <xf numFmtId="0" fontId="24" fillId="13" borderId="9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7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right" vertical="center" wrapText="1"/>
    </xf>
    <xf numFmtId="0" fontId="26" fillId="14" borderId="12" xfId="0" applyFont="1" applyFill="1" applyBorder="1" applyAlignment="1">
      <alignment horizontal="right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10" fontId="26" fillId="0" borderId="11" xfId="0" applyNumberFormat="1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0" fontId="28" fillId="14" borderId="11" xfId="0" applyFont="1" applyFill="1" applyBorder="1" applyAlignment="1">
      <alignment horizontal="right"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horizontal="right" vertical="center" wrapText="1"/>
    </xf>
    <xf numFmtId="10" fontId="26" fillId="14" borderId="11" xfId="0" applyNumberFormat="1" applyFont="1" applyFill="1" applyBorder="1" applyAlignment="1">
      <alignment horizontal="right" vertical="center" wrapText="1"/>
    </xf>
    <xf numFmtId="10" fontId="26" fillId="14" borderId="12" xfId="0" applyNumberFormat="1" applyFont="1" applyFill="1" applyBorder="1" applyAlignment="1">
      <alignment horizontal="right" vertical="center" wrapText="1"/>
    </xf>
    <xf numFmtId="0" fontId="28" fillId="0" borderId="11" xfId="0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0" fontId="29" fillId="14" borderId="11" xfId="0" applyFont="1" applyFill="1" applyBorder="1" applyAlignment="1">
      <alignment vertical="center" wrapText="1"/>
    </xf>
    <xf numFmtId="0" fontId="29" fillId="14" borderId="12" xfId="0" applyFont="1" applyFill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7" fillId="14" borderId="11" xfId="0" applyFont="1" applyFill="1" applyBorder="1" applyAlignment="1">
      <alignment horizontal="right"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179" fontId="7" fillId="10" borderId="3" xfId="2" applyNumberFormat="1" applyFont="1" applyFill="1" applyBorder="1" applyAlignment="1">
      <alignment horizontal="right" vertical="center"/>
    </xf>
    <xf numFmtId="179" fontId="7" fillId="10" borderId="0" xfId="2" applyNumberFormat="1" applyFont="1" applyFill="1" applyBorder="1" applyAlignment="1">
      <alignment horizontal="right" vertical="center"/>
    </xf>
    <xf numFmtId="0" fontId="15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center"/>
    </xf>
    <xf numFmtId="14" fontId="20" fillId="10" borderId="7" xfId="0" applyNumberFormat="1" applyFont="1" applyFill="1" applyBorder="1" applyAlignment="1">
      <alignment horizontal="right"/>
    </xf>
    <xf numFmtId="0" fontId="20" fillId="10" borderId="8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2" fontId="5" fillId="9" borderId="13" xfId="0" applyNumberFormat="1" applyFont="1" applyFill="1" applyBorder="1"/>
    <xf numFmtId="0" fontId="5" fillId="9" borderId="14" xfId="0" applyFont="1" applyFill="1" applyBorder="1"/>
    <xf numFmtId="14" fontId="5" fillId="5" borderId="14" xfId="0" applyNumberFormat="1" applyFont="1" applyFill="1" applyBorder="1"/>
    <xf numFmtId="177" fontId="5" fillId="9" borderId="14" xfId="0" applyNumberFormat="1" applyFont="1" applyFill="1" applyBorder="1"/>
    <xf numFmtId="0" fontId="5" fillId="4" borderId="14" xfId="0" applyFont="1" applyFill="1" applyBorder="1"/>
    <xf numFmtId="2" fontId="5" fillId="9" borderId="14" xfId="0" applyNumberFormat="1" applyFont="1" applyFill="1" applyBorder="1"/>
    <xf numFmtId="0" fontId="5" fillId="8" borderId="14" xfId="0" applyFont="1" applyFill="1" applyBorder="1"/>
    <xf numFmtId="10" fontId="5" fillId="9" borderId="14" xfId="1" applyNumberFormat="1" applyFont="1" applyFill="1" applyBorder="1" applyAlignment="1"/>
    <xf numFmtId="2" fontId="5" fillId="9" borderId="15" xfId="0" applyNumberFormat="1" applyFont="1" applyFill="1" applyBorder="1"/>
    <xf numFmtId="2" fontId="5" fillId="9" borderId="16" xfId="0" applyNumberFormat="1" applyFont="1" applyFill="1" applyBorder="1"/>
    <xf numFmtId="2" fontId="5" fillId="9" borderId="17" xfId="0" applyNumberFormat="1" applyFont="1" applyFill="1" applyBorder="1"/>
    <xf numFmtId="2" fontId="5" fillId="9" borderId="18" xfId="0" applyNumberFormat="1" applyFont="1" applyFill="1" applyBorder="1"/>
    <xf numFmtId="0" fontId="5" fillId="9" borderId="19" xfId="0" applyFont="1" applyFill="1" applyBorder="1"/>
    <xf numFmtId="14" fontId="5" fillId="5" borderId="19" xfId="0" applyNumberFormat="1" applyFont="1" applyFill="1" applyBorder="1"/>
    <xf numFmtId="177" fontId="5" fillId="9" borderId="19" xfId="0" applyNumberFormat="1" applyFont="1" applyFill="1" applyBorder="1"/>
    <xf numFmtId="0" fontId="5" fillId="4" borderId="19" xfId="0" applyFont="1" applyFill="1" applyBorder="1"/>
    <xf numFmtId="2" fontId="5" fillId="9" borderId="19" xfId="0" applyNumberFormat="1" applyFont="1" applyFill="1" applyBorder="1"/>
    <xf numFmtId="0" fontId="5" fillId="8" borderId="19" xfId="0" applyFont="1" applyFill="1" applyBorder="1"/>
    <xf numFmtId="10" fontId="5" fillId="9" borderId="19" xfId="1" applyNumberFormat="1" applyFont="1" applyFill="1" applyBorder="1" applyAlignment="1"/>
    <xf numFmtId="2" fontId="5" fillId="9" borderId="20" xfId="0" applyNumberFormat="1" applyFont="1" applyFill="1" applyBorder="1"/>
    <xf numFmtId="2" fontId="5" fillId="9" borderId="21" xfId="0" applyNumberFormat="1" applyFont="1" applyFill="1" applyBorder="1"/>
    <xf numFmtId="2" fontId="5" fillId="9" borderId="22" xfId="0" applyNumberFormat="1" applyFont="1" applyFill="1" applyBorder="1"/>
    <xf numFmtId="182" fontId="5" fillId="9" borderId="14" xfId="0" applyNumberFormat="1" applyFont="1" applyFill="1" applyBorder="1"/>
    <xf numFmtId="182" fontId="5" fillId="9" borderId="2" xfId="0" applyNumberFormat="1" applyFont="1" applyFill="1" applyBorder="1"/>
    <xf numFmtId="182" fontId="5" fillId="9" borderId="19" xfId="0" applyNumberFormat="1" applyFont="1" applyFill="1" applyBorder="1"/>
    <xf numFmtId="182" fontId="5" fillId="9" borderId="0" xfId="0" applyNumberFormat="1" applyFont="1" applyFill="1" applyBorder="1"/>
    <xf numFmtId="2" fontId="5" fillId="9" borderId="23" xfId="0" applyNumberFormat="1" applyFont="1" applyFill="1" applyBorder="1"/>
    <xf numFmtId="0" fontId="5" fillId="9" borderId="24" xfId="0" applyFont="1" applyFill="1" applyBorder="1"/>
    <xf numFmtId="14" fontId="5" fillId="5" borderId="24" xfId="0" applyNumberFormat="1" applyFont="1" applyFill="1" applyBorder="1"/>
    <xf numFmtId="177" fontId="5" fillId="9" borderId="24" xfId="0" applyNumberFormat="1" applyFont="1" applyFill="1" applyBorder="1"/>
    <xf numFmtId="0" fontId="5" fillId="4" borderId="24" xfId="0" applyFont="1" applyFill="1" applyBorder="1"/>
    <xf numFmtId="2" fontId="5" fillId="9" borderId="24" xfId="0" applyNumberFormat="1" applyFont="1" applyFill="1" applyBorder="1"/>
    <xf numFmtId="0" fontId="5" fillId="8" borderId="24" xfId="0" applyFont="1" applyFill="1" applyBorder="1"/>
    <xf numFmtId="182" fontId="5" fillId="9" borderId="24" xfId="0" applyNumberFormat="1" applyFont="1" applyFill="1" applyBorder="1"/>
    <xf numFmtId="10" fontId="5" fillId="9" borderId="24" xfId="1" applyNumberFormat="1" applyFont="1" applyFill="1" applyBorder="1" applyAlignment="1"/>
    <xf numFmtId="2" fontId="5" fillId="9" borderId="25" xfId="0" applyNumberFormat="1" applyFont="1" applyFill="1" applyBorder="1"/>
    <xf numFmtId="2" fontId="5" fillId="9" borderId="26" xfId="0" applyNumberFormat="1" applyFont="1" applyFill="1" applyBorder="1"/>
    <xf numFmtId="2" fontId="5" fillId="9" borderId="27" xfId="0" applyNumberFormat="1" applyFont="1" applyFill="1" applyBorder="1"/>
    <xf numFmtId="2" fontId="5" fillId="9" borderId="28" xfId="0" applyNumberFormat="1" applyFont="1" applyFill="1" applyBorder="1"/>
    <xf numFmtId="2" fontId="5" fillId="9" borderId="29" xfId="0" applyNumberFormat="1" applyFont="1" applyFill="1" applyBorder="1"/>
    <xf numFmtId="2" fontId="5" fillId="9" borderId="30" xfId="0" applyNumberFormat="1" applyFont="1" applyFill="1" applyBorder="1"/>
    <xf numFmtId="2" fontId="5" fillId="9" borderId="31" xfId="0" applyNumberFormat="1" applyFont="1" applyFill="1" applyBorder="1"/>
    <xf numFmtId="2" fontId="5" fillId="9" borderId="34" xfId="0" applyNumberFormat="1" applyFont="1" applyFill="1" applyBorder="1"/>
    <xf numFmtId="0" fontId="5" fillId="9" borderId="35" xfId="0" applyFont="1" applyFill="1" applyBorder="1"/>
    <xf numFmtId="0" fontId="5" fillId="9" borderId="36" xfId="0" applyFont="1" applyFill="1" applyBorder="1"/>
    <xf numFmtId="14" fontId="5" fillId="5" borderId="36" xfId="0" applyNumberFormat="1" applyFont="1" applyFill="1" applyBorder="1"/>
    <xf numFmtId="177" fontId="5" fillId="9" borderId="36" xfId="0" applyNumberFormat="1" applyFont="1" applyFill="1" applyBorder="1"/>
    <xf numFmtId="0" fontId="5" fillId="4" borderId="36" xfId="0" applyFont="1" applyFill="1" applyBorder="1"/>
    <xf numFmtId="2" fontId="5" fillId="9" borderId="36" xfId="0" applyNumberFormat="1" applyFont="1" applyFill="1" applyBorder="1"/>
    <xf numFmtId="0" fontId="5" fillId="8" borderId="36" xfId="0" applyFont="1" applyFill="1" applyBorder="1"/>
    <xf numFmtId="182" fontId="5" fillId="9" borderId="36" xfId="0" applyNumberFormat="1" applyFont="1" applyFill="1" applyBorder="1"/>
    <xf numFmtId="10" fontId="5" fillId="9" borderId="36" xfId="1" applyNumberFormat="1" applyFont="1" applyFill="1" applyBorder="1" applyAlignment="1"/>
    <xf numFmtId="2" fontId="5" fillId="9" borderId="37" xfId="0" applyNumberFormat="1" applyFont="1" applyFill="1" applyBorder="1"/>
    <xf numFmtId="0" fontId="5" fillId="9" borderId="38" xfId="0" applyFont="1" applyFill="1" applyBorder="1"/>
    <xf numFmtId="2" fontId="5" fillId="9" borderId="39" xfId="0" applyNumberFormat="1" applyFont="1" applyFill="1" applyBorder="1"/>
    <xf numFmtId="0" fontId="5" fillId="9" borderId="40" xfId="0" applyFont="1" applyFill="1" applyBorder="1"/>
    <xf numFmtId="2" fontId="5" fillId="9" borderId="41" xfId="0" applyNumberFormat="1" applyFont="1" applyFill="1" applyBorder="1"/>
    <xf numFmtId="0" fontId="5" fillId="9" borderId="42" xfId="0" applyFont="1" applyFill="1" applyBorder="1"/>
    <xf numFmtId="2" fontId="5" fillId="9" borderId="43" xfId="0" applyNumberFormat="1" applyFont="1" applyFill="1" applyBorder="1"/>
    <xf numFmtId="0" fontId="5" fillId="9" borderId="44" xfId="0" applyFont="1" applyFill="1" applyBorder="1"/>
    <xf numFmtId="0" fontId="5" fillId="9" borderId="45" xfId="0" applyFont="1" applyFill="1" applyBorder="1"/>
    <xf numFmtId="14" fontId="5" fillId="5" borderId="45" xfId="0" applyNumberFormat="1" applyFont="1" applyFill="1" applyBorder="1"/>
    <xf numFmtId="177" fontId="5" fillId="9" borderId="45" xfId="0" applyNumberFormat="1" applyFont="1" applyFill="1" applyBorder="1"/>
    <xf numFmtId="0" fontId="5" fillId="4" borderId="45" xfId="0" applyFont="1" applyFill="1" applyBorder="1"/>
    <xf numFmtId="2" fontId="5" fillId="9" borderId="45" xfId="0" applyNumberFormat="1" applyFont="1" applyFill="1" applyBorder="1"/>
    <xf numFmtId="0" fontId="5" fillId="8" borderId="45" xfId="0" applyFont="1" applyFill="1" applyBorder="1"/>
    <xf numFmtId="182" fontId="5" fillId="9" borderId="45" xfId="0" applyNumberFormat="1" applyFont="1" applyFill="1" applyBorder="1"/>
    <xf numFmtId="10" fontId="5" fillId="9" borderId="45" xfId="1" applyNumberFormat="1" applyFont="1" applyFill="1" applyBorder="1" applyAlignment="1"/>
    <xf numFmtId="2" fontId="5" fillId="9" borderId="46" xfId="0" applyNumberFormat="1" applyFont="1" applyFill="1" applyBorder="1"/>
    <xf numFmtId="2" fontId="5" fillId="9" borderId="47" xfId="0" applyNumberFormat="1" applyFont="1" applyFill="1" applyBorder="1"/>
    <xf numFmtId="2" fontId="5" fillId="9" borderId="35" xfId="0" applyNumberFormat="1" applyFont="1" applyFill="1" applyBorder="1"/>
    <xf numFmtId="2" fontId="5" fillId="9" borderId="38" xfId="0" applyNumberFormat="1" applyFont="1" applyFill="1" applyBorder="1"/>
    <xf numFmtId="2" fontId="5" fillId="9" borderId="40" xfId="0" applyNumberFormat="1" applyFont="1" applyFill="1" applyBorder="1"/>
    <xf numFmtId="2" fontId="5" fillId="9" borderId="42" xfId="0" applyNumberFormat="1" applyFont="1" applyFill="1" applyBorder="1"/>
    <xf numFmtId="2" fontId="5" fillId="9" borderId="44" xfId="0" applyNumberFormat="1" applyFont="1" applyFill="1" applyBorder="1"/>
    <xf numFmtId="182" fontId="21" fillId="9" borderId="2" xfId="0" applyNumberFormat="1" applyFont="1" applyFill="1" applyBorder="1"/>
    <xf numFmtId="2" fontId="21" fillId="12" borderId="0" xfId="0" applyNumberFormat="1" applyFont="1" applyFill="1" applyBorder="1"/>
    <xf numFmtId="0" fontId="21" fillId="12" borderId="0" xfId="0" applyFont="1" applyFill="1" applyBorder="1"/>
    <xf numFmtId="14" fontId="21" fillId="12" borderId="0" xfId="0" applyNumberFormat="1" applyFont="1" applyFill="1" applyBorder="1"/>
    <xf numFmtId="177" fontId="21" fillId="12" borderId="0" xfId="0" applyNumberFormat="1" applyFont="1" applyFill="1" applyBorder="1"/>
    <xf numFmtId="178" fontId="21" fillId="12" borderId="0" xfId="0" applyNumberFormat="1" applyFont="1" applyFill="1" applyBorder="1"/>
    <xf numFmtId="0" fontId="21" fillId="4" borderId="0" xfId="0" applyFont="1" applyFill="1" applyBorder="1"/>
    <xf numFmtId="10" fontId="21" fillId="12" borderId="0" xfId="1" applyNumberFormat="1" applyFont="1" applyFill="1" applyBorder="1" applyAlignment="1"/>
    <xf numFmtId="0" fontId="5" fillId="6" borderId="0" xfId="0" applyFont="1" applyFill="1" applyBorder="1"/>
    <xf numFmtId="0" fontId="23" fillId="6" borderId="48" xfId="0" applyFont="1" applyFill="1" applyBorder="1"/>
    <xf numFmtId="2" fontId="21" fillId="9" borderId="49" xfId="0" applyNumberFormat="1" applyFont="1" applyFill="1" applyBorder="1"/>
    <xf numFmtId="0" fontId="21" fillId="9" borderId="49" xfId="0" applyFont="1" applyFill="1" applyBorder="1"/>
    <xf numFmtId="14" fontId="21" fillId="5" borderId="49" xfId="0" applyNumberFormat="1" applyFont="1" applyFill="1" applyBorder="1"/>
    <xf numFmtId="178" fontId="21" fillId="9" borderId="49" xfId="0" applyNumberFormat="1" applyFont="1" applyFill="1" applyBorder="1"/>
    <xf numFmtId="177" fontId="21" fillId="9" borderId="49" xfId="0" applyNumberFormat="1" applyFont="1" applyFill="1" applyBorder="1"/>
    <xf numFmtId="0" fontId="21" fillId="4" borderId="49" xfId="0" applyFont="1" applyFill="1" applyBorder="1"/>
    <xf numFmtId="0" fontId="21" fillId="8" borderId="49" xfId="0" applyFont="1" applyFill="1" applyBorder="1"/>
    <xf numFmtId="182" fontId="21" fillId="9" borderId="49" xfId="0" applyNumberFormat="1" applyFont="1" applyFill="1" applyBorder="1"/>
    <xf numFmtId="10" fontId="21" fillId="9" borderId="49" xfId="1" applyNumberFormat="1" applyFont="1" applyFill="1" applyBorder="1" applyAlignment="1"/>
    <xf numFmtId="0" fontId="5" fillId="6" borderId="50" xfId="0" applyFont="1" applyFill="1" applyBorder="1"/>
    <xf numFmtId="0" fontId="23" fillId="6" borderId="51" xfId="0" applyFont="1" applyFill="1" applyBorder="1"/>
    <xf numFmtId="0" fontId="23" fillId="6" borderId="52" xfId="0" applyFont="1" applyFill="1" applyBorder="1"/>
    <xf numFmtId="2" fontId="21" fillId="9" borderId="24" xfId="0" applyNumberFormat="1" applyFont="1" applyFill="1" applyBorder="1"/>
    <xf numFmtId="0" fontId="21" fillId="9" borderId="24" xfId="0" applyFont="1" applyFill="1" applyBorder="1"/>
    <xf numFmtId="14" fontId="21" fillId="5" borderId="24" xfId="0" applyNumberFormat="1" applyFont="1" applyFill="1" applyBorder="1"/>
    <xf numFmtId="178" fontId="21" fillId="9" borderId="24" xfId="0" applyNumberFormat="1" applyFont="1" applyFill="1" applyBorder="1"/>
    <xf numFmtId="177" fontId="21" fillId="9" borderId="24" xfId="0" applyNumberFormat="1" applyFont="1" applyFill="1" applyBorder="1"/>
    <xf numFmtId="0" fontId="21" fillId="4" borderId="24" xfId="0" applyFont="1" applyFill="1" applyBorder="1"/>
    <xf numFmtId="0" fontId="21" fillId="8" borderId="24" xfId="0" applyFont="1" applyFill="1" applyBorder="1"/>
    <xf numFmtId="182" fontId="21" fillId="9" borderId="24" xfId="0" applyNumberFormat="1" applyFont="1" applyFill="1" applyBorder="1"/>
    <xf numFmtId="10" fontId="21" fillId="9" borderId="24" xfId="1" applyNumberFormat="1" applyFont="1" applyFill="1" applyBorder="1" applyAlignment="1"/>
    <xf numFmtId="0" fontId="5" fillId="6" borderId="53" xfId="0" applyFont="1" applyFill="1" applyBorder="1"/>
    <xf numFmtId="0" fontId="23" fillId="6" borderId="47" xfId="0" applyFont="1" applyFill="1" applyBorder="1"/>
    <xf numFmtId="0" fontId="23" fillId="6" borderId="32" xfId="0" applyFont="1" applyFill="1" applyBorder="1"/>
    <xf numFmtId="2" fontId="21" fillId="12" borderId="33" xfId="0" applyNumberFormat="1" applyFont="1" applyFill="1" applyBorder="1"/>
    <xf numFmtId="0" fontId="21" fillId="12" borderId="33" xfId="0" applyFont="1" applyFill="1" applyBorder="1"/>
    <xf numFmtId="14" fontId="21" fillId="12" borderId="33" xfId="0" applyNumberFormat="1" applyFont="1" applyFill="1" applyBorder="1"/>
    <xf numFmtId="177" fontId="21" fillId="12" borderId="33" xfId="0" applyNumberFormat="1" applyFont="1" applyFill="1" applyBorder="1"/>
    <xf numFmtId="178" fontId="21" fillId="12" borderId="33" xfId="0" applyNumberFormat="1" applyFont="1" applyFill="1" applyBorder="1"/>
    <xf numFmtId="0" fontId="21" fillId="4" borderId="33" xfId="0" applyFont="1" applyFill="1" applyBorder="1"/>
    <xf numFmtId="10" fontId="21" fillId="12" borderId="33" xfId="1" applyNumberFormat="1" applyFont="1" applyFill="1" applyBorder="1" applyAlignment="1"/>
    <xf numFmtId="0" fontId="5" fillId="6" borderId="33" xfId="0" applyFont="1" applyFill="1" applyBorder="1"/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3792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"/>
  <sheetViews>
    <sheetView zoomScaleNormal="100" workbookViewId="0">
      <selection activeCell="F28" sqref="F28"/>
    </sheetView>
  </sheetViews>
  <sheetFormatPr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17" t="s">
        <v>158</v>
      </c>
      <c r="C1" s="117"/>
      <c r="D1" s="117"/>
    </row>
    <row r="2" spans="2:18" ht="12" thickTop="1"/>
    <row r="5" spans="2:18">
      <c r="B5" s="114" t="s">
        <v>2</v>
      </c>
      <c r="C5" s="49" t="s">
        <v>195</v>
      </c>
      <c r="D5" s="49" t="s">
        <v>194</v>
      </c>
      <c r="E5" s="49" t="s">
        <v>10</v>
      </c>
      <c r="F5" s="49" t="s">
        <v>198</v>
      </c>
      <c r="G5" s="49" t="s">
        <v>11</v>
      </c>
      <c r="H5" s="49" t="s">
        <v>12</v>
      </c>
      <c r="I5" s="49" t="s">
        <v>47</v>
      </c>
      <c r="J5" s="49" t="s">
        <v>13</v>
      </c>
      <c r="K5" s="49" t="s">
        <v>14</v>
      </c>
      <c r="L5" s="49" t="s">
        <v>26</v>
      </c>
      <c r="M5" s="49" t="s">
        <v>28</v>
      </c>
      <c r="N5" s="49" t="s">
        <v>196</v>
      </c>
      <c r="O5" s="49" t="s">
        <v>8</v>
      </c>
      <c r="P5" s="49" t="s">
        <v>23</v>
      </c>
      <c r="Q5" s="49"/>
      <c r="R5" s="49" t="s">
        <v>30</v>
      </c>
    </row>
    <row r="6" spans="2:18">
      <c r="B6" s="115" t="s">
        <v>160</v>
      </c>
      <c r="C6" s="115" t="s">
        <v>159</v>
      </c>
      <c r="D6" s="116">
        <v>43105</v>
      </c>
      <c r="E6" s="116">
        <v>43135</v>
      </c>
      <c r="F6" s="115">
        <v>3800</v>
      </c>
      <c r="G6" s="115">
        <v>30</v>
      </c>
      <c r="H6" s="115">
        <v>8.2191780821917804E-2</v>
      </c>
      <c r="I6" s="115">
        <v>0</v>
      </c>
      <c r="J6" s="115">
        <v>0.3</v>
      </c>
      <c r="K6" s="115" t="e">
        <v>#VALUE!</v>
      </c>
      <c r="L6" s="115">
        <v>80</v>
      </c>
      <c r="M6" s="115" t="e">
        <v>#N/A</v>
      </c>
      <c r="N6" s="115" t="e">
        <v>#VALUE!</v>
      </c>
      <c r="O6" s="115" t="e">
        <v>#N/A</v>
      </c>
      <c r="P6" s="115" t="s">
        <v>39</v>
      </c>
      <c r="Q6" s="115">
        <v>-1</v>
      </c>
      <c r="R6" s="115" t="s">
        <v>20</v>
      </c>
    </row>
    <row r="7" spans="2:18">
      <c r="B7" s="115" t="s">
        <v>160</v>
      </c>
      <c r="C7" s="115" t="s">
        <v>159</v>
      </c>
      <c r="D7" s="116">
        <v>43105</v>
      </c>
      <c r="E7" s="116">
        <v>43470</v>
      </c>
      <c r="F7" s="115">
        <v>100</v>
      </c>
      <c r="G7" s="115">
        <v>365</v>
      </c>
      <c r="H7" s="115">
        <v>1</v>
      </c>
      <c r="I7" s="115">
        <v>0</v>
      </c>
      <c r="J7" s="115">
        <v>0.18</v>
      </c>
      <c r="K7" s="115">
        <v>7.0292776883103798</v>
      </c>
      <c r="L7" s="115">
        <v>80</v>
      </c>
      <c r="M7" s="115">
        <v>0.8</v>
      </c>
      <c r="N7" s="115">
        <v>6.22927768831038</v>
      </c>
      <c r="O7" s="115">
        <v>100</v>
      </c>
      <c r="P7" s="115" t="s">
        <v>39</v>
      </c>
      <c r="Q7" s="115">
        <v>1</v>
      </c>
      <c r="R7" s="115" t="s">
        <v>151</v>
      </c>
    </row>
    <row r="8" spans="2:18">
      <c r="B8" s="114" t="s">
        <v>2</v>
      </c>
      <c r="C8" s="49" t="s">
        <v>195</v>
      </c>
      <c r="D8" s="49" t="s">
        <v>194</v>
      </c>
      <c r="E8" s="49" t="s">
        <v>10</v>
      </c>
      <c r="F8" s="49" t="s">
        <v>199</v>
      </c>
      <c r="G8" s="49" t="s">
        <v>11</v>
      </c>
      <c r="H8" s="49" t="s">
        <v>12</v>
      </c>
      <c r="I8" s="49" t="s">
        <v>47</v>
      </c>
      <c r="J8" s="49" t="s">
        <v>13</v>
      </c>
      <c r="K8" s="49" t="s">
        <v>14</v>
      </c>
      <c r="L8" s="49" t="s">
        <v>26</v>
      </c>
      <c r="M8" s="49" t="s">
        <v>28</v>
      </c>
      <c r="N8" s="49" t="s">
        <v>196</v>
      </c>
      <c r="O8" s="49" t="s">
        <v>8</v>
      </c>
      <c r="P8" s="49" t="s">
        <v>23</v>
      </c>
      <c r="Q8" s="49"/>
      <c r="R8" s="49" t="s">
        <v>30</v>
      </c>
    </row>
    <row r="9" spans="2:18">
      <c r="B9" s="115" t="s">
        <v>160</v>
      </c>
      <c r="C9" s="115" t="s">
        <v>159</v>
      </c>
      <c r="D9" s="116">
        <v>43105</v>
      </c>
      <c r="E9" s="116">
        <v>43135</v>
      </c>
      <c r="F9" s="115">
        <v>3800</v>
      </c>
      <c r="G9" s="115">
        <v>30</v>
      </c>
      <c r="H9" s="115">
        <v>8.2191780821917804E-2</v>
      </c>
      <c r="I9" s="115">
        <v>0</v>
      </c>
      <c r="J9" s="115">
        <v>0.3</v>
      </c>
      <c r="K9" s="115" t="e">
        <v>#VALUE!</v>
      </c>
      <c r="L9" s="115">
        <v>80</v>
      </c>
      <c r="M9" s="115" t="e">
        <v>#N/A</v>
      </c>
      <c r="N9" s="115" t="e">
        <v>#VALUE!</v>
      </c>
      <c r="O9" s="115" t="e">
        <v>#N/A</v>
      </c>
      <c r="P9" s="115" t="s">
        <v>39</v>
      </c>
      <c r="Q9" s="115">
        <v>-1</v>
      </c>
      <c r="R9" s="115" t="s">
        <v>20</v>
      </c>
    </row>
    <row r="10" spans="2:18">
      <c r="B10" s="115" t="s">
        <v>160</v>
      </c>
      <c r="C10" s="115" t="s">
        <v>159</v>
      </c>
      <c r="D10" s="116">
        <v>43105</v>
      </c>
      <c r="E10" s="116">
        <v>43470</v>
      </c>
      <c r="F10" s="115">
        <v>100</v>
      </c>
      <c r="G10" s="115">
        <v>365</v>
      </c>
      <c r="H10" s="115">
        <v>1</v>
      </c>
      <c r="I10" s="115">
        <v>0</v>
      </c>
      <c r="J10" s="115">
        <v>0.18</v>
      </c>
      <c r="K10" s="115">
        <v>7.0292776883103798</v>
      </c>
      <c r="L10" s="115">
        <v>80</v>
      </c>
      <c r="M10" s="115">
        <v>0.8</v>
      </c>
      <c r="N10" s="115">
        <v>6.22927768831038</v>
      </c>
      <c r="O10" s="115">
        <v>100</v>
      </c>
      <c r="P10" s="115" t="s">
        <v>39</v>
      </c>
      <c r="Q10" s="115">
        <v>1</v>
      </c>
      <c r="R10" s="115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A24" sqref="A24"/>
    </sheetView>
  </sheetViews>
  <sheetFormatPr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17" t="s">
        <v>158</v>
      </c>
      <c r="C1" s="117"/>
      <c r="D1" s="117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5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57"/>
      <c r="L5" s="57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57"/>
      <c r="L8" s="57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57"/>
      <c r="L9" s="57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workbookViewId="0">
      <pane ySplit="17" topLeftCell="A18" activePane="bottomLeft" state="frozen"/>
      <selection pane="bottomLeft" activeCell="J19" sqref="J19"/>
    </sheetView>
  </sheetViews>
  <sheetFormatPr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32" t="s">
        <v>118</v>
      </c>
      <c r="C1" s="132"/>
    </row>
    <row r="2" spans="2:20" ht="12" thickTop="1"/>
    <row r="3" spans="2:20" ht="12.75" thickBot="1">
      <c r="B3" s="133" t="s">
        <v>119</v>
      </c>
      <c r="C3" s="133"/>
      <c r="D3" s="133"/>
      <c r="E3" s="133"/>
      <c r="G3" s="134" t="s">
        <v>120</v>
      </c>
      <c r="H3" s="134"/>
      <c r="I3" s="134"/>
      <c r="J3" s="134"/>
      <c r="L3" s="133" t="s">
        <v>165</v>
      </c>
      <c r="M3" s="133"/>
      <c r="N3" s="133"/>
      <c r="O3" s="133"/>
      <c r="Q3" s="134" t="s">
        <v>166</v>
      </c>
      <c r="R3" s="134"/>
      <c r="S3" s="134"/>
      <c r="T3" s="134"/>
    </row>
    <row r="4" spans="2:20" ht="15" thickTop="1" thickBot="1">
      <c r="B4" s="128" t="s">
        <v>121</v>
      </c>
      <c r="C4" s="128"/>
      <c r="D4" s="128"/>
      <c r="E4" s="128"/>
      <c r="G4" s="128" t="s">
        <v>34</v>
      </c>
      <c r="H4" s="128"/>
      <c r="I4" s="128"/>
      <c r="J4" s="128"/>
      <c r="L4" s="128" t="s">
        <v>121</v>
      </c>
      <c r="M4" s="128"/>
      <c r="N4" s="128"/>
      <c r="O4" s="128"/>
      <c r="Q4" s="128" t="s">
        <v>34</v>
      </c>
      <c r="R4" s="128"/>
      <c r="S4" s="128"/>
      <c r="T4" s="128"/>
    </row>
    <row r="5" spans="2:20" ht="14.25" thickTop="1">
      <c r="B5" s="33" t="s">
        <v>122</v>
      </c>
      <c r="C5" s="34"/>
      <c r="D5" s="35"/>
      <c r="E5" s="36"/>
      <c r="G5" s="131" t="s">
        <v>123</v>
      </c>
      <c r="H5" s="131"/>
      <c r="I5" s="35"/>
      <c r="J5" s="36"/>
      <c r="L5" s="33" t="s">
        <v>122</v>
      </c>
      <c r="M5" s="34"/>
      <c r="N5" s="35"/>
      <c r="O5" s="36"/>
      <c r="Q5" s="131" t="s">
        <v>123</v>
      </c>
      <c r="R5" s="131"/>
      <c r="S5" s="35"/>
      <c r="T5" s="36"/>
    </row>
    <row r="6" spans="2:20" ht="13.5">
      <c r="B6" s="118" t="s">
        <v>124</v>
      </c>
      <c r="C6" s="118"/>
      <c r="D6" s="119" t="s">
        <v>125</v>
      </c>
      <c r="E6" s="120"/>
      <c r="G6" s="131" t="s">
        <v>126</v>
      </c>
      <c r="H6" s="131"/>
      <c r="I6" s="119"/>
      <c r="J6" s="120"/>
      <c r="L6" s="118" t="s">
        <v>124</v>
      </c>
      <c r="M6" s="118"/>
      <c r="N6" s="119" t="s">
        <v>125</v>
      </c>
      <c r="O6" s="120"/>
      <c r="Q6" s="131" t="s">
        <v>126</v>
      </c>
      <c r="R6" s="131"/>
      <c r="S6" s="119"/>
      <c r="T6" s="120"/>
    </row>
    <row r="7" spans="2:20" ht="13.5">
      <c r="B7" s="118" t="s">
        <v>127</v>
      </c>
      <c r="C7" s="118"/>
      <c r="D7" s="119" t="s">
        <v>125</v>
      </c>
      <c r="E7" s="120"/>
      <c r="G7" s="131" t="s">
        <v>128</v>
      </c>
      <c r="H7" s="131"/>
      <c r="I7" s="119"/>
      <c r="J7" s="120"/>
      <c r="L7" s="118" t="s">
        <v>127</v>
      </c>
      <c r="M7" s="118"/>
      <c r="N7" s="119" t="s">
        <v>125</v>
      </c>
      <c r="O7" s="120"/>
      <c r="Q7" s="131" t="s">
        <v>128</v>
      </c>
      <c r="R7" s="131"/>
      <c r="S7" s="119"/>
      <c r="T7" s="120"/>
    </row>
    <row r="8" spans="2:20" ht="13.5">
      <c r="B8" s="118" t="s">
        <v>129</v>
      </c>
      <c r="C8" s="118"/>
      <c r="D8" s="119">
        <f>D13*D15</f>
        <v>305000</v>
      </c>
      <c r="E8" s="120"/>
      <c r="G8" s="131" t="s">
        <v>130</v>
      </c>
      <c r="H8" s="131"/>
      <c r="I8" s="119"/>
      <c r="J8" s="120"/>
      <c r="L8" s="118" t="s">
        <v>129</v>
      </c>
      <c r="M8" s="118"/>
      <c r="N8" s="119">
        <f>N14*N16</f>
        <v>305000</v>
      </c>
      <c r="O8" s="120"/>
      <c r="Q8" s="131" t="s">
        <v>130</v>
      </c>
      <c r="R8" s="131"/>
      <c r="S8" s="119"/>
      <c r="T8" s="120"/>
    </row>
    <row r="9" spans="2:20" ht="13.5">
      <c r="B9" s="118" t="s">
        <v>131</v>
      </c>
      <c r="C9" s="118"/>
      <c r="D9" s="119" t="s">
        <v>132</v>
      </c>
      <c r="E9" s="120"/>
      <c r="G9" s="131" t="s">
        <v>133</v>
      </c>
      <c r="H9" s="131"/>
      <c r="I9" s="119"/>
      <c r="J9" s="120"/>
      <c r="L9" s="118" t="s">
        <v>131</v>
      </c>
      <c r="M9" s="118"/>
      <c r="N9" s="119" t="s">
        <v>132</v>
      </c>
      <c r="O9" s="120"/>
      <c r="Q9" s="131" t="s">
        <v>133</v>
      </c>
      <c r="R9" s="131"/>
      <c r="S9" s="119"/>
      <c r="T9" s="120"/>
    </row>
    <row r="10" spans="2:20" ht="13.5">
      <c r="B10" s="118" t="s">
        <v>134</v>
      </c>
      <c r="C10" s="118"/>
      <c r="D10" s="119">
        <v>43084</v>
      </c>
      <c r="E10" s="120"/>
      <c r="G10" s="30" t="s">
        <v>135</v>
      </c>
      <c r="H10" s="30"/>
      <c r="I10" s="119"/>
      <c r="J10" s="120"/>
      <c r="L10" s="118" t="s">
        <v>134</v>
      </c>
      <c r="M10" s="118"/>
      <c r="N10" s="119">
        <v>43084</v>
      </c>
      <c r="O10" s="120"/>
      <c r="Q10" s="52" t="s">
        <v>135</v>
      </c>
      <c r="R10" s="52"/>
      <c r="S10" s="119"/>
      <c r="T10" s="120"/>
    </row>
    <row r="11" spans="2:20" ht="13.5">
      <c r="B11" s="118" t="s">
        <v>136</v>
      </c>
      <c r="C11" s="118"/>
      <c r="D11" s="119">
        <v>3935</v>
      </c>
      <c r="E11" s="120"/>
      <c r="G11" s="131" t="s">
        <v>137</v>
      </c>
      <c r="H11" s="131"/>
      <c r="I11" s="119"/>
      <c r="J11" s="120"/>
      <c r="L11" s="118" t="s">
        <v>136</v>
      </c>
      <c r="M11" s="118"/>
      <c r="N11" s="119">
        <v>3935</v>
      </c>
      <c r="O11" s="120"/>
      <c r="Q11" s="131" t="s">
        <v>137</v>
      </c>
      <c r="R11" s="131"/>
      <c r="S11" s="119"/>
      <c r="T11" s="120"/>
    </row>
    <row r="12" spans="2:20" ht="13.5">
      <c r="B12" s="118" t="s">
        <v>138</v>
      </c>
      <c r="C12" s="118"/>
      <c r="D12" s="119">
        <v>3800</v>
      </c>
      <c r="E12" s="120"/>
      <c r="G12" s="131" t="s">
        <v>139</v>
      </c>
      <c r="H12" s="131"/>
      <c r="I12" s="119"/>
      <c r="J12" s="120"/>
      <c r="L12" s="118" t="s">
        <v>163</v>
      </c>
      <c r="M12" s="118"/>
      <c r="N12" s="119">
        <v>3800</v>
      </c>
      <c r="O12" s="120"/>
      <c r="Q12" s="131" t="s">
        <v>167</v>
      </c>
      <c r="R12" s="131"/>
      <c r="S12" s="119"/>
      <c r="T12" s="120"/>
    </row>
    <row r="13" spans="2:20" ht="13.5">
      <c r="B13" s="118" t="s">
        <v>140</v>
      </c>
      <c r="C13" s="118"/>
      <c r="D13" s="119">
        <v>61</v>
      </c>
      <c r="E13" s="120"/>
      <c r="G13" s="131" t="s">
        <v>141</v>
      </c>
      <c r="H13" s="131"/>
      <c r="I13" s="119"/>
      <c r="J13" s="120"/>
      <c r="L13" s="118" t="s">
        <v>164</v>
      </c>
      <c r="M13" s="118"/>
      <c r="N13" s="119">
        <v>3800</v>
      </c>
      <c r="O13" s="120"/>
      <c r="Q13" s="131" t="s">
        <v>168</v>
      </c>
      <c r="R13" s="131"/>
      <c r="S13" s="119"/>
      <c r="T13" s="120"/>
    </row>
    <row r="14" spans="2:20" ht="13.5">
      <c r="B14" s="118" t="s">
        <v>142</v>
      </c>
      <c r="C14" s="118"/>
      <c r="D14" s="119" t="s">
        <v>143</v>
      </c>
      <c r="E14" s="120"/>
      <c r="G14" s="131" t="s">
        <v>144</v>
      </c>
      <c r="H14" s="131"/>
      <c r="I14" s="31"/>
      <c r="J14" s="32"/>
      <c r="L14" s="118" t="s">
        <v>140</v>
      </c>
      <c r="M14" s="118"/>
      <c r="N14" s="119">
        <v>61</v>
      </c>
      <c r="O14" s="120"/>
      <c r="Q14" s="131" t="s">
        <v>141</v>
      </c>
      <c r="R14" s="131"/>
      <c r="S14" s="119"/>
      <c r="T14" s="120"/>
    </row>
    <row r="15" spans="2:20" ht="13.5">
      <c r="B15" s="118" t="s">
        <v>145</v>
      </c>
      <c r="C15" s="118"/>
      <c r="D15" s="119">
        <v>5000</v>
      </c>
      <c r="E15" s="120"/>
      <c r="G15" s="131" t="s">
        <v>146</v>
      </c>
      <c r="H15" s="131"/>
      <c r="I15" s="119"/>
      <c r="J15" s="120"/>
      <c r="L15" s="118" t="s">
        <v>142</v>
      </c>
      <c r="M15" s="118"/>
      <c r="N15" s="119" t="s">
        <v>143</v>
      </c>
      <c r="O15" s="120"/>
      <c r="Q15" s="131" t="s">
        <v>144</v>
      </c>
      <c r="R15" s="131"/>
      <c r="S15" s="50"/>
      <c r="T15" s="51"/>
    </row>
    <row r="16" spans="2:20" ht="14.25" thickBot="1">
      <c r="B16" s="123" t="s">
        <v>147</v>
      </c>
      <c r="C16" s="123"/>
      <c r="D16" s="124" t="s">
        <v>148</v>
      </c>
      <c r="E16" s="125"/>
      <c r="G16" s="127" t="s">
        <v>149</v>
      </c>
      <c r="H16" s="127"/>
      <c r="I16" s="124"/>
      <c r="J16" s="125"/>
      <c r="L16" s="118" t="s">
        <v>145</v>
      </c>
      <c r="M16" s="118"/>
      <c r="N16" s="119">
        <v>5000</v>
      </c>
      <c r="O16" s="120"/>
      <c r="Q16" s="131" t="s">
        <v>146</v>
      </c>
      <c r="R16" s="131"/>
      <c r="S16" s="119"/>
      <c r="T16" s="120"/>
    </row>
    <row r="17" spans="2:20" ht="15" thickTop="1" thickBot="1">
      <c r="L17" s="123" t="s">
        <v>147</v>
      </c>
      <c r="M17" s="123"/>
      <c r="N17" s="124" t="s">
        <v>148</v>
      </c>
      <c r="O17" s="125"/>
      <c r="Q17" s="127" t="s">
        <v>149</v>
      </c>
      <c r="R17" s="127"/>
      <c r="S17" s="124"/>
      <c r="T17" s="125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  <c r="G21" s="7"/>
      <c r="H21" s="7"/>
      <c r="I21" s="7"/>
      <c r="J21" s="7"/>
    </row>
    <row r="22" spans="2:20" ht="15" thickTop="1" thickBot="1">
      <c r="B22" s="128" t="s">
        <v>121</v>
      </c>
      <c r="C22" s="128"/>
      <c r="D22" s="128"/>
      <c r="E22" s="128"/>
      <c r="G22" s="128" t="s">
        <v>121</v>
      </c>
      <c r="H22" s="128"/>
      <c r="I22" s="128"/>
      <c r="J22" s="128"/>
    </row>
    <row r="23" spans="2:20" ht="14.25" thickTop="1">
      <c r="B23" s="33" t="s">
        <v>122</v>
      </c>
      <c r="C23" s="34"/>
      <c r="D23" s="129">
        <v>43104</v>
      </c>
      <c r="E23" s="130"/>
      <c r="G23" s="33" t="s">
        <v>122</v>
      </c>
      <c r="H23" s="34"/>
      <c r="I23" s="129">
        <v>43098</v>
      </c>
      <c r="J23" s="130"/>
    </row>
    <row r="24" spans="2:20" ht="13.5">
      <c r="B24" s="118" t="s">
        <v>124</v>
      </c>
      <c r="C24" s="118"/>
      <c r="D24" s="119" t="s">
        <v>179</v>
      </c>
      <c r="E24" s="120"/>
      <c r="G24" s="118" t="s">
        <v>192</v>
      </c>
      <c r="H24" s="118"/>
      <c r="I24" s="119" t="s">
        <v>187</v>
      </c>
      <c r="J24" s="120"/>
    </row>
    <row r="25" spans="2:20" ht="13.5">
      <c r="B25" s="118" t="s">
        <v>127</v>
      </c>
      <c r="C25" s="118"/>
      <c r="D25" s="119" t="s">
        <v>180</v>
      </c>
      <c r="E25" s="120"/>
      <c r="G25" s="118" t="s">
        <v>189</v>
      </c>
      <c r="H25" s="118"/>
      <c r="I25" s="119">
        <v>9375</v>
      </c>
      <c r="J25" s="120"/>
    </row>
    <row r="26" spans="2:20" ht="13.5">
      <c r="B26" s="118" t="s">
        <v>129</v>
      </c>
      <c r="C26" s="118"/>
      <c r="D26" s="121">
        <f>D31*D33</f>
        <v>300000</v>
      </c>
      <c r="E26" s="122"/>
      <c r="G26" s="111" t="s">
        <v>190</v>
      </c>
      <c r="H26" s="111"/>
      <c r="I26" s="119" t="s">
        <v>193</v>
      </c>
      <c r="J26" s="120" t="s">
        <v>191</v>
      </c>
    </row>
    <row r="27" spans="2:20" ht="13.5">
      <c r="B27" s="118" t="s">
        <v>131</v>
      </c>
      <c r="C27" s="118"/>
      <c r="D27" s="119" t="s">
        <v>183</v>
      </c>
      <c r="E27" s="120"/>
      <c r="G27" s="118" t="s">
        <v>131</v>
      </c>
      <c r="H27" s="118"/>
      <c r="I27" s="119" t="s">
        <v>184</v>
      </c>
      <c r="J27" s="120"/>
    </row>
    <row r="28" spans="2:20" ht="13.5">
      <c r="B28" s="118" t="s">
        <v>134</v>
      </c>
      <c r="C28" s="118"/>
      <c r="D28" s="126">
        <v>43167</v>
      </c>
      <c r="E28" s="120"/>
      <c r="G28" s="118" t="s">
        <v>134</v>
      </c>
      <c r="H28" s="118"/>
      <c r="I28" s="126">
        <v>43159</v>
      </c>
      <c r="J28" s="120"/>
    </row>
    <row r="29" spans="2:20" ht="13.5">
      <c r="B29" s="118" t="s">
        <v>136</v>
      </c>
      <c r="C29" s="118"/>
      <c r="D29" s="119">
        <v>3636</v>
      </c>
      <c r="E29" s="120"/>
      <c r="G29" s="118" t="s">
        <v>136</v>
      </c>
      <c r="H29" s="118"/>
      <c r="I29" s="119">
        <v>9770</v>
      </c>
      <c r="J29" s="120"/>
    </row>
    <row r="30" spans="2:20" ht="13.5">
      <c r="B30" s="118" t="s">
        <v>138</v>
      </c>
      <c r="C30" s="118"/>
      <c r="D30" s="119">
        <v>3550</v>
      </c>
      <c r="E30" s="120"/>
      <c r="G30" s="118" t="s">
        <v>185</v>
      </c>
      <c r="H30" s="118"/>
      <c r="I30" s="112"/>
      <c r="J30" s="113">
        <v>9500</v>
      </c>
    </row>
    <row r="31" spans="2:20" ht="13.5">
      <c r="B31" s="118" t="s">
        <v>140</v>
      </c>
      <c r="C31" s="118"/>
      <c r="D31" s="119">
        <v>60</v>
      </c>
      <c r="E31" s="120"/>
      <c r="G31" s="118" t="s">
        <v>186</v>
      </c>
      <c r="H31" s="118"/>
      <c r="I31" s="119">
        <v>10040</v>
      </c>
      <c r="J31" s="120"/>
    </row>
    <row r="32" spans="2:20" ht="13.5">
      <c r="B32" s="118" t="s">
        <v>142</v>
      </c>
      <c r="C32" s="118"/>
      <c r="D32" s="119" t="s">
        <v>181</v>
      </c>
      <c r="E32" s="120"/>
      <c r="G32" s="118" t="s">
        <v>140</v>
      </c>
      <c r="H32" s="118"/>
      <c r="I32" s="119">
        <v>15</v>
      </c>
      <c r="J32" s="120"/>
    </row>
    <row r="33" spans="2:10" ht="13.5">
      <c r="B33" s="118" t="s">
        <v>145</v>
      </c>
      <c r="C33" s="118"/>
      <c r="D33" s="121">
        <v>5000</v>
      </c>
      <c r="E33" s="122"/>
      <c r="G33" s="118" t="s">
        <v>142</v>
      </c>
      <c r="H33" s="118"/>
      <c r="I33" s="119" t="s">
        <v>188</v>
      </c>
      <c r="J33" s="120"/>
    </row>
    <row r="34" spans="2:10" ht="14.25" thickBot="1">
      <c r="B34" s="123" t="s">
        <v>147</v>
      </c>
      <c r="C34" s="123"/>
      <c r="D34" s="124" t="s">
        <v>182</v>
      </c>
      <c r="E34" s="125"/>
      <c r="G34" s="118" t="s">
        <v>145</v>
      </c>
      <c r="H34" s="118"/>
      <c r="I34" s="121">
        <v>625</v>
      </c>
      <c r="J34" s="122"/>
    </row>
    <row r="35" spans="2:10" ht="15" thickTop="1" thickBot="1">
      <c r="G35" s="123" t="s">
        <v>147</v>
      </c>
      <c r="H35" s="123"/>
      <c r="I35" s="124" t="s">
        <v>182</v>
      </c>
      <c r="J35" s="125"/>
    </row>
    <row r="36" spans="2:10" ht="12" thickTop="1"/>
  </sheetData>
  <mergeCells count="147"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tabSelected="1" topLeftCell="C22" zoomScaleNormal="100" workbookViewId="0">
      <selection activeCell="O28" sqref="O28:O45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32" t="s">
        <v>37</v>
      </c>
      <c r="C1" s="132"/>
    </row>
    <row r="2" spans="1:22" ht="12" thickTop="1">
      <c r="B2" s="3" t="s">
        <v>0</v>
      </c>
      <c r="C2" s="4">
        <v>43061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170</v>
      </c>
      <c r="C7" s="18" t="s">
        <v>2</v>
      </c>
      <c r="D7" s="17" t="s">
        <v>195</v>
      </c>
      <c r="E7" s="17" t="s">
        <v>194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196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>
      <c r="A8" s="53"/>
      <c r="B8" s="24" t="s">
        <v>171</v>
      </c>
      <c r="C8" s="19" t="s">
        <v>160</v>
      </c>
      <c r="D8" s="19" t="s">
        <v>22</v>
      </c>
      <c r="E8" s="21">
        <f t="shared" ref="E8:E63" ca="1" si="0">TODAY()</f>
        <v>43105</v>
      </c>
      <c r="F8" s="21">
        <f ca="1">E8+H8</f>
        <v>43135</v>
      </c>
      <c r="G8" s="19">
        <v>3800</v>
      </c>
      <c r="H8" s="19">
        <v>30</v>
      </c>
      <c r="I8" s="22">
        <f t="shared" ref="I8:I9" si="1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-126.03976774170792</v>
      </c>
      <c r="M8" s="25">
        <v>80</v>
      </c>
      <c r="N8" s="24">
        <f>M8/10000*I8*P8</f>
        <v>2.4933698630136987</v>
      </c>
      <c r="O8" s="24">
        <f>IF(L8&lt;=0,ABS(L8)+N8,L8-N8)</f>
        <v>128.53313760472162</v>
      </c>
      <c r="P8" s="20">
        <f>RTD("wdf.rtq",,D8,"LastPrice")</f>
        <v>3792</v>
      </c>
      <c r="Q8" s="19" t="s">
        <v>27</v>
      </c>
      <c r="R8" s="19">
        <f>IF(S8="中金买入",1,-1)</f>
        <v>-1</v>
      </c>
      <c r="S8" s="19" t="s">
        <v>31</v>
      </c>
      <c r="T8" s="26">
        <f>O8/P8</f>
        <v>3.3895869621498313E-2</v>
      </c>
      <c r="U8" s="24">
        <f>_xll.dnetGBlackScholesNGreeks("delta",$Q8,$P8,$G8,$I8,$C$3,$J8,$K8,$C$4)*R8</f>
        <v>-0.50654670375251953</v>
      </c>
      <c r="V8" s="24">
        <f>_xll.dnetGBlackScholesNGreeks("vega",$Q8,$P8,$G8,$I8,$C$3,$J8,$K8,$C$4)*R8</f>
        <v>-4.3291642903747061</v>
      </c>
    </row>
    <row r="9" spans="1:22" ht="12" thickBot="1">
      <c r="A9" s="53"/>
      <c r="B9" s="137" t="s">
        <v>172</v>
      </c>
      <c r="C9" s="138" t="s">
        <v>162</v>
      </c>
      <c r="D9" s="138" t="s">
        <v>40</v>
      </c>
      <c r="E9" s="139">
        <f t="shared" ca="1" si="0"/>
        <v>43105</v>
      </c>
      <c r="F9" s="139">
        <f ca="1">E9+H9</f>
        <v>43470</v>
      </c>
      <c r="G9" s="138">
        <v>100</v>
      </c>
      <c r="H9" s="138">
        <v>365</v>
      </c>
      <c r="I9" s="140">
        <f t="shared" si="1"/>
        <v>1</v>
      </c>
      <c r="J9" s="140">
        <v>0</v>
      </c>
      <c r="K9" s="141">
        <v>0.18</v>
      </c>
      <c r="L9" s="137">
        <f>_xll.dnetGBlackScholesNGreeks("price",$Q9,$P9,$G9,$I9,$C$3,$J9,$K9,$C$4)*R9</f>
        <v>7.0292776883103798</v>
      </c>
      <c r="M9" s="142">
        <v>80</v>
      </c>
      <c r="N9" s="137">
        <f>M9/10000*I9*P9</f>
        <v>0.8</v>
      </c>
      <c r="O9" s="137">
        <f>IF(L9&lt;=0,ABS(L9)+N9,L9-N9)</f>
        <v>6.22927768831038</v>
      </c>
      <c r="P9" s="143">
        <v>100</v>
      </c>
      <c r="Q9" s="138" t="s">
        <v>27</v>
      </c>
      <c r="R9" s="138">
        <f>IF(S9="中金买入",1,-1)</f>
        <v>1</v>
      </c>
      <c r="S9" s="138" t="s">
        <v>151</v>
      </c>
      <c r="T9" s="144">
        <f>O9/P9</f>
        <v>6.22927768831038E-2</v>
      </c>
      <c r="U9" s="137">
        <f>_xll.dnetGBlackScholesNGreeks("delta",$Q9,$P9,$G9,$I9,$C$3,$J9,$K9,$C$4)*R9</f>
        <v>0.52524571968639577</v>
      </c>
      <c r="V9" s="137">
        <f>_xll.dnetGBlackScholesNGreeks("vega",$Q9,$P9,$G9,$I9,$C$3,$J9,$K9,$C$4)*R9</f>
        <v>0.3894605641699016</v>
      </c>
    </row>
    <row r="10" spans="1:22">
      <c r="A10" s="53"/>
      <c r="B10" s="145"/>
      <c r="C10" s="146" t="s">
        <v>160</v>
      </c>
      <c r="D10" s="146" t="s">
        <v>200</v>
      </c>
      <c r="E10" s="147">
        <f t="shared" ca="1" si="0"/>
        <v>43105</v>
      </c>
      <c r="F10" s="147">
        <f ca="1">E10+H10</f>
        <v>43135</v>
      </c>
      <c r="G10" s="146">
        <v>520</v>
      </c>
      <c r="H10" s="146">
        <v>30</v>
      </c>
      <c r="I10" s="148">
        <f t="shared" ref="I10:I11" si="2">H10/365</f>
        <v>8.2191780821917804E-2</v>
      </c>
      <c r="J10" s="148">
        <v>0</v>
      </c>
      <c r="K10" s="149">
        <v>0.32</v>
      </c>
      <c r="L10" s="150">
        <f>_xll.dnetGBlackScholesNGreeks("price",$Q10,$P10,$G10,$I10,$C$3,$J10,$K10,$C$4)*R10</f>
        <v>9.901988404386401</v>
      </c>
      <c r="M10" s="151">
        <v>0</v>
      </c>
      <c r="N10" s="150">
        <f>M10/10000*I10*P10</f>
        <v>0</v>
      </c>
      <c r="O10" s="150">
        <f>IF(L10&lt;=0,ABS(L10)+N10,L10-N10)</f>
        <v>9.901988404386401</v>
      </c>
      <c r="P10" s="167">
        <v>543.5</v>
      </c>
      <c r="Q10" s="146" t="s">
        <v>85</v>
      </c>
      <c r="R10" s="146">
        <f>IF(S10="中金买入",1,-1)</f>
        <v>1</v>
      </c>
      <c r="S10" s="146" t="s">
        <v>151</v>
      </c>
      <c r="T10" s="152">
        <f>O10/P10</f>
        <v>1.8218929906874702E-2</v>
      </c>
      <c r="U10" s="150">
        <f>_xll.dnetGBlackScholesNGreeks("delta",$Q10,$P10,$G10,$I10,$C$3,$J10,$K10,$C$4)*R10</f>
        <v>-0.29837308564566456</v>
      </c>
      <c r="V10" s="153">
        <f>_xll.dnetGBlackScholesNGreeks("vega",$Q10,$P10,$G10,$I10,$C$3,$J10,$K10,$C$4)*R10</f>
        <v>0.53988659619808743</v>
      </c>
    </row>
    <row r="11" spans="1:22">
      <c r="A11" s="53"/>
      <c r="B11" s="154"/>
      <c r="C11" s="10" t="s">
        <v>162</v>
      </c>
      <c r="D11" s="10" t="s">
        <v>200</v>
      </c>
      <c r="E11" s="8">
        <f t="shared" ca="1" si="0"/>
        <v>43105</v>
      </c>
      <c r="F11" s="8">
        <f ca="1">E11+H11</f>
        <v>43135</v>
      </c>
      <c r="G11" s="10">
        <v>510</v>
      </c>
      <c r="H11" s="10">
        <v>30</v>
      </c>
      <c r="I11" s="12">
        <f t="shared" si="2"/>
        <v>8.2191780821917804E-2</v>
      </c>
      <c r="J11" s="12">
        <v>0</v>
      </c>
      <c r="K11" s="9">
        <v>0.32</v>
      </c>
      <c r="L11" s="13">
        <f>_xll.dnetGBlackScholesNGreeks("price",$Q11,$P11,$G11,$I11,$C$3,$J11,$K11,$C$4)*R11</f>
        <v>6.9622492979595023</v>
      </c>
      <c r="M11" s="15">
        <v>0</v>
      </c>
      <c r="N11" s="13">
        <f>M11/10000*I11*P11</f>
        <v>0</v>
      </c>
      <c r="O11" s="13">
        <f>IF(L11&lt;=0,ABS(L11)+N11,L11-N11)</f>
        <v>6.9622492979595023</v>
      </c>
      <c r="P11" s="168">
        <v>543.5</v>
      </c>
      <c r="Q11" s="10" t="s">
        <v>85</v>
      </c>
      <c r="R11" s="10">
        <f>IF(S11="中金买入",1,-1)</f>
        <v>1</v>
      </c>
      <c r="S11" s="10" t="s">
        <v>151</v>
      </c>
      <c r="T11" s="14">
        <f>O11/P11</f>
        <v>1.2810026307193197E-2</v>
      </c>
      <c r="U11" s="13">
        <f>_xll.dnetGBlackScholesNGreeks("delta",$Q11,$P11,$G11,$I11,$C$3,$J11,$K11,$C$4)*R11</f>
        <v>-0.22947507393595856</v>
      </c>
      <c r="V11" s="155">
        <f>_xll.dnetGBlackScholesNGreeks("vega",$Q11,$P11,$G11,$I11,$C$3,$J11,$K11,$C$4)*R11</f>
        <v>0.47209408904785732</v>
      </c>
    </row>
    <row r="12" spans="1:22" ht="12" thickBot="1">
      <c r="A12" s="53"/>
      <c r="B12" s="156"/>
      <c r="C12" s="157" t="s">
        <v>162</v>
      </c>
      <c r="D12" s="157" t="s">
        <v>200</v>
      </c>
      <c r="E12" s="158">
        <f t="shared" ca="1" si="0"/>
        <v>43105</v>
      </c>
      <c r="F12" s="158">
        <f ca="1">E12+H12</f>
        <v>43135</v>
      </c>
      <c r="G12" s="157">
        <v>500</v>
      </c>
      <c r="H12" s="157">
        <v>30</v>
      </c>
      <c r="I12" s="159">
        <f t="shared" ref="I12:I14" si="3">H12/365</f>
        <v>8.2191780821917804E-2</v>
      </c>
      <c r="J12" s="159">
        <v>0</v>
      </c>
      <c r="K12" s="160">
        <v>0.32</v>
      </c>
      <c r="L12" s="161">
        <f>_xll.dnetGBlackScholesNGreeks("price",$Q12,$P12,$G12,$I12,$C$3,$J12,$K12,$C$4)*R12</f>
        <v>4.7108016258521701</v>
      </c>
      <c r="M12" s="162">
        <v>0</v>
      </c>
      <c r="N12" s="161">
        <f>M12/10000*I12*P12</f>
        <v>0</v>
      </c>
      <c r="O12" s="161">
        <f>IF(L12&lt;=0,ABS(L12)+N12,L12-N12)</f>
        <v>4.7108016258521701</v>
      </c>
      <c r="P12" s="169">
        <v>543.5</v>
      </c>
      <c r="Q12" s="157" t="s">
        <v>85</v>
      </c>
      <c r="R12" s="157">
        <f>IF(S12="中金买入",1,-1)</f>
        <v>1</v>
      </c>
      <c r="S12" s="157" t="s">
        <v>151</v>
      </c>
      <c r="T12" s="163">
        <f>O12/P12</f>
        <v>8.6675282904363753E-3</v>
      </c>
      <c r="U12" s="161">
        <f>_xll.dnetGBlackScholesNGreeks("delta",$Q12,$P12,$G12,$I12,$C$3,$J12,$K12,$C$4)*R12</f>
        <v>-0.16946311767966904</v>
      </c>
      <c r="V12" s="164">
        <f>_xll.dnetGBlackScholesNGreeks("vega",$Q12,$P12,$G12,$I12,$C$3,$J12,$K12,$C$4)*R12</f>
        <v>0.39315312663750035</v>
      </c>
    </row>
    <row r="13" spans="1:22">
      <c r="A13" s="53"/>
      <c r="B13" s="145"/>
      <c r="C13" s="146" t="s">
        <v>160</v>
      </c>
      <c r="D13" s="146" t="s">
        <v>201</v>
      </c>
      <c r="E13" s="147">
        <f t="shared" ca="1" si="0"/>
        <v>43105</v>
      </c>
      <c r="F13" s="147">
        <f ca="1">E13+H13</f>
        <v>43165</v>
      </c>
      <c r="G13" s="146">
        <v>500</v>
      </c>
      <c r="H13" s="146">
        <v>60</v>
      </c>
      <c r="I13" s="148">
        <f t="shared" si="3"/>
        <v>0.16438356164383561</v>
      </c>
      <c r="J13" s="148">
        <v>0</v>
      </c>
      <c r="K13" s="149">
        <v>0.32</v>
      </c>
      <c r="L13" s="150">
        <f>_xll.dnetGBlackScholesNGreeks("price",$Q13,$P13,$G13,$I13,$C$3,$J13,$K13,$C$4)*R13</f>
        <v>10.584186924405543</v>
      </c>
      <c r="M13" s="151">
        <v>0</v>
      </c>
      <c r="N13" s="150">
        <f>M13/10000*I13*P13</f>
        <v>0</v>
      </c>
      <c r="O13" s="150">
        <f>IF(L13&lt;=0,ABS(L13)+N13,L13-N13)</f>
        <v>10.584186924405543</v>
      </c>
      <c r="P13" s="167">
        <v>543.5</v>
      </c>
      <c r="Q13" s="146" t="s">
        <v>85</v>
      </c>
      <c r="R13" s="146">
        <f>IF(S13="中金买入",1,-1)</f>
        <v>1</v>
      </c>
      <c r="S13" s="146" t="s">
        <v>151</v>
      </c>
      <c r="T13" s="152">
        <f>O13/P13</f>
        <v>1.9474124975907163E-2</v>
      </c>
      <c r="U13" s="150">
        <f>_xll.dnetGBlackScholesNGreeks("delta",$Q13,$P13,$G13,$I13,$C$3,$J13,$K13,$C$4)*R13</f>
        <v>-0.23873191503014368</v>
      </c>
      <c r="V13" s="153">
        <f>_xll.dnetGBlackScholesNGreeks("vega",$Q13,$P13,$G13,$I13,$C$3,$J13,$K13,$C$4)*R13</f>
        <v>0.68191730542456952</v>
      </c>
    </row>
    <row r="14" spans="1:22">
      <c r="A14" s="53"/>
      <c r="B14" s="154"/>
      <c r="C14" s="10" t="s">
        <v>162</v>
      </c>
      <c r="D14" s="10" t="s">
        <v>200</v>
      </c>
      <c r="E14" s="8">
        <f t="shared" ca="1" si="0"/>
        <v>43105</v>
      </c>
      <c r="F14" s="8">
        <f ca="1">E14+H14</f>
        <v>43165</v>
      </c>
      <c r="G14" s="10">
        <v>480</v>
      </c>
      <c r="H14" s="10">
        <v>60</v>
      </c>
      <c r="I14" s="12">
        <f t="shared" si="3"/>
        <v>0.16438356164383561</v>
      </c>
      <c r="J14" s="12">
        <v>0</v>
      </c>
      <c r="K14" s="9">
        <v>0.32</v>
      </c>
      <c r="L14" s="13">
        <f>_xll.dnetGBlackScholesNGreeks("price",$Q14,$P14,$G14,$I14,$C$3,$J14,$K14,$C$4)*R14</f>
        <v>5.953750269186699</v>
      </c>
      <c r="M14" s="15">
        <v>0</v>
      </c>
      <c r="N14" s="13">
        <f>M14/10000*I14*P14</f>
        <v>0</v>
      </c>
      <c r="O14" s="13">
        <f>IF(L14&lt;=0,ABS(L14)+N14,L14-N14)</f>
        <v>5.953750269186699</v>
      </c>
      <c r="P14" s="168">
        <v>543.5</v>
      </c>
      <c r="Q14" s="10" t="s">
        <v>85</v>
      </c>
      <c r="R14" s="10">
        <f>IF(S14="中金买入",1,-1)</f>
        <v>1</v>
      </c>
      <c r="S14" s="10" t="s">
        <v>151</v>
      </c>
      <c r="T14" s="14">
        <f>O14/P14</f>
        <v>1.0954462316810853E-2</v>
      </c>
      <c r="U14" s="13">
        <f>_xll.dnetGBlackScholesNGreeks("delta",$Q14,$P14,$G14,$I14,$C$3,$J14,$K14,$C$4)*R14</f>
        <v>-0.15277038653565</v>
      </c>
      <c r="V14" s="155">
        <f>_xll.dnetGBlackScholesNGreeks("vega",$Q14,$P14,$G14,$I14,$C$3,$J14,$K14,$C$4)*R14</f>
        <v>0.51933639385124764</v>
      </c>
    </row>
    <row r="15" spans="1:22" ht="12" thickBot="1">
      <c r="A15" s="53"/>
      <c r="B15" s="156"/>
      <c r="C15" s="157" t="s">
        <v>162</v>
      </c>
      <c r="D15" s="157" t="s">
        <v>200</v>
      </c>
      <c r="E15" s="158">
        <f t="shared" ca="1" si="0"/>
        <v>43105</v>
      </c>
      <c r="F15" s="158">
        <f ca="1">E15+H15</f>
        <v>43165</v>
      </c>
      <c r="G15" s="157">
        <v>460</v>
      </c>
      <c r="H15" s="157">
        <v>60</v>
      </c>
      <c r="I15" s="159">
        <f t="shared" ref="I15:I17" si="4">H15/365</f>
        <v>0.16438356164383561</v>
      </c>
      <c r="J15" s="159">
        <v>0</v>
      </c>
      <c r="K15" s="160">
        <v>0.32</v>
      </c>
      <c r="L15" s="161">
        <f>_xll.dnetGBlackScholesNGreeks("price",$Q15,$P15,$G15,$I15,$C$3,$J15,$K15,$C$4)*R15</f>
        <v>3.0303220175199712</v>
      </c>
      <c r="M15" s="162">
        <v>0</v>
      </c>
      <c r="N15" s="161">
        <f>M15/10000*I15*P15</f>
        <v>0</v>
      </c>
      <c r="O15" s="161">
        <f>IF(L15&lt;=0,ABS(L15)+N15,L15-N15)</f>
        <v>3.0303220175199712</v>
      </c>
      <c r="P15" s="169">
        <v>543.5</v>
      </c>
      <c r="Q15" s="157" t="s">
        <v>85</v>
      </c>
      <c r="R15" s="157">
        <f>IF(S15="中金买入",1,-1)</f>
        <v>1</v>
      </c>
      <c r="S15" s="157" t="s">
        <v>151</v>
      </c>
      <c r="T15" s="163">
        <f>O15/P15</f>
        <v>5.5755694894571691E-3</v>
      </c>
      <c r="U15" s="161">
        <f>_xll.dnetGBlackScholesNGreeks("delta",$Q15,$P15,$G15,$I15,$C$3,$J15,$K15,$C$4)*R15</f>
        <v>-8.8133081682073566E-2</v>
      </c>
      <c r="V15" s="164">
        <f>_xll.dnetGBlackScholesNGreeks("vega",$Q15,$P15,$G15,$I15,$C$3,$J15,$K15,$C$4)*R15</f>
        <v>0.3518777635922774</v>
      </c>
    </row>
    <row r="16" spans="1:22">
      <c r="A16" s="53"/>
      <c r="B16" s="145"/>
      <c r="C16" s="146" t="s">
        <v>160</v>
      </c>
      <c r="D16" s="146" t="s">
        <v>200</v>
      </c>
      <c r="E16" s="147">
        <f t="shared" ca="1" si="0"/>
        <v>43105</v>
      </c>
      <c r="F16" s="147">
        <f ca="1">E16+H16</f>
        <v>43195</v>
      </c>
      <c r="G16" s="146">
        <v>500</v>
      </c>
      <c r="H16" s="146">
        <v>90</v>
      </c>
      <c r="I16" s="148">
        <f t="shared" si="4"/>
        <v>0.24657534246575341</v>
      </c>
      <c r="J16" s="148">
        <v>0</v>
      </c>
      <c r="K16" s="149">
        <v>0.32</v>
      </c>
      <c r="L16" s="150">
        <f>_xll.dnetGBlackScholesNGreeks("price",$Q16,$P16,$G16,$I16,$C$3,$J16,$K16,$C$4)*R16</f>
        <v>15.651548643046198</v>
      </c>
      <c r="M16" s="151">
        <v>0</v>
      </c>
      <c r="N16" s="150">
        <f>M16/10000*I16*P16</f>
        <v>0</v>
      </c>
      <c r="O16" s="150">
        <f>IF(L16&lt;=0,ABS(L16)+N16,L16-N16)</f>
        <v>15.651548643046198</v>
      </c>
      <c r="P16" s="167">
        <v>543.5</v>
      </c>
      <c r="Q16" s="146" t="s">
        <v>85</v>
      </c>
      <c r="R16" s="146">
        <f>IF(S16="中金买入",1,-1)</f>
        <v>1</v>
      </c>
      <c r="S16" s="146" t="s">
        <v>151</v>
      </c>
      <c r="T16" s="152">
        <f>O16/P16</f>
        <v>2.8797697595301191E-2</v>
      </c>
      <c r="U16" s="150">
        <f>_xll.dnetGBlackScholesNGreeks("delta",$Q16,$P16,$G16,$I16,$C$3,$J16,$K16,$C$4)*R16</f>
        <v>-0.27143254744572687</v>
      </c>
      <c r="V16" s="153">
        <f>_xll.dnetGBlackScholesNGreeks("vega",$Q16,$P16,$G16,$I16,$C$3,$J16,$K16,$C$4)*R16</f>
        <v>0.89238804875718358</v>
      </c>
    </row>
    <row r="17" spans="1:22">
      <c r="A17" s="53"/>
      <c r="B17" s="154"/>
      <c r="C17" s="10" t="s">
        <v>162</v>
      </c>
      <c r="D17" s="10" t="s">
        <v>200</v>
      </c>
      <c r="E17" s="8">
        <f t="shared" ca="1" si="0"/>
        <v>43105</v>
      </c>
      <c r="F17" s="8">
        <f ca="1">E17+H17</f>
        <v>43195</v>
      </c>
      <c r="G17" s="10">
        <v>480</v>
      </c>
      <c r="H17" s="10">
        <v>90</v>
      </c>
      <c r="I17" s="12">
        <f t="shared" si="4"/>
        <v>0.24657534246575341</v>
      </c>
      <c r="J17" s="12">
        <v>0</v>
      </c>
      <c r="K17" s="9">
        <v>0.32</v>
      </c>
      <c r="L17" s="13">
        <f>_xll.dnetGBlackScholesNGreeks("price",$Q17,$P17,$G17,$I17,$C$3,$J17,$K17,$C$4)*R17</f>
        <v>10.003192617290082</v>
      </c>
      <c r="M17" s="15">
        <v>0</v>
      </c>
      <c r="N17" s="13">
        <f>M17/10000*I17*P17</f>
        <v>0</v>
      </c>
      <c r="O17" s="13">
        <f>IF(L17&lt;=0,ABS(L17)+N17,L17-N17)</f>
        <v>10.003192617290082</v>
      </c>
      <c r="P17" s="168">
        <v>543.5</v>
      </c>
      <c r="Q17" s="10" t="s">
        <v>85</v>
      </c>
      <c r="R17" s="10">
        <f>IF(S17="中金买入",1,-1)</f>
        <v>1</v>
      </c>
      <c r="S17" s="10" t="s">
        <v>151</v>
      </c>
      <c r="T17" s="14">
        <f>O17/P17</f>
        <v>1.8405138210285339E-2</v>
      </c>
      <c r="U17" s="13">
        <f>_xll.dnetGBlackScholesNGreeks("delta",$Q17,$P17,$G17,$I17,$C$3,$J17,$K17,$C$4)*R17</f>
        <v>-0.19356665519367766</v>
      </c>
      <c r="V17" s="155">
        <f>_xll.dnetGBlackScholesNGreeks("vega",$Q17,$P17,$G17,$I17,$C$3,$J17,$K17,$C$4)*R17</f>
        <v>0.73915071313051328</v>
      </c>
    </row>
    <row r="18" spans="1:22" ht="12" thickBot="1">
      <c r="A18" s="53"/>
      <c r="B18" s="156"/>
      <c r="C18" s="157" t="s">
        <v>162</v>
      </c>
      <c r="D18" s="157" t="s">
        <v>200</v>
      </c>
      <c r="E18" s="158">
        <f t="shared" ca="1" si="0"/>
        <v>43105</v>
      </c>
      <c r="F18" s="158">
        <f ca="1">E18+H18</f>
        <v>43195</v>
      </c>
      <c r="G18" s="157">
        <v>460</v>
      </c>
      <c r="H18" s="157">
        <v>90</v>
      </c>
      <c r="I18" s="159">
        <f t="shared" ref="I18:I20" si="5">H18/365</f>
        <v>0.24657534246575341</v>
      </c>
      <c r="J18" s="159">
        <v>0</v>
      </c>
      <c r="K18" s="160">
        <v>0.32</v>
      </c>
      <c r="L18" s="161">
        <f>_xll.dnetGBlackScholesNGreeks("price",$Q18,$P18,$G18,$I18,$C$3,$J18,$K18,$C$4)*R18</f>
        <v>5.9742463797320084</v>
      </c>
      <c r="M18" s="162">
        <v>0</v>
      </c>
      <c r="N18" s="161">
        <f>M18/10000*I18*P18</f>
        <v>0</v>
      </c>
      <c r="O18" s="161">
        <f>IF(L18&lt;=0,ABS(L18)+N18,L18-N18)</f>
        <v>5.9742463797320084</v>
      </c>
      <c r="P18" s="169">
        <v>543.5</v>
      </c>
      <c r="Q18" s="157" t="s">
        <v>85</v>
      </c>
      <c r="R18" s="157">
        <f>IF(S18="中金买入",1,-1)</f>
        <v>1</v>
      </c>
      <c r="S18" s="157" t="s">
        <v>151</v>
      </c>
      <c r="T18" s="163">
        <f>O18/P18</f>
        <v>1.0992173651760825E-2</v>
      </c>
      <c r="U18" s="161">
        <f>_xll.dnetGBlackScholesNGreeks("delta",$Q18,$P18,$G18,$I18,$C$3,$J18,$K18,$C$4)*R18</f>
        <v>-0.12877327953191298</v>
      </c>
      <c r="V18" s="164">
        <f>_xll.dnetGBlackScholesNGreeks("vega",$Q18,$P18,$G18,$I18,$C$3,$J18,$K18,$C$4)*R18</f>
        <v>0.56613227624495721</v>
      </c>
    </row>
    <row r="19" spans="1:22">
      <c r="A19" s="53"/>
      <c r="B19" s="145"/>
      <c r="C19" s="146" t="s">
        <v>160</v>
      </c>
      <c r="D19" s="146" t="s">
        <v>200</v>
      </c>
      <c r="E19" s="147">
        <f t="shared" ca="1" si="0"/>
        <v>43105</v>
      </c>
      <c r="F19" s="147">
        <f ca="1">E19+H19</f>
        <v>43135</v>
      </c>
      <c r="G19" s="146">
        <v>550</v>
      </c>
      <c r="H19" s="146">
        <v>30</v>
      </c>
      <c r="I19" s="148">
        <f t="shared" si="5"/>
        <v>8.2191780821917804E-2</v>
      </c>
      <c r="J19" s="148">
        <v>0</v>
      </c>
      <c r="K19" s="149">
        <v>0.32</v>
      </c>
      <c r="L19" s="150">
        <f>_xll.dnetGBlackScholesNGreeks("price",$Q19,$P19,$G19,$I19,$C$3,$J19,$K19,$C$4)*R19</f>
        <v>16.893533827246273</v>
      </c>
      <c r="M19" s="151">
        <v>0</v>
      </c>
      <c r="N19" s="150">
        <f>M19/10000*I19*P19</f>
        <v>0</v>
      </c>
      <c r="O19" s="150">
        <f>IF(L19&lt;=0,ABS(L19)+N19,L19-N19)</f>
        <v>16.893533827246273</v>
      </c>
      <c r="P19" s="167">
        <v>543.5</v>
      </c>
      <c r="Q19" s="146" t="s">
        <v>27</v>
      </c>
      <c r="R19" s="146">
        <f>IF(S19="中金买入",1,-1)</f>
        <v>1</v>
      </c>
      <c r="S19" s="146" t="s">
        <v>151</v>
      </c>
      <c r="T19" s="152">
        <f>O19/P19</f>
        <v>3.1082858927776031E-2</v>
      </c>
      <c r="U19" s="150">
        <f>_xll.dnetGBlackScholesNGreeks("delta",$Q19,$P19,$G19,$I19,$C$3,$J19,$K19,$C$4)*R19</f>
        <v>0.46587401560032049</v>
      </c>
      <c r="V19" s="153">
        <f>_xll.dnetGBlackScholesNGreeks("vega",$Q19,$P19,$G19,$I19,$C$3,$J19,$K19,$C$4)*R19</f>
        <v>0.61842109450989824</v>
      </c>
    </row>
    <row r="20" spans="1:22">
      <c r="A20" s="53"/>
      <c r="B20" s="154"/>
      <c r="C20" s="10" t="s">
        <v>162</v>
      </c>
      <c r="D20" s="10" t="s">
        <v>200</v>
      </c>
      <c r="E20" s="8">
        <f t="shared" ca="1" si="0"/>
        <v>43105</v>
      </c>
      <c r="F20" s="8">
        <f ca="1">E20+H20</f>
        <v>43135</v>
      </c>
      <c r="G20" s="10">
        <v>560</v>
      </c>
      <c r="H20" s="10">
        <v>30</v>
      </c>
      <c r="I20" s="12">
        <f t="shared" si="5"/>
        <v>8.2191780821917804E-2</v>
      </c>
      <c r="J20" s="12">
        <v>0</v>
      </c>
      <c r="K20" s="9">
        <v>0.32</v>
      </c>
      <c r="L20" s="13">
        <f>_xll.dnetGBlackScholesNGreeks("price",$Q20,$P20,$G20,$I20,$C$3,$J20,$K20,$C$4)*R20</f>
        <v>12.977697599010867</v>
      </c>
      <c r="M20" s="15">
        <v>0</v>
      </c>
      <c r="N20" s="13">
        <f>M20/10000*I20*P20</f>
        <v>0</v>
      </c>
      <c r="O20" s="13">
        <f>IF(L20&lt;=0,ABS(L20)+N20,L20-N20)</f>
        <v>12.977697599010867</v>
      </c>
      <c r="P20" s="168">
        <v>543.5</v>
      </c>
      <c r="Q20" s="10" t="s">
        <v>27</v>
      </c>
      <c r="R20" s="10">
        <f>IF(S20="中金买入",1,-1)</f>
        <v>1</v>
      </c>
      <c r="S20" s="10" t="s">
        <v>151</v>
      </c>
      <c r="T20" s="14">
        <f>O20/P20</f>
        <v>2.3878008461841523E-2</v>
      </c>
      <c r="U20" s="13">
        <f>_xll.dnetGBlackScholesNGreeks("delta",$Q20,$P20,$G20,$I20,$C$3,$J20,$K20,$C$4)*R20</f>
        <v>0.38905128958077739</v>
      </c>
      <c r="V20" s="155">
        <f>_xll.dnetGBlackScholesNGreeks("vega",$Q20,$P20,$G20,$I20,$C$3,$J20,$K20,$C$4)*R20</f>
        <v>0.59668976712052313</v>
      </c>
    </row>
    <row r="21" spans="1:22" ht="12" thickBot="1">
      <c r="A21" s="53"/>
      <c r="B21" s="156"/>
      <c r="C21" s="157" t="s">
        <v>162</v>
      </c>
      <c r="D21" s="157" t="s">
        <v>200</v>
      </c>
      <c r="E21" s="158">
        <f t="shared" ca="1" si="0"/>
        <v>43105</v>
      </c>
      <c r="F21" s="158">
        <f ca="1">E21+H21</f>
        <v>43135</v>
      </c>
      <c r="G21" s="157">
        <v>570</v>
      </c>
      <c r="H21" s="157">
        <v>30</v>
      </c>
      <c r="I21" s="159">
        <f t="shared" ref="I21:I23" si="6">H21/365</f>
        <v>8.2191780821917804E-2</v>
      </c>
      <c r="J21" s="159">
        <v>0</v>
      </c>
      <c r="K21" s="160">
        <v>0.32</v>
      </c>
      <c r="L21" s="161">
        <f>_xll.dnetGBlackScholesNGreeks("price",$Q21,$P21,$G21,$I21,$C$3,$J21,$K21,$C$4)*R21</f>
        <v>9.7836307331647561</v>
      </c>
      <c r="M21" s="162">
        <v>0</v>
      </c>
      <c r="N21" s="161">
        <f>M21/10000*I21*P21</f>
        <v>0</v>
      </c>
      <c r="O21" s="161">
        <f>IF(L21&lt;=0,ABS(L21)+N21,L21-N21)</f>
        <v>9.7836307331647561</v>
      </c>
      <c r="P21" s="169">
        <v>543.5</v>
      </c>
      <c r="Q21" s="157" t="s">
        <v>27</v>
      </c>
      <c r="R21" s="157">
        <f>IF(S21="中金买入",1,-1)</f>
        <v>1</v>
      </c>
      <c r="S21" s="157" t="s">
        <v>151</v>
      </c>
      <c r="T21" s="163">
        <f>O21/P21</f>
        <v>1.8001160502603048E-2</v>
      </c>
      <c r="U21" s="161">
        <f>_xll.dnetGBlackScholesNGreeks("delta",$Q21,$P21,$G21,$I21,$C$3,$J21,$K21,$C$4)*R21</f>
        <v>0.31756519336312294</v>
      </c>
      <c r="V21" s="164">
        <f>_xll.dnetGBlackScholesNGreeks("vega",$Q21,$P21,$G21,$I21,$C$3,$J21,$K21,$C$4)*R21</f>
        <v>0.55483597018498187</v>
      </c>
    </row>
    <row r="22" spans="1:22">
      <c r="A22" s="53"/>
      <c r="B22" s="145"/>
      <c r="C22" s="146" t="s">
        <v>160</v>
      </c>
      <c r="D22" s="146" t="s">
        <v>200</v>
      </c>
      <c r="E22" s="147">
        <f t="shared" ca="1" si="0"/>
        <v>43105</v>
      </c>
      <c r="F22" s="147">
        <f ca="1">E22+H22</f>
        <v>43165</v>
      </c>
      <c r="G22" s="146">
        <v>570</v>
      </c>
      <c r="H22" s="146">
        <v>60</v>
      </c>
      <c r="I22" s="148">
        <f t="shared" si="6"/>
        <v>0.16438356164383561</v>
      </c>
      <c r="J22" s="148">
        <v>0</v>
      </c>
      <c r="K22" s="149">
        <v>0.32</v>
      </c>
      <c r="L22" s="150">
        <f>_xll.dnetGBlackScholesNGreeks("price",$Q22,$P22,$G22,$I22,$C$3,$J22,$K22,$C$4)*R22</f>
        <v>17.40355177910871</v>
      </c>
      <c r="M22" s="151">
        <v>0</v>
      </c>
      <c r="N22" s="150">
        <f>M22/10000*I22*P22</f>
        <v>0</v>
      </c>
      <c r="O22" s="150">
        <f>IF(L22&lt;=0,ABS(L22)+N22,L22-N22)</f>
        <v>17.40355177910871</v>
      </c>
      <c r="P22" s="167">
        <v>543.5</v>
      </c>
      <c r="Q22" s="146" t="s">
        <v>27</v>
      </c>
      <c r="R22" s="146">
        <f>IF(S22="中金买入",1,-1)</f>
        <v>1</v>
      </c>
      <c r="S22" s="146" t="s">
        <v>151</v>
      </c>
      <c r="T22" s="152">
        <f>O22/P22</f>
        <v>3.2021254423383091E-2</v>
      </c>
      <c r="U22" s="150">
        <f>_xll.dnetGBlackScholesNGreeks("delta",$Q22,$P22,$G22,$I22,$C$3,$J22,$K22,$C$4)*R22</f>
        <v>0.38005022977358749</v>
      </c>
      <c r="V22" s="153">
        <f>_xll.dnetGBlackScholesNGreeks("vega",$Q22,$P22,$G22,$I22,$C$3,$J22,$K22,$C$4)*R22</f>
        <v>0.83708637125815244</v>
      </c>
    </row>
    <row r="23" spans="1:22">
      <c r="A23" s="53"/>
      <c r="B23" s="154"/>
      <c r="C23" s="10" t="s">
        <v>162</v>
      </c>
      <c r="D23" s="10" t="s">
        <v>200</v>
      </c>
      <c r="E23" s="8">
        <f t="shared" ca="1" si="0"/>
        <v>43105</v>
      </c>
      <c r="F23" s="8">
        <f ca="1">E23+H23</f>
        <v>43165</v>
      </c>
      <c r="G23" s="10">
        <v>610</v>
      </c>
      <c r="H23" s="10">
        <v>60</v>
      </c>
      <c r="I23" s="12">
        <f t="shared" si="6"/>
        <v>0.16438356164383561</v>
      </c>
      <c r="J23" s="12">
        <v>0</v>
      </c>
      <c r="K23" s="9">
        <v>0.32</v>
      </c>
      <c r="L23" s="13">
        <f>_xll.dnetGBlackScholesNGreeks("price",$Q23,$P23,$G23,$I23,$C$3,$J23,$K23,$C$4)*R23</f>
        <v>7.6106061341978659</v>
      </c>
      <c r="M23" s="15">
        <v>0</v>
      </c>
      <c r="N23" s="13">
        <f>M23/10000*I23*P23</f>
        <v>0</v>
      </c>
      <c r="O23" s="13">
        <f>IF(L23&lt;=0,ABS(L23)+N23,L23-N23)</f>
        <v>7.6106061341978659</v>
      </c>
      <c r="P23" s="168">
        <v>543.5</v>
      </c>
      <c r="Q23" s="10" t="s">
        <v>27</v>
      </c>
      <c r="R23" s="10">
        <f>IF(S23="中金买入",1,-1)</f>
        <v>1</v>
      </c>
      <c r="S23" s="10" t="s">
        <v>151</v>
      </c>
      <c r="T23" s="14">
        <f>O23/P23</f>
        <v>1.4002955168717324E-2</v>
      </c>
      <c r="U23" s="13">
        <f>_xll.dnetGBlackScholesNGreeks("delta",$Q23,$P23,$G23,$I23,$C$3,$J23,$K23,$C$4)*R23</f>
        <v>0.20406627844735681</v>
      </c>
      <c r="V23" s="155">
        <f>_xll.dnetGBlackScholesNGreeks("vega",$Q23,$P23,$G23,$I23,$C$3,$J23,$K23,$C$4)*R23</f>
        <v>0.6233859452185726</v>
      </c>
    </row>
    <row r="24" spans="1:22" ht="12" thickBot="1">
      <c r="A24" s="53"/>
      <c r="B24" s="156"/>
      <c r="C24" s="157" t="s">
        <v>162</v>
      </c>
      <c r="D24" s="157" t="s">
        <v>200</v>
      </c>
      <c r="E24" s="158">
        <f t="shared" ca="1" si="0"/>
        <v>43105</v>
      </c>
      <c r="F24" s="158">
        <f ca="1">E24+H24</f>
        <v>43165</v>
      </c>
      <c r="G24" s="157">
        <v>650</v>
      </c>
      <c r="H24" s="157">
        <v>60</v>
      </c>
      <c r="I24" s="159">
        <f t="shared" ref="I24:I41" si="7">H24/365</f>
        <v>0.16438356164383561</v>
      </c>
      <c r="J24" s="159">
        <v>0</v>
      </c>
      <c r="K24" s="160">
        <v>0.32</v>
      </c>
      <c r="L24" s="161">
        <f>_xll.dnetGBlackScholesNGreeks("price",$Q24,$P24,$G24,$I24,$C$3,$J24,$K24,$C$4)*R24</f>
        <v>2.9454606029143804</v>
      </c>
      <c r="M24" s="162">
        <v>0</v>
      </c>
      <c r="N24" s="161">
        <f>M24/10000*I24*P24</f>
        <v>0</v>
      </c>
      <c r="O24" s="161">
        <f>IF(L24&lt;=0,ABS(L24)+N24,L24-N24)</f>
        <v>2.9454606029143804</v>
      </c>
      <c r="P24" s="169">
        <v>543.5</v>
      </c>
      <c r="Q24" s="157" t="s">
        <v>27</v>
      </c>
      <c r="R24" s="157">
        <f>IF(S24="中金买入",1,-1)</f>
        <v>1</v>
      </c>
      <c r="S24" s="157" t="s">
        <v>151</v>
      </c>
      <c r="T24" s="163">
        <f>O24/P24</f>
        <v>5.4194307321331747E-3</v>
      </c>
      <c r="U24" s="161">
        <f>_xll.dnetGBlackScholesNGreeks("delta",$Q24,$P24,$G24,$I24,$C$3,$J24,$K24,$C$4)*R24</f>
        <v>9.4054008996380389E-2</v>
      </c>
      <c r="V24" s="164">
        <f>_xll.dnetGBlackScholesNGreeks("vega",$Q24,$P24,$G24,$I24,$C$3,$J24,$K24,$C$4)*R24</f>
        <v>0.36926242538739373</v>
      </c>
    </row>
    <row r="25" spans="1:22">
      <c r="A25" s="53"/>
      <c r="B25" s="154"/>
      <c r="C25" s="10" t="s">
        <v>160</v>
      </c>
      <c r="D25" s="10" t="s">
        <v>200</v>
      </c>
      <c r="E25" s="8">
        <f t="shared" ca="1" si="0"/>
        <v>43105</v>
      </c>
      <c r="F25" s="8">
        <f ca="1">E25+H25</f>
        <v>43195</v>
      </c>
      <c r="G25" s="10">
        <v>570</v>
      </c>
      <c r="H25" s="146">
        <v>90</v>
      </c>
      <c r="I25" s="12">
        <f t="shared" si="7"/>
        <v>0.24657534246575341</v>
      </c>
      <c r="J25" s="12">
        <v>0</v>
      </c>
      <c r="K25" s="9">
        <v>0.32</v>
      </c>
      <c r="L25" s="13">
        <f>_xll.dnetGBlackScholesNGreeks("price",$Q25,$P25,$G25,$I25,$C$3,$J25,$K25,$C$4)*R25</f>
        <v>23.457385282324452</v>
      </c>
      <c r="M25" s="15">
        <v>0</v>
      </c>
      <c r="N25" s="13">
        <f>M25/10000*I25*P25</f>
        <v>0</v>
      </c>
      <c r="O25" s="13">
        <f>IF(L25&lt;=0,ABS(L25)+N25,L25-N25)</f>
        <v>23.457385282324452</v>
      </c>
      <c r="P25" s="168">
        <v>543.5</v>
      </c>
      <c r="Q25" s="10" t="s">
        <v>27</v>
      </c>
      <c r="R25" s="10">
        <f>IF(S25="中金买入",1,-1)</f>
        <v>1</v>
      </c>
      <c r="S25" s="10" t="s">
        <v>151</v>
      </c>
      <c r="T25" s="14">
        <f>O25/P25</f>
        <v>4.3159862524975993E-2</v>
      </c>
      <c r="U25" s="13">
        <f>_xll.dnetGBlackScholesNGreeks("delta",$Q25,$P25,$G25,$I25,$C$3,$J25,$K25,$C$4)*R25</f>
        <v>0.41084585661934625</v>
      </c>
      <c r="V25" s="155">
        <f>_xll.dnetGBlackScholesNGreeks("vega",$Q25,$P25,$G25,$I25,$C$3,$J25,$K25,$C$4)*R25</f>
        <v>1.0456814130136536</v>
      </c>
    </row>
    <row r="26" spans="1:22">
      <c r="A26" s="53"/>
      <c r="B26" s="154"/>
      <c r="C26" s="10" t="s">
        <v>162</v>
      </c>
      <c r="D26" s="10" t="s">
        <v>200</v>
      </c>
      <c r="E26" s="8">
        <f t="shared" ca="1" si="0"/>
        <v>43105</v>
      </c>
      <c r="F26" s="8">
        <f ca="1">E26+H26</f>
        <v>43195</v>
      </c>
      <c r="G26" s="10">
        <v>610</v>
      </c>
      <c r="H26" s="10">
        <v>90</v>
      </c>
      <c r="I26" s="12">
        <f t="shared" si="7"/>
        <v>0.24657534246575341</v>
      </c>
      <c r="J26" s="12">
        <v>0</v>
      </c>
      <c r="K26" s="9">
        <v>0.32</v>
      </c>
      <c r="L26" s="13">
        <f>_xll.dnetGBlackScholesNGreeks("price",$Q26,$P26,$G26,$I26,$C$3,$J26,$K26,$C$4)*R26</f>
        <v>12.413514334685189</v>
      </c>
      <c r="M26" s="15">
        <v>0</v>
      </c>
      <c r="N26" s="13">
        <f>M26/10000*I26*P26</f>
        <v>0</v>
      </c>
      <c r="O26" s="13">
        <f>IF(L26&lt;=0,ABS(L26)+N26,L26-N26)</f>
        <v>12.413514334685189</v>
      </c>
      <c r="P26" s="168">
        <v>543.5</v>
      </c>
      <c r="Q26" s="10" t="s">
        <v>27</v>
      </c>
      <c r="R26" s="10">
        <f>IF(S26="中金买入",1,-1)</f>
        <v>1</v>
      </c>
      <c r="S26" s="10" t="s">
        <v>151</v>
      </c>
      <c r="T26" s="14">
        <f>O26/P26</f>
        <v>2.283995277770964E-2</v>
      </c>
      <c r="U26" s="13">
        <f>_xll.dnetGBlackScholesNGreeks("delta",$Q26,$P26,$G26,$I26,$C$3,$J26,$K26,$C$4)*R26</f>
        <v>0.25755070693946891</v>
      </c>
      <c r="V26" s="155">
        <f>_xll.dnetGBlackScholesNGreeks("vega",$Q26,$P26,$G26,$I26,$C$3,$J26,$K26,$C$4)*R26</f>
        <v>0.86887372743429836</v>
      </c>
    </row>
    <row r="27" spans="1:22" ht="12" thickBot="1">
      <c r="A27" s="53"/>
      <c r="B27" s="165"/>
      <c r="C27" s="138" t="s">
        <v>162</v>
      </c>
      <c r="D27" s="138" t="s">
        <v>200</v>
      </c>
      <c r="E27" s="139">
        <f t="shared" ca="1" si="0"/>
        <v>43105</v>
      </c>
      <c r="F27" s="139">
        <f ca="1">E27+H27</f>
        <v>43195</v>
      </c>
      <c r="G27" s="138">
        <v>650</v>
      </c>
      <c r="H27" s="138">
        <v>90</v>
      </c>
      <c r="I27" s="140">
        <f t="shared" si="7"/>
        <v>0.24657534246575341</v>
      </c>
      <c r="J27" s="140">
        <v>0</v>
      </c>
      <c r="K27" s="141">
        <v>0.32</v>
      </c>
      <c r="L27" s="137">
        <f>_xll.dnetGBlackScholesNGreeks("price",$Q27,$P27,$G27,$I27,$C$3,$J27,$K27,$C$4)*R27</f>
        <v>6.1099307755968795</v>
      </c>
      <c r="M27" s="142">
        <v>0</v>
      </c>
      <c r="N27" s="137">
        <f>M27/10000*I27*P27</f>
        <v>0</v>
      </c>
      <c r="O27" s="137">
        <f>IF(L27&lt;=0,ABS(L27)+N27,L27-N27)</f>
        <v>6.1099307755968795</v>
      </c>
      <c r="P27" s="170">
        <v>543.5</v>
      </c>
      <c r="Q27" s="138" t="s">
        <v>27</v>
      </c>
      <c r="R27" s="138">
        <f>IF(S27="中金买入",1,-1)</f>
        <v>1</v>
      </c>
      <c r="S27" s="138" t="s">
        <v>151</v>
      </c>
      <c r="T27" s="144">
        <f>O27/P27</f>
        <v>1.1241822954180091E-2</v>
      </c>
      <c r="U27" s="137">
        <f>_xll.dnetGBlackScholesNGreeks("delta",$Q27,$P27,$G27,$I27,$C$3,$J27,$K27,$C$4)*R27</f>
        <v>0.14689709131374684</v>
      </c>
      <c r="V27" s="166">
        <f>_xll.dnetGBlackScholesNGreeks("vega",$Q27,$P27,$G27,$I27,$C$3,$J27,$K27,$C$4)*R27</f>
        <v>0.61928712117384066</v>
      </c>
    </row>
    <row r="28" spans="1:22">
      <c r="B28" s="171"/>
      <c r="C28" s="172" t="s">
        <v>160</v>
      </c>
      <c r="D28" s="172" t="s">
        <v>203</v>
      </c>
      <c r="E28" s="173">
        <f t="shared" ca="1" si="0"/>
        <v>43105</v>
      </c>
      <c r="F28" s="173">
        <f ca="1">E28+H28</f>
        <v>43135</v>
      </c>
      <c r="G28" s="172">
        <v>1600</v>
      </c>
      <c r="H28" s="172">
        <v>30</v>
      </c>
      <c r="I28" s="174">
        <f t="shared" si="7"/>
        <v>8.2191780821917804E-2</v>
      </c>
      <c r="J28" s="174">
        <v>0</v>
      </c>
      <c r="K28" s="175">
        <v>0.33</v>
      </c>
      <c r="L28" s="176">
        <f>_xll.dnetGBlackScholesNGreeks("price",$Q28,$P28,$G28,$I28,$C$3,$J28,$K28,$C$4)*R28</f>
        <v>0.12118864759465175</v>
      </c>
      <c r="M28" s="177">
        <v>0</v>
      </c>
      <c r="N28" s="176">
        <f>M28/10000*I28*P28</f>
        <v>0</v>
      </c>
      <c r="O28" s="176">
        <f>IF(L28&lt;=0,ABS(L28)+N28,L28-N28)</f>
        <v>0.12118864759465175</v>
      </c>
      <c r="P28" s="178">
        <v>2090</v>
      </c>
      <c r="Q28" s="172" t="s">
        <v>85</v>
      </c>
      <c r="R28" s="172">
        <f>IF(S28="中金买入",1,-1)</f>
        <v>1</v>
      </c>
      <c r="S28" s="172" t="s">
        <v>151</v>
      </c>
      <c r="T28" s="179">
        <f>O28/P28</f>
        <v>5.7984998849115675E-5</v>
      </c>
      <c r="U28" s="176">
        <f>_xll.dnetGBlackScholesNGreeks("delta",$Q28,$P28,$G28,$I28,$C$3,$J28,$K28,$C$4)*R28</f>
        <v>-2.0414220769815472E-3</v>
      </c>
      <c r="V28" s="180">
        <f>_xll.dnetGBlackScholesNGreeks("vega",$Q28,$P28,$G28,$I28,$C$3,$J28,$K28,$C$4)*R28</f>
        <v>3.8931581129898252E-2</v>
      </c>
    </row>
    <row r="29" spans="1:22">
      <c r="B29" s="181"/>
      <c r="C29" s="10" t="s">
        <v>162</v>
      </c>
      <c r="D29" s="10" t="s">
        <v>202</v>
      </c>
      <c r="E29" s="8">
        <f t="shared" ca="1" si="0"/>
        <v>43105</v>
      </c>
      <c r="F29" s="8">
        <f ca="1">E29+H29</f>
        <v>43135</v>
      </c>
      <c r="G29" s="10">
        <v>1700</v>
      </c>
      <c r="H29" s="10">
        <v>30</v>
      </c>
      <c r="I29" s="12">
        <f t="shared" si="7"/>
        <v>8.2191780821917804E-2</v>
      </c>
      <c r="J29" s="12">
        <v>0</v>
      </c>
      <c r="K29" s="9">
        <v>0.33</v>
      </c>
      <c r="L29" s="13">
        <f>_xll.dnetGBlackScholesNGreeks("price",$Q29,$P29,$G29,$I29,$C$3,$J29,$K29,$C$4)*R29</f>
        <v>0.91207930080544131</v>
      </c>
      <c r="M29" s="15">
        <v>0</v>
      </c>
      <c r="N29" s="13">
        <f>M29/10000*I29*P29</f>
        <v>0</v>
      </c>
      <c r="O29" s="13">
        <f>IF(L29&lt;=0,ABS(L29)+N29,L29-N29)</f>
        <v>0.91207930080544131</v>
      </c>
      <c r="P29" s="168">
        <v>2090</v>
      </c>
      <c r="Q29" s="10" t="s">
        <v>85</v>
      </c>
      <c r="R29" s="10">
        <f>IF(S29="中金买入",1,-1)</f>
        <v>1</v>
      </c>
      <c r="S29" s="10" t="s">
        <v>151</v>
      </c>
      <c r="T29" s="14">
        <f>O29/P29</f>
        <v>4.3640157933274703E-4</v>
      </c>
      <c r="U29" s="13">
        <f>_xll.dnetGBlackScholesNGreeks("delta",$Q29,$P29,$G29,$I29,$C$3,$J29,$K29,$C$4)*R29</f>
        <v>-1.2840257193147409E-2</v>
      </c>
      <c r="V29" s="182">
        <f>_xll.dnetGBlackScholesNGreeks("vega",$Q29,$P29,$G29,$I29,$C$3,$J29,$K29,$C$4)*R29</f>
        <v>0.19865627663486585</v>
      </c>
    </row>
    <row r="30" spans="1:22" ht="12" thickBot="1">
      <c r="B30" s="183"/>
      <c r="C30" s="157" t="s">
        <v>162</v>
      </c>
      <c r="D30" s="157" t="s">
        <v>202</v>
      </c>
      <c r="E30" s="158">
        <f t="shared" ca="1" si="0"/>
        <v>43105</v>
      </c>
      <c r="F30" s="158">
        <f ca="1">E30+H30</f>
        <v>43135</v>
      </c>
      <c r="G30" s="157">
        <v>1800</v>
      </c>
      <c r="H30" s="157">
        <v>30</v>
      </c>
      <c r="I30" s="159">
        <f t="shared" si="7"/>
        <v>8.2191780821917804E-2</v>
      </c>
      <c r="J30" s="159">
        <v>0</v>
      </c>
      <c r="K30" s="160">
        <v>0.33</v>
      </c>
      <c r="L30" s="161">
        <f>_xll.dnetGBlackScholesNGreeks("price",$Q30,$P30,$G30,$I30,$C$3,$J30,$K30,$C$4)*R30</f>
        <v>4.470555031121151</v>
      </c>
      <c r="M30" s="162">
        <v>0</v>
      </c>
      <c r="N30" s="161">
        <f>M30/10000*I30*P30</f>
        <v>0</v>
      </c>
      <c r="O30" s="161">
        <f>IF(L30&lt;=0,ABS(L30)+N30,L30-N30)</f>
        <v>4.470555031121151</v>
      </c>
      <c r="P30" s="169">
        <v>2090</v>
      </c>
      <c r="Q30" s="157" t="s">
        <v>85</v>
      </c>
      <c r="R30" s="157">
        <f>IF(S30="中金买入",1,-1)</f>
        <v>1</v>
      </c>
      <c r="S30" s="157" t="s">
        <v>151</v>
      </c>
      <c r="T30" s="163">
        <f>O30/P30</f>
        <v>2.1390215459909812E-3</v>
      </c>
      <c r="U30" s="161">
        <f>_xll.dnetGBlackScholesNGreeks("delta",$Q30,$P30,$G30,$I30,$C$3,$J30,$K30,$C$4)*R30</f>
        <v>-5.1866971776348691E-2</v>
      </c>
      <c r="V30" s="184">
        <f>_xll.dnetGBlackScholesNGreeks("vega",$Q30,$P30,$G30,$I30,$C$3,$J30,$K30,$C$4)*R30</f>
        <v>0.6359339289209629</v>
      </c>
    </row>
    <row r="31" spans="1:22">
      <c r="B31" s="185"/>
      <c r="C31" s="146" t="s">
        <v>160</v>
      </c>
      <c r="D31" s="146" t="s">
        <v>202</v>
      </c>
      <c r="E31" s="147">
        <f t="shared" ca="1" si="0"/>
        <v>43105</v>
      </c>
      <c r="F31" s="147">
        <f ca="1">E31+H31</f>
        <v>43165</v>
      </c>
      <c r="G31" s="146">
        <v>1200</v>
      </c>
      <c r="H31" s="146">
        <v>60</v>
      </c>
      <c r="I31" s="148">
        <f t="shared" si="7"/>
        <v>0.16438356164383561</v>
      </c>
      <c r="J31" s="148">
        <v>0</v>
      </c>
      <c r="K31" s="149">
        <v>0.33</v>
      </c>
      <c r="L31" s="150">
        <f>_xll.dnetGBlackScholesNGreeks("price",$Q31,$P31,$G31,$I31,$C$3,$J31,$K31,$C$4)*R31</f>
        <v>7.7743546232350927E-4</v>
      </c>
      <c r="M31" s="151">
        <v>0</v>
      </c>
      <c r="N31" s="150">
        <f>M31/10000*I31*P31</f>
        <v>0</v>
      </c>
      <c r="O31" s="150">
        <f>IF(L31&lt;=0,ABS(L31)+N31,L31-N31)</f>
        <v>7.7743546232350927E-4</v>
      </c>
      <c r="P31" s="167">
        <v>2090</v>
      </c>
      <c r="Q31" s="146" t="s">
        <v>85</v>
      </c>
      <c r="R31" s="146">
        <f>IF(S31="中金买入",1,-1)</f>
        <v>1</v>
      </c>
      <c r="S31" s="146" t="s">
        <v>151</v>
      </c>
      <c r="T31" s="152">
        <f>O31/P31</f>
        <v>3.7197869010694224E-7</v>
      </c>
      <c r="U31" s="150">
        <f>_xll.dnetGBlackScholesNGreeks("delta",$Q31,$P31,$G31,$I31,$C$3,$J31,$K31,$C$4)*R31</f>
        <v>-1.2512779019348275E-5</v>
      </c>
      <c r="V31" s="186">
        <f>_xll.dnetGBlackScholesNGreeks("vega",$Q31,$P31,$G31,$I31,$C$3,$J31,$K31,$C$4)*R31</f>
        <v>4.8729241754477334E-4</v>
      </c>
    </row>
    <row r="32" spans="1:22">
      <c r="B32" s="181"/>
      <c r="C32" s="10" t="s">
        <v>162</v>
      </c>
      <c r="D32" s="10" t="s">
        <v>202</v>
      </c>
      <c r="E32" s="8">
        <f t="shared" ca="1" si="0"/>
        <v>43105</v>
      </c>
      <c r="F32" s="8">
        <f ca="1">E32+H32</f>
        <v>43165</v>
      </c>
      <c r="G32" s="10">
        <v>1400</v>
      </c>
      <c r="H32" s="10">
        <v>60</v>
      </c>
      <c r="I32" s="12">
        <f t="shared" si="7"/>
        <v>0.16438356164383561</v>
      </c>
      <c r="J32" s="12">
        <v>0</v>
      </c>
      <c r="K32" s="9">
        <v>0.33</v>
      </c>
      <c r="L32" s="13">
        <f>_xll.dnetGBlackScholesNGreeks("price",$Q32,$P32,$G32,$I32,$C$3,$J32,$K32,$C$4)*R32</f>
        <v>8.8619088257959611E-2</v>
      </c>
      <c r="M32" s="15">
        <v>0</v>
      </c>
      <c r="N32" s="13">
        <f>M32/10000*I32*P32</f>
        <v>0</v>
      </c>
      <c r="O32" s="13">
        <f>IF(L32&lt;=0,ABS(L32)+N32,L32-N32)</f>
        <v>8.8619088257959611E-2</v>
      </c>
      <c r="P32" s="168">
        <v>2090</v>
      </c>
      <c r="Q32" s="10" t="s">
        <v>85</v>
      </c>
      <c r="R32" s="10">
        <f>IF(S32="中金买入",1,-1)</f>
        <v>1</v>
      </c>
      <c r="S32" s="10" t="s">
        <v>151</v>
      </c>
      <c r="T32" s="14">
        <f>O32/P32</f>
        <v>4.2401477635387374E-5</v>
      </c>
      <c r="U32" s="13">
        <f>_xll.dnetGBlackScholesNGreeks("delta",$Q32,$P32,$G32,$I32,$C$3,$J32,$K32,$C$4)*R32</f>
        <v>-1.0968268857824981E-3</v>
      </c>
      <c r="V32" s="182">
        <f>_xll.dnetGBlackScholesNGreeks("vega",$Q32,$P32,$G32,$I32,$C$3,$J32,$K32,$C$4)*R32</f>
        <v>3.130112642017735E-2</v>
      </c>
    </row>
    <row r="33" spans="1:22" ht="12" thickBot="1">
      <c r="B33" s="183"/>
      <c r="C33" s="157" t="s">
        <v>162</v>
      </c>
      <c r="D33" s="157" t="s">
        <v>202</v>
      </c>
      <c r="E33" s="158">
        <f t="shared" ca="1" si="0"/>
        <v>43105</v>
      </c>
      <c r="F33" s="158">
        <f ca="1">E33+H33</f>
        <v>43165</v>
      </c>
      <c r="G33" s="157">
        <v>1600</v>
      </c>
      <c r="H33" s="157">
        <v>60</v>
      </c>
      <c r="I33" s="159">
        <f t="shared" si="7"/>
        <v>0.16438356164383561</v>
      </c>
      <c r="J33" s="159">
        <v>0</v>
      </c>
      <c r="K33" s="160">
        <v>0.33</v>
      </c>
      <c r="L33" s="161">
        <f>_xll.dnetGBlackScholesNGreeks("price",$Q33,$P33,$G33,$I33,$C$3,$J33,$K33,$C$4)*R33</f>
        <v>2.0848744272943733</v>
      </c>
      <c r="M33" s="162">
        <v>0</v>
      </c>
      <c r="N33" s="161">
        <f>M33/10000*I33*P33</f>
        <v>0</v>
      </c>
      <c r="O33" s="161">
        <f>IF(L33&lt;=0,ABS(L33)+N33,L33-N33)</f>
        <v>2.0848744272943733</v>
      </c>
      <c r="P33" s="169">
        <v>2090</v>
      </c>
      <c r="Q33" s="157" t="s">
        <v>85</v>
      </c>
      <c r="R33" s="157">
        <f>IF(S33="中金买入",1,-1)</f>
        <v>1</v>
      </c>
      <c r="S33" s="157" t="s">
        <v>151</v>
      </c>
      <c r="T33" s="163">
        <f>O33/P33</f>
        <v>9.9754757286812132E-4</v>
      </c>
      <c r="U33" s="161">
        <f>_xll.dnetGBlackScholesNGreeks("delta",$Q33,$P33,$G33,$I33,$C$3,$J33,$K33,$C$4)*R33</f>
        <v>-1.9460307007079791E-2</v>
      </c>
      <c r="V33" s="184">
        <f>_xll.dnetGBlackScholesNGreeks("vega",$Q33,$P33,$G33,$I33,$C$3,$J33,$K33,$C$4)*R33</f>
        <v>0.40090573168214405</v>
      </c>
    </row>
    <row r="34" spans="1:22">
      <c r="B34" s="185"/>
      <c r="C34" s="146" t="s">
        <v>160</v>
      </c>
      <c r="D34" s="146" t="s">
        <v>202</v>
      </c>
      <c r="E34" s="147">
        <f t="shared" ca="1" si="0"/>
        <v>43105</v>
      </c>
      <c r="F34" s="147">
        <f ca="1">E34+H34</f>
        <v>43195</v>
      </c>
      <c r="G34" s="146">
        <v>1200</v>
      </c>
      <c r="H34" s="146">
        <v>90</v>
      </c>
      <c r="I34" s="148">
        <f t="shared" si="7"/>
        <v>0.24657534246575341</v>
      </c>
      <c r="J34" s="148">
        <v>0</v>
      </c>
      <c r="K34" s="149">
        <v>0.33</v>
      </c>
      <c r="L34" s="150">
        <f>_xll.dnetGBlackScholesNGreeks("price",$Q34,$P34,$G34,$I34,$C$3,$J34,$K34,$C$4)*R34</f>
        <v>2.3562231127696287E-2</v>
      </c>
      <c r="M34" s="151">
        <v>0</v>
      </c>
      <c r="N34" s="150">
        <f>M34/10000*I34*P34</f>
        <v>0</v>
      </c>
      <c r="O34" s="150">
        <f>IF(L34&lt;=0,ABS(L34)+N34,L34-N34)</f>
        <v>2.3562231127696287E-2</v>
      </c>
      <c r="P34" s="167">
        <v>2090</v>
      </c>
      <c r="Q34" s="146" t="s">
        <v>85</v>
      </c>
      <c r="R34" s="146">
        <f>IF(S34="中金买入",1,-1)</f>
        <v>1</v>
      </c>
      <c r="S34" s="146" t="s">
        <v>151</v>
      </c>
      <c r="T34" s="152">
        <f>O34/P34</f>
        <v>1.1273794797940807E-5</v>
      </c>
      <c r="U34" s="150">
        <f>_xll.dnetGBlackScholesNGreeks("delta",$Q34,$P34,$G34,$I34,$C$3,$J34,$K34,$C$4)*R34</f>
        <v>-2.6099432947623846E-4</v>
      </c>
      <c r="V34" s="186">
        <f>_xll.dnetGBlackScholesNGreeks("vega",$Q34,$P34,$G34,$I34,$C$3,$J34,$K34,$C$4)*R34</f>
        <v>1.0228592202866732E-2</v>
      </c>
    </row>
    <row r="35" spans="1:22">
      <c r="B35" s="181"/>
      <c r="C35" s="10" t="s">
        <v>162</v>
      </c>
      <c r="D35" s="10" t="s">
        <v>202</v>
      </c>
      <c r="E35" s="8">
        <f t="shared" ca="1" si="0"/>
        <v>43105</v>
      </c>
      <c r="F35" s="8">
        <f ca="1">E35+H35</f>
        <v>43195</v>
      </c>
      <c r="G35" s="10">
        <v>1400</v>
      </c>
      <c r="H35" s="10">
        <v>90</v>
      </c>
      <c r="I35" s="12">
        <f t="shared" si="7"/>
        <v>0.24657534246575341</v>
      </c>
      <c r="J35" s="12">
        <v>0</v>
      </c>
      <c r="K35" s="9">
        <v>0.33</v>
      </c>
      <c r="L35" s="13">
        <f>_xll.dnetGBlackScholesNGreeks("price",$Q35,$P35,$G35,$I35,$C$3,$J35,$K35,$C$4)*R35</f>
        <v>0.65968186491364555</v>
      </c>
      <c r="M35" s="15">
        <v>0</v>
      </c>
      <c r="N35" s="13">
        <f>M35/10000*I35*P35</f>
        <v>0</v>
      </c>
      <c r="O35" s="13">
        <f>IF(L35&lt;=0,ABS(L35)+N35,L35-N35)</f>
        <v>0.65968186491364555</v>
      </c>
      <c r="P35" s="168">
        <v>2090</v>
      </c>
      <c r="Q35" s="10" t="s">
        <v>85</v>
      </c>
      <c r="R35" s="10">
        <f>IF(S35="中金买入",1,-1)</f>
        <v>1</v>
      </c>
      <c r="S35" s="10" t="s">
        <v>151</v>
      </c>
      <c r="T35" s="14">
        <f>O35/P35</f>
        <v>3.1563725593954334E-4</v>
      </c>
      <c r="U35" s="13">
        <f>_xll.dnetGBlackScholesNGreeks("delta",$Q35,$P35,$G35,$I35,$C$3,$J35,$K35,$C$4)*R35</f>
        <v>-5.7209386223888714E-3</v>
      </c>
      <c r="V35" s="182">
        <f>_xll.dnetGBlackScholesNGreeks("vega",$Q35,$P35,$G35,$I35,$C$3,$J35,$K35,$C$4)*R35</f>
        <v>0.1695237669336116</v>
      </c>
    </row>
    <row r="36" spans="1:22" ht="12" thickBot="1">
      <c r="B36" s="183"/>
      <c r="C36" s="157" t="s">
        <v>162</v>
      </c>
      <c r="D36" s="157" t="s">
        <v>202</v>
      </c>
      <c r="E36" s="158">
        <f t="shared" ca="1" si="0"/>
        <v>43105</v>
      </c>
      <c r="F36" s="158">
        <f ca="1">E36+H36</f>
        <v>43195</v>
      </c>
      <c r="G36" s="157">
        <v>1600</v>
      </c>
      <c r="H36" s="157">
        <v>90</v>
      </c>
      <c r="I36" s="159">
        <f t="shared" si="7"/>
        <v>0.24657534246575341</v>
      </c>
      <c r="J36" s="159">
        <v>0</v>
      </c>
      <c r="K36" s="160">
        <v>0.33</v>
      </c>
      <c r="L36" s="161">
        <f>_xll.dnetGBlackScholesNGreeks("price",$Q36,$P36,$G36,$I36,$C$3,$J36,$K36,$C$4)*R36</f>
        <v>6.4332026327752061</v>
      </c>
      <c r="M36" s="162">
        <v>0</v>
      </c>
      <c r="N36" s="161">
        <f>M36/10000*I36*P36</f>
        <v>0</v>
      </c>
      <c r="O36" s="161">
        <f>IF(L36&lt;=0,ABS(L36)+N36,L36-N36)</f>
        <v>6.4332026327752061</v>
      </c>
      <c r="P36" s="169">
        <v>2090</v>
      </c>
      <c r="Q36" s="157" t="s">
        <v>85</v>
      </c>
      <c r="R36" s="157">
        <f>IF(S36="中金买入",1,-1)</f>
        <v>1</v>
      </c>
      <c r="S36" s="157" t="s">
        <v>151</v>
      </c>
      <c r="T36" s="163">
        <f>O36/P36</f>
        <v>3.0780873841029692E-3</v>
      </c>
      <c r="U36" s="161">
        <f>_xll.dnetGBlackScholesNGreeks("delta",$Q36,$P36,$G36,$I36,$C$3,$J36,$K36,$C$4)*R36</f>
        <v>-4.3207783551935108E-2</v>
      </c>
      <c r="V36" s="184">
        <f>_xll.dnetGBlackScholesNGreeks("vega",$Q36,$P36,$G36,$I36,$C$3,$J36,$K36,$C$4)*R36</f>
        <v>0.95096070966224033</v>
      </c>
    </row>
    <row r="37" spans="1:22">
      <c r="B37" s="185"/>
      <c r="C37" s="146" t="s">
        <v>160</v>
      </c>
      <c r="D37" s="146" t="s">
        <v>202</v>
      </c>
      <c r="E37" s="147">
        <f t="shared" ca="1" si="0"/>
        <v>43105</v>
      </c>
      <c r="F37" s="147">
        <f ca="1">E37+H37</f>
        <v>43135</v>
      </c>
      <c r="G37" s="146">
        <v>2200</v>
      </c>
      <c r="H37" s="146">
        <v>30</v>
      </c>
      <c r="I37" s="148">
        <f t="shared" si="7"/>
        <v>8.2191780821917804E-2</v>
      </c>
      <c r="J37" s="148">
        <v>0</v>
      </c>
      <c r="K37" s="149">
        <v>0.33</v>
      </c>
      <c r="L37" s="150">
        <f>_xll.dnetGBlackScholesNGreeks("price",$Q37,$P37,$G37,$I37,$C$3,$J37,$K37,$C$4)*R37</f>
        <v>37.466695036967621</v>
      </c>
      <c r="M37" s="151">
        <v>0</v>
      </c>
      <c r="N37" s="150">
        <f>M37/10000*I37*P37</f>
        <v>0</v>
      </c>
      <c r="O37" s="150">
        <f>IF(L37&lt;=0,ABS(L37)+N37,L37-N37)</f>
        <v>37.466695036967621</v>
      </c>
      <c r="P37" s="167">
        <v>2090</v>
      </c>
      <c r="Q37" s="146" t="s">
        <v>27</v>
      </c>
      <c r="R37" s="146">
        <f>IF(S37="中金买入",1,-1)</f>
        <v>1</v>
      </c>
      <c r="S37" s="146" t="s">
        <v>151</v>
      </c>
      <c r="T37" s="152">
        <f>O37/P37</f>
        <v>1.7926648343046709E-2</v>
      </c>
      <c r="U37" s="150">
        <f>_xll.dnetGBlackScholesNGreeks("delta",$Q37,$P37,$G37,$I37,$C$3,$J37,$K37,$C$4)*R37</f>
        <v>0.30983895635472436</v>
      </c>
      <c r="V37" s="186">
        <f>_xll.dnetGBlackScholesNGreeks("vega",$Q37,$P37,$G37,$I37,$C$3,$J37,$K37,$C$4)*R37</f>
        <v>2.1111865585412488</v>
      </c>
    </row>
    <row r="38" spans="1:22">
      <c r="B38" s="181"/>
      <c r="C38" s="10" t="s">
        <v>162</v>
      </c>
      <c r="D38" s="10" t="s">
        <v>202</v>
      </c>
      <c r="E38" s="8">
        <f t="shared" ca="1" si="0"/>
        <v>43105</v>
      </c>
      <c r="F38" s="8">
        <f ca="1">E38+H38</f>
        <v>43135</v>
      </c>
      <c r="G38" s="10">
        <v>2300</v>
      </c>
      <c r="H38" s="10">
        <v>30</v>
      </c>
      <c r="I38" s="12">
        <f t="shared" si="7"/>
        <v>8.2191780821917804E-2</v>
      </c>
      <c r="J38" s="12">
        <v>0</v>
      </c>
      <c r="K38" s="9">
        <v>0.33</v>
      </c>
      <c r="L38" s="13">
        <f>_xll.dnetGBlackScholesNGreeks("price",$Q38,$P38,$G38,$I38,$C$3,$J38,$K38,$C$4)*R38</f>
        <v>16.850221276919967</v>
      </c>
      <c r="M38" s="15">
        <v>0</v>
      </c>
      <c r="N38" s="13">
        <f>M38/10000*I38*P38</f>
        <v>0</v>
      </c>
      <c r="O38" s="13">
        <f>IF(L38&lt;=0,ABS(L38)+N38,L38-N38)</f>
        <v>16.850221276919967</v>
      </c>
      <c r="P38" s="168">
        <v>2090</v>
      </c>
      <c r="Q38" s="10" t="s">
        <v>27</v>
      </c>
      <c r="R38" s="10">
        <f>IF(S38="中金买入",1,-1)</f>
        <v>1</v>
      </c>
      <c r="S38" s="10" t="s">
        <v>151</v>
      </c>
      <c r="T38" s="14">
        <f>O38/P38</f>
        <v>8.0623068310621861E-3</v>
      </c>
      <c r="U38" s="13">
        <f>_xll.dnetGBlackScholesNGreeks("delta",$Q38,$P38,$G38,$I38,$C$3,$J38,$K38,$C$4)*R38</f>
        <v>0.16706919390401254</v>
      </c>
      <c r="V38" s="182">
        <f>_xll.dnetGBlackScholesNGreeks("vega",$Q38,$P38,$G38,$I38,$C$3,$J38,$K38,$C$4)*R38</f>
        <v>1.498057852207836</v>
      </c>
    </row>
    <row r="39" spans="1:22" ht="12" thickBot="1">
      <c r="B39" s="183"/>
      <c r="C39" s="157" t="s">
        <v>162</v>
      </c>
      <c r="D39" s="157" t="s">
        <v>202</v>
      </c>
      <c r="E39" s="158">
        <f t="shared" ca="1" si="0"/>
        <v>43105</v>
      </c>
      <c r="F39" s="158">
        <f ca="1">E39+H39</f>
        <v>43135</v>
      </c>
      <c r="G39" s="157">
        <v>2400</v>
      </c>
      <c r="H39" s="157">
        <v>30</v>
      </c>
      <c r="I39" s="159">
        <f t="shared" si="7"/>
        <v>8.2191780821917804E-2</v>
      </c>
      <c r="J39" s="159">
        <v>0</v>
      </c>
      <c r="K39" s="160">
        <v>0.33</v>
      </c>
      <c r="L39" s="161">
        <f>_xll.dnetGBlackScholesNGreeks("price",$Q39,$P39,$G39,$I39,$C$3,$J39,$K39,$C$4)*R39</f>
        <v>6.7533142833553086</v>
      </c>
      <c r="M39" s="162">
        <v>0</v>
      </c>
      <c r="N39" s="161">
        <f>M39/10000*I39*P39</f>
        <v>0</v>
      </c>
      <c r="O39" s="161">
        <f>IF(L39&lt;=0,ABS(L39)+N39,L39-N39)</f>
        <v>6.7533142833553086</v>
      </c>
      <c r="P39" s="169">
        <v>2090</v>
      </c>
      <c r="Q39" s="157" t="s">
        <v>27</v>
      </c>
      <c r="R39" s="157">
        <f>IF(S39="中金买入",1,-1)</f>
        <v>1</v>
      </c>
      <c r="S39" s="157" t="s">
        <v>151</v>
      </c>
      <c r="T39" s="163">
        <f>O39/P39</f>
        <v>3.2312508532800518E-3</v>
      </c>
      <c r="U39" s="161">
        <f>_xll.dnetGBlackScholesNGreeks("delta",$Q39,$P39,$G39,$I39,$C$3,$J39,$K39,$C$4)*R39</f>
        <v>7.8468819852162142E-2</v>
      </c>
      <c r="V39" s="184">
        <f>_xll.dnetGBlackScholesNGreeks("vega",$Q39,$P39,$G39,$I39,$C$3,$J39,$K39,$C$4)*R39</f>
        <v>0.87724837664175936</v>
      </c>
    </row>
    <row r="40" spans="1:22">
      <c r="B40" s="185"/>
      <c r="C40" s="146" t="s">
        <v>160</v>
      </c>
      <c r="D40" s="146" t="s">
        <v>202</v>
      </c>
      <c r="E40" s="147">
        <f t="shared" ca="1" si="0"/>
        <v>43105</v>
      </c>
      <c r="F40" s="147">
        <f ca="1">E40+H40</f>
        <v>43165</v>
      </c>
      <c r="G40" s="146">
        <v>2200</v>
      </c>
      <c r="H40" s="146">
        <v>60</v>
      </c>
      <c r="I40" s="148">
        <f t="shared" si="7"/>
        <v>0.16438356164383561</v>
      </c>
      <c r="J40" s="148">
        <v>0</v>
      </c>
      <c r="K40" s="149">
        <v>0.33</v>
      </c>
      <c r="L40" s="150">
        <f>_xll.dnetGBlackScholesNGreeks("price",$Q40,$P40,$G40,$I40,$C$3,$J40,$K40,$C$4)*R40</f>
        <v>67.477129273688888</v>
      </c>
      <c r="M40" s="151">
        <v>0</v>
      </c>
      <c r="N40" s="150">
        <f>M40/10000*I40*P40</f>
        <v>0</v>
      </c>
      <c r="O40" s="150">
        <f>IF(L40&lt;=0,ABS(L40)+N40,L40-N40)</f>
        <v>67.477129273688888</v>
      </c>
      <c r="P40" s="167">
        <v>2090</v>
      </c>
      <c r="Q40" s="146" t="s">
        <v>27</v>
      </c>
      <c r="R40" s="146">
        <f>IF(S40="中金买入",1,-1)</f>
        <v>1</v>
      </c>
      <c r="S40" s="146" t="s">
        <v>151</v>
      </c>
      <c r="T40" s="152">
        <f>O40/P40</f>
        <v>3.2285707786454017E-2</v>
      </c>
      <c r="U40" s="150">
        <f>_xll.dnetGBlackScholesNGreeks("delta",$Q40,$P40,$G40,$I40,$C$3,$J40,$K40,$C$4)*R40</f>
        <v>0.37458880862004662</v>
      </c>
      <c r="V40" s="186">
        <f>_xll.dnetGBlackScholesNGreeks("vega",$Q40,$P40,$G40,$I40,$C$3,$J40,$K40,$C$4)*R40</f>
        <v>3.2046547760855333</v>
      </c>
    </row>
    <row r="41" spans="1:22">
      <c r="B41" s="181"/>
      <c r="C41" s="10" t="s">
        <v>162</v>
      </c>
      <c r="D41" s="10" t="s">
        <v>202</v>
      </c>
      <c r="E41" s="8">
        <f t="shared" ca="1" si="0"/>
        <v>43105</v>
      </c>
      <c r="F41" s="8">
        <f ca="1">E41+H41</f>
        <v>43165</v>
      </c>
      <c r="G41" s="10">
        <v>2300</v>
      </c>
      <c r="H41" s="10">
        <v>60</v>
      </c>
      <c r="I41" s="12">
        <f t="shared" si="7"/>
        <v>0.16438356164383561</v>
      </c>
      <c r="J41" s="12">
        <v>0</v>
      </c>
      <c r="K41" s="9">
        <v>0.33</v>
      </c>
      <c r="L41" s="13">
        <f>_xll.dnetGBlackScholesNGreeks("price",$Q41,$P41,$G41,$I41,$C$3,$J41,$K41,$C$4)*R41</f>
        <v>40.63085251883291</v>
      </c>
      <c r="M41" s="15">
        <v>0</v>
      </c>
      <c r="N41" s="13">
        <f>M41/10000*I41*P41</f>
        <v>0</v>
      </c>
      <c r="O41" s="13">
        <f>IF(L41&lt;=0,ABS(L41)+N41,L41-N41)</f>
        <v>40.63085251883291</v>
      </c>
      <c r="P41" s="168">
        <v>2090</v>
      </c>
      <c r="Q41" s="10" t="s">
        <v>27</v>
      </c>
      <c r="R41" s="10">
        <f>IF(S41="中金买入",1,-1)</f>
        <v>1</v>
      </c>
      <c r="S41" s="10" t="s">
        <v>151</v>
      </c>
      <c r="T41" s="14">
        <f>O41/P41</f>
        <v>1.9440599291307613E-2</v>
      </c>
      <c r="U41" s="13">
        <f>_xll.dnetGBlackScholesNGreeks("delta",$Q41,$P41,$G41,$I41,$C$3,$J41,$K41,$C$4)*R41</f>
        <v>0.25741627007391799</v>
      </c>
      <c r="V41" s="182">
        <f>_xll.dnetGBlackScholesNGreeks("vega",$Q41,$P41,$G41,$I41,$C$3,$J41,$K41,$C$4)*R41</f>
        <v>2.7295583992181491</v>
      </c>
    </row>
    <row r="42" spans="1:22" ht="12" thickBot="1">
      <c r="B42" s="183"/>
      <c r="C42" s="157" t="s">
        <v>162</v>
      </c>
      <c r="D42" s="157" t="s">
        <v>202</v>
      </c>
      <c r="E42" s="158">
        <f t="shared" ca="1" si="0"/>
        <v>43105</v>
      </c>
      <c r="F42" s="158">
        <f ca="1">E42+H42</f>
        <v>43165</v>
      </c>
      <c r="G42" s="157">
        <v>2400</v>
      </c>
      <c r="H42" s="157">
        <v>60</v>
      </c>
      <c r="I42" s="159">
        <f t="shared" ref="I42:I63" si="8">H42/365</f>
        <v>0.16438356164383561</v>
      </c>
      <c r="J42" s="159">
        <v>0</v>
      </c>
      <c r="K42" s="160">
        <v>0.33</v>
      </c>
      <c r="L42" s="161">
        <f>_xll.dnetGBlackScholesNGreeks("price",$Q42,$P42,$G42,$I42,$C$3,$J42,$K42,$C$4)*R42</f>
        <v>23.294263479066274</v>
      </c>
      <c r="M42" s="162">
        <v>0</v>
      </c>
      <c r="N42" s="161">
        <f>M42/10000*I42*P42</f>
        <v>0</v>
      </c>
      <c r="O42" s="161">
        <f>IF(L42&lt;=0,ABS(L42)+N42,L42-N42)</f>
        <v>23.294263479066274</v>
      </c>
      <c r="P42" s="169">
        <v>2090</v>
      </c>
      <c r="Q42" s="157" t="s">
        <v>27</v>
      </c>
      <c r="R42" s="157">
        <f>IF(S42="中金买入",1,-1)</f>
        <v>1</v>
      </c>
      <c r="S42" s="157" t="s">
        <v>151</v>
      </c>
      <c r="T42" s="163">
        <f>O42/P42</f>
        <v>1.1145580611993432E-2</v>
      </c>
      <c r="U42" s="161">
        <f>_xll.dnetGBlackScholesNGreeks("delta",$Q42,$P42,$G42,$I42,$C$3,$J42,$K42,$C$4)*R42</f>
        <v>0.1662744331781596</v>
      </c>
      <c r="V42" s="184">
        <f>_xll.dnetGBlackScholesNGreeks("vega",$Q42,$P42,$G42,$I42,$C$3,$J42,$K42,$C$4)*R42</f>
        <v>2.1108216848042218</v>
      </c>
    </row>
    <row r="43" spans="1:22">
      <c r="B43" s="181"/>
      <c r="C43" s="10" t="s">
        <v>160</v>
      </c>
      <c r="D43" s="10" t="s">
        <v>202</v>
      </c>
      <c r="E43" s="8">
        <f t="shared" ca="1" si="0"/>
        <v>43105</v>
      </c>
      <c r="F43" s="8">
        <f ca="1">E43+H43</f>
        <v>43195</v>
      </c>
      <c r="G43" s="10">
        <v>2200</v>
      </c>
      <c r="H43" s="146">
        <v>90</v>
      </c>
      <c r="I43" s="12">
        <f t="shared" si="8"/>
        <v>0.24657534246575341</v>
      </c>
      <c r="J43" s="12">
        <v>0</v>
      </c>
      <c r="K43" s="9">
        <v>0.33</v>
      </c>
      <c r="L43" s="13">
        <f>_xll.dnetGBlackScholesNGreeks("price",$Q43,$P43,$G43,$I43,$C$3,$J43,$K43,$C$4)*R43</f>
        <v>91.40609619212978</v>
      </c>
      <c r="M43" s="15">
        <v>0</v>
      </c>
      <c r="N43" s="13">
        <f>M43/10000*I43*P43</f>
        <v>0</v>
      </c>
      <c r="O43" s="13">
        <f>IF(L43&lt;=0,ABS(L43)+N43,L43-N43)</f>
        <v>91.40609619212978</v>
      </c>
      <c r="P43" s="168">
        <v>2090</v>
      </c>
      <c r="Q43" s="10" t="s">
        <v>27</v>
      </c>
      <c r="R43" s="10">
        <f>IF(S43="中金买入",1,-1)</f>
        <v>1</v>
      </c>
      <c r="S43" s="10" t="s">
        <v>151</v>
      </c>
      <c r="T43" s="14">
        <f>O43/P43</f>
        <v>4.3734974254607553E-2</v>
      </c>
      <c r="U43" s="13">
        <f>_xll.dnetGBlackScholesNGreeks("delta",$Q43,$P43,$G43,$I43,$C$3,$J43,$K43,$C$4)*R43</f>
        <v>0.406613502525488</v>
      </c>
      <c r="V43" s="182">
        <f>_xll.dnetGBlackScholesNGreeks("vega",$Q43,$P43,$G43,$I43,$C$3,$J43,$K43,$C$4)*R43</f>
        <v>4.0111979539017284</v>
      </c>
    </row>
    <row r="44" spans="1:22">
      <c r="B44" s="181"/>
      <c r="C44" s="10" t="s">
        <v>162</v>
      </c>
      <c r="D44" s="10" t="s">
        <v>202</v>
      </c>
      <c r="E44" s="8">
        <f t="shared" ca="1" si="0"/>
        <v>43105</v>
      </c>
      <c r="F44" s="8">
        <f ca="1">E44+H44</f>
        <v>43195</v>
      </c>
      <c r="G44" s="10">
        <v>2300</v>
      </c>
      <c r="H44" s="10">
        <v>90</v>
      </c>
      <c r="I44" s="12">
        <f t="shared" si="8"/>
        <v>0.24657534246575341</v>
      </c>
      <c r="J44" s="12">
        <v>0</v>
      </c>
      <c r="K44" s="9">
        <v>0.33</v>
      </c>
      <c r="L44" s="13">
        <f>_xll.dnetGBlackScholesNGreeks("price",$Q44,$P44,$G44,$I44,$C$3,$J44,$K44,$C$4)*R44</f>
        <v>61.746021548842236</v>
      </c>
      <c r="M44" s="15">
        <v>0</v>
      </c>
      <c r="N44" s="13">
        <f>M44/10000*I44*P44</f>
        <v>0</v>
      </c>
      <c r="O44" s="13">
        <f>IF(L44&lt;=0,ABS(L44)+N44,L44-N44)</f>
        <v>61.746021548842236</v>
      </c>
      <c r="P44" s="168">
        <v>2090</v>
      </c>
      <c r="Q44" s="10" t="s">
        <v>27</v>
      </c>
      <c r="R44" s="10">
        <f>IF(S44="中金买入",1,-1)</f>
        <v>1</v>
      </c>
      <c r="S44" s="10" t="s">
        <v>151</v>
      </c>
      <c r="T44" s="14">
        <f>O44/P44</f>
        <v>2.9543550980307288E-2</v>
      </c>
      <c r="U44" s="13">
        <f>_xll.dnetGBlackScholesNGreeks("delta",$Q44,$P44,$G44,$I44,$C$3,$J44,$K44,$C$4)*R44</f>
        <v>0.30619487682770341</v>
      </c>
      <c r="V44" s="182">
        <f>_xll.dnetGBlackScholesNGreeks("vega",$Q44,$P44,$G44,$I44,$C$3,$J44,$K44,$C$4)*R44</f>
        <v>3.6310208679921061</v>
      </c>
    </row>
    <row r="45" spans="1:22" ht="12" thickBot="1">
      <c r="B45" s="214"/>
      <c r="C45" s="138" t="s">
        <v>162</v>
      </c>
      <c r="D45" s="138" t="s">
        <v>202</v>
      </c>
      <c r="E45" s="139">
        <f t="shared" ca="1" si="0"/>
        <v>43105</v>
      </c>
      <c r="F45" s="139">
        <f ca="1">E45+H45</f>
        <v>43195</v>
      </c>
      <c r="G45" s="138">
        <v>2400</v>
      </c>
      <c r="H45" s="138">
        <v>90</v>
      </c>
      <c r="I45" s="140">
        <f t="shared" si="8"/>
        <v>0.24657534246575341</v>
      </c>
      <c r="J45" s="140">
        <v>0</v>
      </c>
      <c r="K45" s="141">
        <v>0.33</v>
      </c>
      <c r="L45" s="137">
        <f>_xll.dnetGBlackScholesNGreeks("price",$Q45,$P45,$G45,$I45,$C$3,$J45,$K45,$C$4)*R45</f>
        <v>40.513649536068158</v>
      </c>
      <c r="M45" s="142">
        <v>0</v>
      </c>
      <c r="N45" s="137">
        <f>M45/10000*I45*P45</f>
        <v>0</v>
      </c>
      <c r="O45" s="137">
        <f>IF(L45&lt;=0,ABS(L45)+N45,L45-N45)</f>
        <v>40.513649536068158</v>
      </c>
      <c r="P45" s="170">
        <v>2090</v>
      </c>
      <c r="Q45" s="138" t="s">
        <v>27</v>
      </c>
      <c r="R45" s="138">
        <f>IF(S45="中金买入",1,-1)</f>
        <v>1</v>
      </c>
      <c r="S45" s="138" t="s">
        <v>151</v>
      </c>
      <c r="T45" s="144">
        <f>O45/P45</f>
        <v>1.938452130912352E-2</v>
      </c>
      <c r="U45" s="137">
        <f>_xll.dnetGBlackScholesNGreeks("delta",$Q45,$P45,$G45,$I45,$C$3,$J45,$K45,$C$4)*R45</f>
        <v>0.22190968084032647</v>
      </c>
      <c r="V45" s="187">
        <f>_xll.dnetGBlackScholesNGreeks("vega",$Q45,$P45,$G45,$I45,$C$3,$J45,$K45,$C$4)*R45</f>
        <v>3.080838673735343</v>
      </c>
    </row>
    <row r="46" spans="1:22">
      <c r="A46" s="53"/>
      <c r="B46" s="215"/>
      <c r="C46" s="188" t="s">
        <v>160</v>
      </c>
      <c r="D46" s="189" t="s">
        <v>205</v>
      </c>
      <c r="E46" s="190">
        <f t="shared" ca="1" si="0"/>
        <v>43105</v>
      </c>
      <c r="F46" s="190">
        <f ca="1">E46+H46</f>
        <v>43135</v>
      </c>
      <c r="G46" s="189">
        <v>1100</v>
      </c>
      <c r="H46" s="189">
        <v>30</v>
      </c>
      <c r="I46" s="191">
        <f t="shared" si="8"/>
        <v>8.2191780821917804E-2</v>
      </c>
      <c r="J46" s="191">
        <v>0</v>
      </c>
      <c r="K46" s="192">
        <v>0.33</v>
      </c>
      <c r="L46" s="193">
        <f>_xll.dnetGBlackScholesNGreeks("price",$Q46,$P46,$G46,$I46,$C$3,$J46,$K46,$C$4)*R46</f>
        <v>0.4275305811117569</v>
      </c>
      <c r="M46" s="194">
        <v>0</v>
      </c>
      <c r="N46" s="193">
        <f>M46/10000*I46*P46</f>
        <v>0</v>
      </c>
      <c r="O46" s="193">
        <f>IF(L46&lt;=0,ABS(L46)+N46,L46-N46)</f>
        <v>0.4275305811117569</v>
      </c>
      <c r="P46" s="195">
        <v>1367</v>
      </c>
      <c r="Q46" s="189" t="s">
        <v>85</v>
      </c>
      <c r="R46" s="189">
        <f>IF(S46="中金买入",1,-1)</f>
        <v>1</v>
      </c>
      <c r="S46" s="189" t="s">
        <v>151</v>
      </c>
      <c r="T46" s="196">
        <f>O46/P46</f>
        <v>3.1275097374671318E-4</v>
      </c>
      <c r="U46" s="193">
        <f>_xll.dnetGBlackScholesNGreeks("delta",$Q46,$P46,$G46,$I46,$C$3,$J46,$K46,$C$4)*R46</f>
        <v>-9.517366301192709E-3</v>
      </c>
      <c r="V46" s="197">
        <f>_xll.dnetGBlackScholesNGreeks("vega",$Q46,$P46,$G46,$I46,$C$3,$J46,$K46,$C$4)*R46</f>
        <v>0.10019659625392485</v>
      </c>
    </row>
    <row r="47" spans="1:22">
      <c r="A47" s="53"/>
      <c r="B47" s="216"/>
      <c r="C47" s="198" t="s">
        <v>162</v>
      </c>
      <c r="D47" s="10" t="s">
        <v>204</v>
      </c>
      <c r="E47" s="8">
        <f t="shared" ca="1" si="0"/>
        <v>43105</v>
      </c>
      <c r="F47" s="8">
        <f ca="1">E47+H47</f>
        <v>43135</v>
      </c>
      <c r="G47" s="10">
        <v>1200</v>
      </c>
      <c r="H47" s="10">
        <v>30</v>
      </c>
      <c r="I47" s="12">
        <f t="shared" si="8"/>
        <v>8.2191780821917804E-2</v>
      </c>
      <c r="J47" s="12">
        <v>0</v>
      </c>
      <c r="K47" s="9">
        <v>0.33</v>
      </c>
      <c r="L47" s="13">
        <f>_xll.dnetGBlackScholesNGreeks("price",$Q47,$P47,$G47,$I47,$C$3,$J47,$K47,$C$4)*R47</f>
        <v>4.6593906927974302</v>
      </c>
      <c r="M47" s="15">
        <v>0</v>
      </c>
      <c r="N47" s="13">
        <f>M47/10000*I47*P47</f>
        <v>0</v>
      </c>
      <c r="O47" s="13">
        <f>IF(L47&lt;=0,ABS(L47)+N47,L47-N47)</f>
        <v>4.6593906927974302</v>
      </c>
      <c r="P47" s="168">
        <v>1367</v>
      </c>
      <c r="Q47" s="10" t="s">
        <v>85</v>
      </c>
      <c r="R47" s="10">
        <f>IF(S47="中金买入",1,-1)</f>
        <v>1</v>
      </c>
      <c r="S47" s="10" t="s">
        <v>151</v>
      </c>
      <c r="T47" s="14">
        <f>O47/P47</f>
        <v>3.408478926698925E-3</v>
      </c>
      <c r="U47" s="13">
        <f>_xll.dnetGBlackScholesNGreeks("delta",$Q47,$P47,$G47,$I47,$C$3,$J47,$K47,$C$4)*R47</f>
        <v>-7.7019346691287183E-2</v>
      </c>
      <c r="V47" s="199">
        <f>_xll.dnetGBlackScholesNGreeks("vega",$Q47,$P47,$G47,$I47,$C$3,$J47,$K47,$C$4)*R47</f>
        <v>0.56569621000385695</v>
      </c>
    </row>
    <row r="48" spans="1:22" ht="12" thickBot="1">
      <c r="A48" s="53"/>
      <c r="B48" s="217"/>
      <c r="C48" s="200" t="s">
        <v>162</v>
      </c>
      <c r="D48" s="157" t="s">
        <v>204</v>
      </c>
      <c r="E48" s="158">
        <f t="shared" ca="1" si="0"/>
        <v>43105</v>
      </c>
      <c r="F48" s="158">
        <f ca="1">E48+H48</f>
        <v>43135</v>
      </c>
      <c r="G48" s="157">
        <v>1300</v>
      </c>
      <c r="H48" s="157">
        <v>30</v>
      </c>
      <c r="I48" s="159">
        <f t="shared" si="8"/>
        <v>8.2191780821917804E-2</v>
      </c>
      <c r="J48" s="159">
        <v>0</v>
      </c>
      <c r="K48" s="160">
        <v>0.33</v>
      </c>
      <c r="L48" s="161">
        <f>_xll.dnetGBlackScholesNGreeks("price",$Q48,$P48,$G48,$I48,$C$3,$J48,$K48,$C$4)*R48</f>
        <v>23.701341854611883</v>
      </c>
      <c r="M48" s="162">
        <v>0</v>
      </c>
      <c r="N48" s="161">
        <f>M48/10000*I48*P48</f>
        <v>0</v>
      </c>
      <c r="O48" s="161">
        <f>IF(L48&lt;=0,ABS(L48)+N48,L48-N48)</f>
        <v>23.701341854611883</v>
      </c>
      <c r="P48" s="169">
        <v>1367</v>
      </c>
      <c r="Q48" s="157" t="s">
        <v>85</v>
      </c>
      <c r="R48" s="157">
        <f>IF(S48="中金买入",1,-1)</f>
        <v>1</v>
      </c>
      <c r="S48" s="157" t="s">
        <v>151</v>
      </c>
      <c r="T48" s="163">
        <f>O48/P48</f>
        <v>1.7338216426197428E-2</v>
      </c>
      <c r="U48" s="161">
        <f>_xll.dnetGBlackScholesNGreeks("delta",$Q48,$P48,$G48,$I48,$C$3,$J48,$K48,$C$4)*R48</f>
        <v>-0.28100501205585715</v>
      </c>
      <c r="V48" s="201">
        <f>_xll.dnetGBlackScholesNGreeks("vega",$Q48,$P48,$G48,$I48,$C$3,$J48,$K48,$C$4)*R48</f>
        <v>1.3202605115776862</v>
      </c>
    </row>
    <row r="49" spans="1:22">
      <c r="A49" s="53"/>
      <c r="B49" s="218"/>
      <c r="C49" s="202" t="s">
        <v>160</v>
      </c>
      <c r="D49" s="146" t="s">
        <v>204</v>
      </c>
      <c r="E49" s="147">
        <f t="shared" ca="1" si="0"/>
        <v>43105</v>
      </c>
      <c r="F49" s="147">
        <f ca="1">E49+H49</f>
        <v>43165</v>
      </c>
      <c r="G49" s="146">
        <v>1100</v>
      </c>
      <c r="H49" s="146">
        <v>60</v>
      </c>
      <c r="I49" s="148">
        <f t="shared" si="8"/>
        <v>0.16438356164383561</v>
      </c>
      <c r="J49" s="148">
        <v>0</v>
      </c>
      <c r="K49" s="149">
        <v>0.33</v>
      </c>
      <c r="L49" s="150">
        <f>_xll.dnetGBlackScholesNGreeks("price",$Q49,$P49,$G49,$I49,$C$3,$J49,$K49,$C$4)*R49</f>
        <v>3.5833776535744093</v>
      </c>
      <c r="M49" s="151">
        <v>0</v>
      </c>
      <c r="N49" s="150">
        <f>M49/10000*I49*P49</f>
        <v>0</v>
      </c>
      <c r="O49" s="150">
        <f>IF(L49&lt;=0,ABS(L49)+N49,L49-N49)</f>
        <v>3.5833776535744093</v>
      </c>
      <c r="P49" s="167">
        <v>1367</v>
      </c>
      <c r="Q49" s="146" t="s">
        <v>85</v>
      </c>
      <c r="R49" s="146">
        <f>IF(S49="中金买入",1,-1)</f>
        <v>1</v>
      </c>
      <c r="S49" s="146" t="s">
        <v>151</v>
      </c>
      <c r="T49" s="152">
        <f>O49/P49</f>
        <v>2.6213442966893995E-3</v>
      </c>
      <c r="U49" s="150">
        <f>_xll.dnetGBlackScholesNGreeks("delta",$Q49,$P49,$G49,$I49,$C$3,$J49,$K49,$C$4)*R49</f>
        <v>-4.5262194328543615E-2</v>
      </c>
      <c r="V49" s="203">
        <f>_xll.dnetGBlackScholesNGreeks("vega",$Q49,$P49,$G49,$I49,$C$3,$J49,$K49,$C$4)*R49</f>
        <v>0.52738942370408992</v>
      </c>
    </row>
    <row r="50" spans="1:22">
      <c r="A50" s="53"/>
      <c r="B50" s="216"/>
      <c r="C50" s="198" t="s">
        <v>162</v>
      </c>
      <c r="D50" s="10" t="s">
        <v>204</v>
      </c>
      <c r="E50" s="8">
        <f t="shared" ca="1" si="0"/>
        <v>43105</v>
      </c>
      <c r="F50" s="8">
        <f ca="1">E50+H50</f>
        <v>43165</v>
      </c>
      <c r="G50" s="10">
        <v>1200</v>
      </c>
      <c r="H50" s="10">
        <v>60</v>
      </c>
      <c r="I50" s="12">
        <f t="shared" si="8"/>
        <v>0.16438356164383561</v>
      </c>
      <c r="J50" s="12">
        <v>0</v>
      </c>
      <c r="K50" s="9">
        <v>0.33</v>
      </c>
      <c r="L50" s="13">
        <f>_xll.dnetGBlackScholesNGreeks("price",$Q50,$P50,$G50,$I50,$C$3,$J50,$K50,$C$4)*R50</f>
        <v>14.93224864843333</v>
      </c>
      <c r="M50" s="15">
        <v>0</v>
      </c>
      <c r="N50" s="13">
        <f>M50/10000*I50*P50</f>
        <v>0</v>
      </c>
      <c r="O50" s="13">
        <f>IF(L50&lt;=0,ABS(L50)+N50,L50-N50)</f>
        <v>14.93224864843333</v>
      </c>
      <c r="P50" s="168">
        <v>1367</v>
      </c>
      <c r="Q50" s="10" t="s">
        <v>85</v>
      </c>
      <c r="R50" s="10">
        <f>IF(S50="中金买入",1,-1)</f>
        <v>1</v>
      </c>
      <c r="S50" s="10" t="s">
        <v>151</v>
      </c>
      <c r="T50" s="14">
        <f>O50/P50</f>
        <v>1.0923371359497681E-2</v>
      </c>
      <c r="U50" s="13">
        <f>_xll.dnetGBlackScholesNGreeks("delta",$Q50,$P50,$G50,$I50,$C$3,$J50,$K50,$C$4)*R50</f>
        <v>-0.14850761899367626</v>
      </c>
      <c r="V50" s="199">
        <f>_xll.dnetGBlackScholesNGreeks("vega",$Q50,$P50,$G50,$I50,$C$3,$J50,$K50,$C$4)*R50</f>
        <v>1.2818762661421346</v>
      </c>
    </row>
    <row r="51" spans="1:22" ht="12" thickBot="1">
      <c r="A51" s="53"/>
      <c r="B51" s="217"/>
      <c r="C51" s="200" t="s">
        <v>162</v>
      </c>
      <c r="D51" s="157" t="s">
        <v>204</v>
      </c>
      <c r="E51" s="158">
        <f t="shared" ca="1" si="0"/>
        <v>43105</v>
      </c>
      <c r="F51" s="158">
        <f ca="1">E51+H51</f>
        <v>43165</v>
      </c>
      <c r="G51" s="157">
        <v>1300</v>
      </c>
      <c r="H51" s="157">
        <v>60</v>
      </c>
      <c r="I51" s="159">
        <f t="shared" si="8"/>
        <v>0.16438356164383561</v>
      </c>
      <c r="J51" s="159">
        <v>0</v>
      </c>
      <c r="K51" s="160">
        <v>0.33</v>
      </c>
      <c r="L51" s="161">
        <f>_xll.dnetGBlackScholesNGreeks("price",$Q51,$P51,$G51,$I51,$C$3,$J51,$K51,$C$4)*R51</f>
        <v>42.435513755873274</v>
      </c>
      <c r="M51" s="162">
        <v>0</v>
      </c>
      <c r="N51" s="161">
        <f>M51/10000*I51*P51</f>
        <v>0</v>
      </c>
      <c r="O51" s="161">
        <f>IF(L51&lt;=0,ABS(L51)+N51,L51-N51)</f>
        <v>42.435513755873274</v>
      </c>
      <c r="P51" s="169">
        <v>1367</v>
      </c>
      <c r="Q51" s="157" t="s">
        <v>85</v>
      </c>
      <c r="R51" s="157">
        <f>IF(S51="中金买入",1,-1)</f>
        <v>1</v>
      </c>
      <c r="S51" s="157" t="s">
        <v>151</v>
      </c>
      <c r="T51" s="163">
        <f>O51/P51</f>
        <v>3.1042804503199177E-2</v>
      </c>
      <c r="U51" s="161">
        <f>_xll.dnetGBlackScholesNGreeks("delta",$Q51,$P51,$G51,$I51,$C$3,$J51,$K51,$C$4)*R51</f>
        <v>-0.32798297063720838</v>
      </c>
      <c r="V51" s="201">
        <f>_xll.dnetGBlackScholesNGreeks("vega",$Q51,$P51,$G51,$I51,$C$3,$J51,$K51,$C$4)*R51</f>
        <v>1.9981753744172295</v>
      </c>
    </row>
    <row r="52" spans="1:22">
      <c r="A52" s="53"/>
      <c r="B52" s="218"/>
      <c r="C52" s="202" t="s">
        <v>160</v>
      </c>
      <c r="D52" s="146" t="s">
        <v>204</v>
      </c>
      <c r="E52" s="147">
        <f t="shared" ca="1" si="0"/>
        <v>43105</v>
      </c>
      <c r="F52" s="147">
        <f ca="1">E52+H52</f>
        <v>43195</v>
      </c>
      <c r="G52" s="146">
        <v>1100</v>
      </c>
      <c r="H52" s="146">
        <v>90</v>
      </c>
      <c r="I52" s="148">
        <f t="shared" si="8"/>
        <v>0.24657534246575341</v>
      </c>
      <c r="J52" s="148">
        <v>0</v>
      </c>
      <c r="K52" s="149">
        <v>0.33</v>
      </c>
      <c r="L52" s="150">
        <f>_xll.dnetGBlackScholesNGreeks("price",$Q52,$P52,$G52,$I52,$C$3,$J52,$K52,$C$4)*R52</f>
        <v>8.5890823182449623</v>
      </c>
      <c r="M52" s="151">
        <v>0</v>
      </c>
      <c r="N52" s="150">
        <f>M52/10000*I52*P52</f>
        <v>0</v>
      </c>
      <c r="O52" s="150">
        <f>IF(L52&lt;=0,ABS(L52)+N52,L52-N52)</f>
        <v>8.5890823182449623</v>
      </c>
      <c r="P52" s="167">
        <v>1367</v>
      </c>
      <c r="Q52" s="146" t="s">
        <v>85</v>
      </c>
      <c r="R52" s="146">
        <f>IF(S52="中金买入",1,-1)</f>
        <v>1</v>
      </c>
      <c r="S52" s="146" t="s">
        <v>151</v>
      </c>
      <c r="T52" s="152">
        <f>O52/P52</f>
        <v>6.283161900691267E-3</v>
      </c>
      <c r="U52" s="150">
        <f>_xll.dnetGBlackScholesNGreeks("delta",$Q52,$P52,$G52,$I52,$C$3,$J52,$K52,$C$4)*R52</f>
        <v>-7.916412109096882E-2</v>
      </c>
      <c r="V52" s="203">
        <f>_xll.dnetGBlackScholesNGreeks("vega",$Q52,$P52,$G52,$I52,$C$3,$J52,$K52,$C$4)*R52</f>
        <v>0.99962370704677994</v>
      </c>
    </row>
    <row r="53" spans="1:22">
      <c r="A53" s="53"/>
      <c r="B53" s="216"/>
      <c r="C53" s="198" t="s">
        <v>162</v>
      </c>
      <c r="D53" s="10" t="s">
        <v>204</v>
      </c>
      <c r="E53" s="8">
        <f t="shared" ca="1" si="0"/>
        <v>43105</v>
      </c>
      <c r="F53" s="8">
        <f ca="1">E53+H53</f>
        <v>43195</v>
      </c>
      <c r="G53" s="10">
        <v>1200</v>
      </c>
      <c r="H53" s="10">
        <v>90</v>
      </c>
      <c r="I53" s="12">
        <f t="shared" si="8"/>
        <v>0.24657534246575341</v>
      </c>
      <c r="J53" s="12">
        <v>0</v>
      </c>
      <c r="K53" s="9">
        <v>0.33</v>
      </c>
      <c r="L53" s="13">
        <f>_xll.dnetGBlackScholesNGreeks("price",$Q53,$P53,$G53,$I53,$C$3,$J53,$K53,$C$4)*R53</f>
        <v>25.270147989578447</v>
      </c>
      <c r="M53" s="15">
        <v>0</v>
      </c>
      <c r="N53" s="13">
        <f>M53/10000*I53*P53</f>
        <v>0</v>
      </c>
      <c r="O53" s="13">
        <f>IF(L53&lt;=0,ABS(L53)+N53,L53-N53)</f>
        <v>25.270147989578447</v>
      </c>
      <c r="P53" s="168">
        <v>1367</v>
      </c>
      <c r="Q53" s="10" t="s">
        <v>85</v>
      </c>
      <c r="R53" s="10">
        <f>IF(S53="中金买入",1,-1)</f>
        <v>1</v>
      </c>
      <c r="S53" s="10" t="s">
        <v>151</v>
      </c>
      <c r="T53" s="14">
        <f>O53/P53</f>
        <v>1.8485843445192718E-2</v>
      </c>
      <c r="U53" s="13">
        <f>_xll.dnetGBlackScholesNGreeks("delta",$Q53,$P53,$G53,$I53,$C$3,$J53,$K53,$C$4)*R53</f>
        <v>-0.1892867028288947</v>
      </c>
      <c r="V53" s="199">
        <f>_xll.dnetGBlackScholesNGreeks("vega",$Q53,$P53,$G53,$I53,$C$3,$J53,$K53,$C$4)*R53</f>
        <v>1.8338661960592191</v>
      </c>
    </row>
    <row r="54" spans="1:22" ht="12" thickBot="1">
      <c r="A54" s="53"/>
      <c r="B54" s="217"/>
      <c r="C54" s="200" t="s">
        <v>162</v>
      </c>
      <c r="D54" s="157" t="s">
        <v>204</v>
      </c>
      <c r="E54" s="158">
        <f t="shared" ca="1" si="0"/>
        <v>43105</v>
      </c>
      <c r="F54" s="158">
        <f ca="1">E54+H54</f>
        <v>43195</v>
      </c>
      <c r="G54" s="157">
        <v>1300</v>
      </c>
      <c r="H54" s="157">
        <v>90</v>
      </c>
      <c r="I54" s="159">
        <f t="shared" si="8"/>
        <v>0.24657534246575341</v>
      </c>
      <c r="J54" s="159">
        <v>0</v>
      </c>
      <c r="K54" s="160">
        <v>0.33</v>
      </c>
      <c r="L54" s="161">
        <f>_xll.dnetGBlackScholesNGreeks("price",$Q54,$P54,$G54,$I54,$C$3,$J54,$K54,$C$4)*R54</f>
        <v>57.347007892327326</v>
      </c>
      <c r="M54" s="162">
        <v>0</v>
      </c>
      <c r="N54" s="161">
        <f>M54/10000*I54*P54</f>
        <v>0</v>
      </c>
      <c r="O54" s="161">
        <f>IF(L54&lt;=0,ABS(L54)+N54,L54-N54)</f>
        <v>57.347007892327326</v>
      </c>
      <c r="P54" s="169">
        <v>1367</v>
      </c>
      <c r="Q54" s="157" t="s">
        <v>85</v>
      </c>
      <c r="R54" s="157">
        <f>IF(S54="中金买入",1,-1)</f>
        <v>1</v>
      </c>
      <c r="S54" s="157" t="s">
        <v>151</v>
      </c>
      <c r="T54" s="163">
        <f>O54/P54</f>
        <v>4.195099333747427E-2</v>
      </c>
      <c r="U54" s="161">
        <f>_xll.dnetGBlackScholesNGreeks("delta",$Q54,$P54,$G54,$I54,$C$3,$J54,$K54,$C$4)*R54</f>
        <v>-0.34706572000970937</v>
      </c>
      <c r="V54" s="201">
        <f>_xll.dnetGBlackScholesNGreeks("vega",$Q54,$P54,$G54,$I54,$C$3,$J54,$K54,$C$4)*R54</f>
        <v>2.498615934066919</v>
      </c>
    </row>
    <row r="55" spans="1:22">
      <c r="A55" s="53"/>
      <c r="B55" s="218"/>
      <c r="C55" s="202" t="s">
        <v>160</v>
      </c>
      <c r="D55" s="146" t="s">
        <v>204</v>
      </c>
      <c r="E55" s="147">
        <f t="shared" ca="1" si="0"/>
        <v>43105</v>
      </c>
      <c r="F55" s="147">
        <f ca="1">E55+H55</f>
        <v>43135</v>
      </c>
      <c r="G55" s="146">
        <v>1400</v>
      </c>
      <c r="H55" s="146">
        <v>30</v>
      </c>
      <c r="I55" s="148">
        <f t="shared" si="8"/>
        <v>8.2191780821917804E-2</v>
      </c>
      <c r="J55" s="148">
        <v>0</v>
      </c>
      <c r="K55" s="149">
        <v>0.33</v>
      </c>
      <c r="L55" s="150">
        <f>_xll.dnetGBlackScholesNGreeks("price",$Q55,$P55,$G55,$I55,$C$3,$J55,$K55,$C$4)*R55</f>
        <v>37.285910821515245</v>
      </c>
      <c r="M55" s="151">
        <v>0</v>
      </c>
      <c r="N55" s="150">
        <f>M55/10000*I55*P55</f>
        <v>0</v>
      </c>
      <c r="O55" s="150">
        <f>IF(L55&lt;=0,ABS(L55)+N55,L55-N55)</f>
        <v>37.285910821515245</v>
      </c>
      <c r="P55" s="167">
        <v>1367</v>
      </c>
      <c r="Q55" s="146" t="s">
        <v>27</v>
      </c>
      <c r="R55" s="146">
        <f>IF(S55="中金买入",1,-1)</f>
        <v>1</v>
      </c>
      <c r="S55" s="146" t="s">
        <v>151</v>
      </c>
      <c r="T55" s="152">
        <f>O55/P55</f>
        <v>2.7275721156924101E-2</v>
      </c>
      <c r="U55" s="150">
        <f>_xll.dnetGBlackScholesNGreeks("delta",$Q55,$P55,$G55,$I55,$C$3,$J55,$K55,$C$4)*R55</f>
        <v>0.41816547284838634</v>
      </c>
      <c r="V55" s="203">
        <f>_xll.dnetGBlackScholesNGreeks("vega",$Q55,$P55,$G55,$I55,$C$3,$J55,$K55,$C$4)*R55</f>
        <v>1.5284668211357371</v>
      </c>
    </row>
    <row r="56" spans="1:22">
      <c r="A56" s="53"/>
      <c r="B56" s="216"/>
      <c r="C56" s="198" t="s">
        <v>162</v>
      </c>
      <c r="D56" s="10" t="s">
        <v>204</v>
      </c>
      <c r="E56" s="8">
        <f t="shared" ca="1" si="0"/>
        <v>43105</v>
      </c>
      <c r="F56" s="8">
        <f ca="1">E56+H56</f>
        <v>43135</v>
      </c>
      <c r="G56" s="10">
        <v>1500</v>
      </c>
      <c r="H56" s="10">
        <v>30</v>
      </c>
      <c r="I56" s="12">
        <f t="shared" si="8"/>
        <v>8.2191780821917804E-2</v>
      </c>
      <c r="J56" s="12">
        <v>0</v>
      </c>
      <c r="K56" s="9">
        <v>0.33</v>
      </c>
      <c r="L56" s="13">
        <f>_xll.dnetGBlackScholesNGreeks("price",$Q56,$P56,$G56,$I56,$C$3,$J56,$K56,$C$4)*R56</f>
        <v>11.665601992362951</v>
      </c>
      <c r="M56" s="15">
        <v>0</v>
      </c>
      <c r="N56" s="13">
        <f>M56/10000*I56*P56</f>
        <v>0</v>
      </c>
      <c r="O56" s="13">
        <f>IF(L56&lt;=0,ABS(L56)+N56,L56-N56)</f>
        <v>11.665601992362951</v>
      </c>
      <c r="P56" s="168">
        <v>1367</v>
      </c>
      <c r="Q56" s="10" t="s">
        <v>27</v>
      </c>
      <c r="R56" s="10">
        <f>IF(S56="中金买入",1,-1)</f>
        <v>1</v>
      </c>
      <c r="S56" s="10" t="s">
        <v>151</v>
      </c>
      <c r="T56" s="14">
        <f>O56/P56</f>
        <v>8.533724939548612E-3</v>
      </c>
      <c r="U56" s="13">
        <f>_xll.dnetGBlackScholesNGreeks("delta",$Q56,$P56,$G56,$I56,$C$3,$J56,$K56,$C$4)*R56</f>
        <v>0.17484444827999823</v>
      </c>
      <c r="V56" s="199">
        <f>_xll.dnetGBlackScholesNGreeks("vega",$Q56,$P56,$G56,$I56,$C$3,$J56,$K56,$C$4)*R56</f>
        <v>1.008758243010746</v>
      </c>
    </row>
    <row r="57" spans="1:22" ht="12" thickBot="1">
      <c r="A57" s="53"/>
      <c r="B57" s="217"/>
      <c r="C57" s="200" t="s">
        <v>162</v>
      </c>
      <c r="D57" s="157" t="s">
        <v>204</v>
      </c>
      <c r="E57" s="158">
        <f t="shared" ca="1" si="0"/>
        <v>43105</v>
      </c>
      <c r="F57" s="158">
        <f ca="1">E57+H57</f>
        <v>43135</v>
      </c>
      <c r="G57" s="157">
        <v>1600</v>
      </c>
      <c r="H57" s="157">
        <v>30</v>
      </c>
      <c r="I57" s="159">
        <f t="shared" si="8"/>
        <v>8.2191780821917804E-2</v>
      </c>
      <c r="J57" s="159">
        <v>0</v>
      </c>
      <c r="K57" s="160">
        <v>0.33</v>
      </c>
      <c r="L57" s="161">
        <f>_xll.dnetGBlackScholesNGreeks("price",$Q57,$P57,$G57,$I57,$C$3,$J57,$K57,$C$4)*R57</f>
        <v>2.7880844251534569</v>
      </c>
      <c r="M57" s="162">
        <v>0</v>
      </c>
      <c r="N57" s="161">
        <f>M57/10000*I57*P57</f>
        <v>0</v>
      </c>
      <c r="O57" s="161">
        <f>IF(L57&lt;=0,ABS(L57)+N57,L57-N57)</f>
        <v>2.7880844251534569</v>
      </c>
      <c r="P57" s="169">
        <v>1367</v>
      </c>
      <c r="Q57" s="157" t="s">
        <v>27</v>
      </c>
      <c r="R57" s="157">
        <f>IF(S57="中金买入",1,-1)</f>
        <v>1</v>
      </c>
      <c r="S57" s="157" t="s">
        <v>151</v>
      </c>
      <c r="T57" s="163">
        <f>O57/P57</f>
        <v>2.0395643197903854E-3</v>
      </c>
      <c r="U57" s="161">
        <f>_xll.dnetGBlackScholesNGreeks("delta",$Q57,$P57,$G57,$I57,$C$3,$J57,$K57,$C$4)*R57</f>
        <v>5.2933675550548287E-2</v>
      </c>
      <c r="V57" s="201">
        <f>_xll.dnetGBlackScholesNGreeks("vega",$Q57,$P57,$G57,$I57,$C$3,$J57,$K57,$C$4)*R57</f>
        <v>0.42275961587438005</v>
      </c>
    </row>
    <row r="58" spans="1:22">
      <c r="A58" s="53"/>
      <c r="B58" s="218"/>
      <c r="C58" s="202" t="s">
        <v>160</v>
      </c>
      <c r="D58" s="146" t="s">
        <v>204</v>
      </c>
      <c r="E58" s="147">
        <f t="shared" ca="1" si="0"/>
        <v>43105</v>
      </c>
      <c r="F58" s="147">
        <f ca="1">E58+H58</f>
        <v>43165</v>
      </c>
      <c r="G58" s="146">
        <v>1400</v>
      </c>
      <c r="H58" s="146">
        <v>60</v>
      </c>
      <c r="I58" s="148">
        <f t="shared" si="8"/>
        <v>0.16438356164383561</v>
      </c>
      <c r="J58" s="148">
        <v>0</v>
      </c>
      <c r="K58" s="149">
        <v>0.33</v>
      </c>
      <c r="L58" s="150">
        <f>_xll.dnetGBlackScholesNGreeks("price",$Q58,$P58,$G58,$I58,$C$3,$J58,$K58,$C$4)*R58</f>
        <v>58.267824323280365</v>
      </c>
      <c r="M58" s="151">
        <v>0</v>
      </c>
      <c r="N58" s="150">
        <f>M58/10000*I58*P58</f>
        <v>0</v>
      </c>
      <c r="O58" s="150">
        <f>IF(L58&lt;=0,ABS(L58)+N58,L58-N58)</f>
        <v>58.267824323280365</v>
      </c>
      <c r="P58" s="167">
        <v>1367</v>
      </c>
      <c r="Q58" s="146" t="s">
        <v>27</v>
      </c>
      <c r="R58" s="146">
        <f>IF(S58="中金买入",1,-1)</f>
        <v>1</v>
      </c>
      <c r="S58" s="146" t="s">
        <v>151</v>
      </c>
      <c r="T58" s="152">
        <f>O58/P58</f>
        <v>4.2624597164067565E-2</v>
      </c>
      <c r="U58" s="150">
        <f>_xll.dnetGBlackScholesNGreeks("delta",$Q58,$P58,$G58,$I58,$C$3,$J58,$K58,$C$4)*R58</f>
        <v>0.45415956814736091</v>
      </c>
      <c r="V58" s="203">
        <f>_xll.dnetGBlackScholesNGreeks("vega",$Q58,$P58,$G58,$I58,$C$3,$J58,$K58,$C$4)*R58</f>
        <v>2.1901772108172963</v>
      </c>
    </row>
    <row r="59" spans="1:22">
      <c r="A59" s="53"/>
      <c r="B59" s="216"/>
      <c r="C59" s="198" t="s">
        <v>162</v>
      </c>
      <c r="D59" s="10" t="s">
        <v>204</v>
      </c>
      <c r="E59" s="8">
        <f t="shared" ca="1" si="0"/>
        <v>43105</v>
      </c>
      <c r="F59" s="8">
        <f ca="1">E59+H59</f>
        <v>43165</v>
      </c>
      <c r="G59" s="10">
        <v>1500</v>
      </c>
      <c r="H59" s="10">
        <v>60</v>
      </c>
      <c r="I59" s="12">
        <f t="shared" si="8"/>
        <v>0.16438356164383561</v>
      </c>
      <c r="J59" s="12">
        <v>0</v>
      </c>
      <c r="K59" s="9">
        <v>0.33</v>
      </c>
      <c r="L59" s="13">
        <f>_xll.dnetGBlackScholesNGreeks("price",$Q59,$P59,$G59,$I59,$C$3,$J59,$K59,$C$4)*R59</f>
        <v>27.530733787555619</v>
      </c>
      <c r="M59" s="15">
        <v>0</v>
      </c>
      <c r="N59" s="13">
        <f>M59/10000*I59*P59</f>
        <v>0</v>
      </c>
      <c r="O59" s="13">
        <f>IF(L59&lt;=0,ABS(L59)+N59,L59-N59)</f>
        <v>27.530733787555619</v>
      </c>
      <c r="P59" s="168">
        <v>1367</v>
      </c>
      <c r="Q59" s="10" t="s">
        <v>27</v>
      </c>
      <c r="R59" s="10">
        <f>IF(S59="中金买入",1,-1)</f>
        <v>1</v>
      </c>
      <c r="S59" s="10" t="s">
        <v>151</v>
      </c>
      <c r="T59" s="14">
        <f>O59/P59</f>
        <v>2.0139527276924373E-2</v>
      </c>
      <c r="U59" s="13">
        <f>_xll.dnetGBlackScholesNGreeks("delta",$Q59,$P59,$G59,$I59,$C$3,$J59,$K59,$C$4)*R59</f>
        <v>0.26444463874213398</v>
      </c>
      <c r="V59" s="199">
        <f>_xll.dnetGBlackScholesNGreeks("vega",$Q59,$P59,$G59,$I59,$C$3,$J59,$K59,$C$4)*R59</f>
        <v>1.8101730238140306</v>
      </c>
    </row>
    <row r="60" spans="1:22" ht="12" thickBot="1">
      <c r="A60" s="53"/>
      <c r="B60" s="217"/>
      <c r="C60" s="200" t="s">
        <v>162</v>
      </c>
      <c r="D60" s="157" t="s">
        <v>204</v>
      </c>
      <c r="E60" s="158">
        <f t="shared" ca="1" si="0"/>
        <v>43105</v>
      </c>
      <c r="F60" s="158">
        <f ca="1">E60+H60</f>
        <v>43165</v>
      </c>
      <c r="G60" s="157">
        <v>1600</v>
      </c>
      <c r="H60" s="157">
        <v>60</v>
      </c>
      <c r="I60" s="159">
        <f t="shared" si="8"/>
        <v>0.16438356164383561</v>
      </c>
      <c r="J60" s="159">
        <v>0</v>
      </c>
      <c r="K60" s="160">
        <v>0.33</v>
      </c>
      <c r="L60" s="161">
        <f>_xll.dnetGBlackScholesNGreeks("price",$Q60,$P60,$G60,$I60,$C$3,$J60,$K60,$C$4)*R60</f>
        <v>11.595933071391045</v>
      </c>
      <c r="M60" s="162">
        <v>0</v>
      </c>
      <c r="N60" s="161">
        <f>M60/10000*I60*P60</f>
        <v>0</v>
      </c>
      <c r="O60" s="161">
        <f>IF(L60&lt;=0,ABS(L60)+N60,L60-N60)</f>
        <v>11.595933071391045</v>
      </c>
      <c r="P60" s="169">
        <v>1367</v>
      </c>
      <c r="Q60" s="157" t="s">
        <v>27</v>
      </c>
      <c r="R60" s="157">
        <f>IF(S60="中金买入",1,-1)</f>
        <v>1</v>
      </c>
      <c r="S60" s="157" t="s">
        <v>151</v>
      </c>
      <c r="T60" s="163">
        <f>O60/P60</f>
        <v>8.4827601107469244E-3</v>
      </c>
      <c r="U60" s="161">
        <f>_xll.dnetGBlackScholesNGreeks("delta",$Q60,$P60,$G60,$I60,$C$3,$J60,$K60,$C$4)*R60</f>
        <v>0.13318845322629613</v>
      </c>
      <c r="V60" s="201">
        <f>_xll.dnetGBlackScholesNGreeks("vega",$Q60,$P60,$G60,$I60,$C$3,$J60,$K60,$C$4)*R60</f>
        <v>1.190606595167182</v>
      </c>
    </row>
    <row r="61" spans="1:22">
      <c r="A61" s="53"/>
      <c r="B61" s="216"/>
      <c r="C61" s="198" t="s">
        <v>160</v>
      </c>
      <c r="D61" s="10" t="s">
        <v>204</v>
      </c>
      <c r="E61" s="8">
        <f t="shared" ca="1" si="0"/>
        <v>43105</v>
      </c>
      <c r="F61" s="8">
        <f ca="1">E61+H61</f>
        <v>43195</v>
      </c>
      <c r="G61" s="10">
        <v>1400</v>
      </c>
      <c r="H61" s="146">
        <v>90</v>
      </c>
      <c r="I61" s="12">
        <f t="shared" si="8"/>
        <v>0.24657534246575341</v>
      </c>
      <c r="J61" s="12">
        <v>0</v>
      </c>
      <c r="K61" s="9">
        <v>0.33</v>
      </c>
      <c r="L61" s="13">
        <f>_xll.dnetGBlackScholesNGreeks("price",$Q61,$P61,$G61,$I61,$C$3,$J61,$K61,$C$4)*R61</f>
        <v>74.427898376308121</v>
      </c>
      <c r="M61" s="15">
        <v>0</v>
      </c>
      <c r="N61" s="13">
        <f>M61/10000*I61*P61</f>
        <v>0</v>
      </c>
      <c r="O61" s="13">
        <f>IF(L61&lt;=0,ABS(L61)+N61,L61-N61)</f>
        <v>74.427898376308121</v>
      </c>
      <c r="P61" s="168">
        <v>1367</v>
      </c>
      <c r="Q61" s="10" t="s">
        <v>27</v>
      </c>
      <c r="R61" s="10">
        <f>IF(S61="中金买入",1,-1)</f>
        <v>1</v>
      </c>
      <c r="S61" s="10" t="s">
        <v>151</v>
      </c>
      <c r="T61" s="14">
        <f>O61/P61</f>
        <v>5.444615828552167E-2</v>
      </c>
      <c r="U61" s="13">
        <f>_xll.dnetGBlackScholesNGreeks("delta",$Q61,$P61,$G61,$I61,$C$3,$J61,$K61,$C$4)*R61</f>
        <v>0.47229545135678563</v>
      </c>
      <c r="V61" s="199">
        <f>_xll.dnetGBlackScholesNGreeks("vega",$Q61,$P61,$G61,$I61,$C$3,$J61,$K61,$C$4)*R61</f>
        <v>2.6892284027723008</v>
      </c>
    </row>
    <row r="62" spans="1:22">
      <c r="A62" s="53"/>
      <c r="B62" s="216"/>
      <c r="C62" s="198" t="s">
        <v>162</v>
      </c>
      <c r="D62" s="10" t="s">
        <v>204</v>
      </c>
      <c r="E62" s="8">
        <f t="shared" ca="1" si="0"/>
        <v>43105</v>
      </c>
      <c r="F62" s="8">
        <f ca="1">E62+H62</f>
        <v>43195</v>
      </c>
      <c r="G62" s="10">
        <v>1500</v>
      </c>
      <c r="H62" s="10">
        <v>90</v>
      </c>
      <c r="I62" s="12">
        <f t="shared" si="8"/>
        <v>0.24657534246575341</v>
      </c>
      <c r="J62" s="12">
        <v>0</v>
      </c>
      <c r="K62" s="9">
        <v>0.33</v>
      </c>
      <c r="L62" s="13">
        <f>_xll.dnetGBlackScholesNGreeks("price",$Q62,$P62,$G62,$I62,$C$3,$J62,$K62,$C$4)*R62</f>
        <v>41.492897552411023</v>
      </c>
      <c r="M62" s="15">
        <v>0</v>
      </c>
      <c r="N62" s="13">
        <f>M62/10000*I62*P62</f>
        <v>0</v>
      </c>
      <c r="O62" s="13">
        <f>IF(L62&lt;=0,ABS(L62)+N62,L62-N62)</f>
        <v>41.492897552411023</v>
      </c>
      <c r="P62" s="168">
        <v>1367</v>
      </c>
      <c r="Q62" s="10" t="s">
        <v>27</v>
      </c>
      <c r="R62" s="10">
        <f>IF(S62="中金买入",1,-1)</f>
        <v>1</v>
      </c>
      <c r="S62" s="10" t="s">
        <v>151</v>
      </c>
      <c r="T62" s="14">
        <f>O62/P62</f>
        <v>3.0353253513102432E-2</v>
      </c>
      <c r="U62" s="13">
        <f>_xll.dnetGBlackScholesNGreeks("delta",$Q62,$P62,$G62,$I62,$C$3,$J62,$K62,$C$4)*R62</f>
        <v>0.31241161455852762</v>
      </c>
      <c r="V62" s="199">
        <f>_xll.dnetGBlackScholesNGreeks("vega",$Q62,$P62,$G62,$I62,$C$3,$J62,$K62,$C$4)*R62</f>
        <v>2.3957708367125008</v>
      </c>
    </row>
    <row r="63" spans="1:22" ht="12" thickBot="1">
      <c r="A63" s="53"/>
      <c r="B63" s="219"/>
      <c r="C63" s="204" t="s">
        <v>162</v>
      </c>
      <c r="D63" s="205" t="s">
        <v>204</v>
      </c>
      <c r="E63" s="206">
        <f t="shared" ca="1" si="0"/>
        <v>43105</v>
      </c>
      <c r="F63" s="206">
        <f ca="1">E63+H63</f>
        <v>43195</v>
      </c>
      <c r="G63" s="205">
        <v>1600</v>
      </c>
      <c r="H63" s="205">
        <v>90</v>
      </c>
      <c r="I63" s="207">
        <f t="shared" si="8"/>
        <v>0.24657534246575341</v>
      </c>
      <c r="J63" s="207">
        <v>0</v>
      </c>
      <c r="K63" s="208">
        <v>0.33</v>
      </c>
      <c r="L63" s="209">
        <f>_xll.dnetGBlackScholesNGreeks("price",$Q63,$P63,$G63,$I63,$C$3,$J63,$K63,$C$4)*R63</f>
        <v>21.605668058658324</v>
      </c>
      <c r="M63" s="210">
        <v>0</v>
      </c>
      <c r="N63" s="209">
        <f>M63/10000*I63*P63</f>
        <v>0</v>
      </c>
      <c r="O63" s="209">
        <f>IF(L63&lt;=0,ABS(L63)+N63,L63-N63)</f>
        <v>21.605668058658324</v>
      </c>
      <c r="P63" s="211">
        <v>1367</v>
      </c>
      <c r="Q63" s="205" t="s">
        <v>27</v>
      </c>
      <c r="R63" s="205">
        <f>IF(S63="中金买入",1,-1)</f>
        <v>1</v>
      </c>
      <c r="S63" s="205" t="s">
        <v>151</v>
      </c>
      <c r="T63" s="212">
        <f>O63/P63</f>
        <v>1.5805170489142886E-2</v>
      </c>
      <c r="U63" s="209">
        <f>_xll.dnetGBlackScholesNGreeks("delta",$Q63,$P63,$G63,$I63,$C$3,$J63,$K63,$C$4)*R63</f>
        <v>0.18889774482175881</v>
      </c>
      <c r="V63" s="213">
        <f>_xll.dnetGBlackScholesNGreeks("vega",$Q63,$P63,$G63,$I63,$C$3,$J63,$K63,$C$4)*R63</f>
        <v>1.8314305283549288</v>
      </c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7" zoomScale="85" zoomScaleNormal="85" workbookViewId="0">
      <selection activeCell="P8" sqref="P8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35" t="s">
        <v>37</v>
      </c>
      <c r="C1" s="132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58"/>
      <c r="B7" s="59" t="s">
        <v>29</v>
      </c>
      <c r="C7" s="59" t="s">
        <v>2</v>
      </c>
      <c r="D7" s="60"/>
      <c r="E7" s="60" t="s">
        <v>195</v>
      </c>
      <c r="F7" s="60" t="s">
        <v>197</v>
      </c>
      <c r="G7" s="60" t="s">
        <v>10</v>
      </c>
      <c r="H7" s="60" t="s">
        <v>7</v>
      </c>
      <c r="I7" s="60" t="s">
        <v>11</v>
      </c>
      <c r="J7" s="60" t="s">
        <v>12</v>
      </c>
      <c r="K7" s="60" t="s">
        <v>47</v>
      </c>
      <c r="L7" s="60" t="s">
        <v>13</v>
      </c>
      <c r="M7" s="60" t="s">
        <v>14</v>
      </c>
      <c r="N7" s="60" t="s">
        <v>26</v>
      </c>
      <c r="O7" s="60" t="s">
        <v>28</v>
      </c>
      <c r="P7" s="60" t="s">
        <v>196</v>
      </c>
      <c r="Q7" s="60" t="s">
        <v>8</v>
      </c>
      <c r="R7" s="60" t="s">
        <v>23</v>
      </c>
      <c r="S7" s="60" t="s">
        <v>30</v>
      </c>
      <c r="T7" s="59" t="s">
        <v>33</v>
      </c>
      <c r="U7" s="59" t="s">
        <v>16</v>
      </c>
      <c r="V7" s="59" t="s">
        <v>17</v>
      </c>
    </row>
    <row r="8" spans="1:22" ht="14.25" thickTop="1">
      <c r="A8" s="61"/>
      <c r="B8" s="62" t="s">
        <v>173</v>
      </c>
      <c r="C8" s="63" t="s">
        <v>160</v>
      </c>
      <c r="D8" s="63">
        <f>IF(S8="中金买入",1,-1)</f>
        <v>-1</v>
      </c>
      <c r="E8" s="63" t="s">
        <v>159</v>
      </c>
      <c r="F8" s="65">
        <f ca="1">TODAY()</f>
        <v>43105</v>
      </c>
      <c r="G8" s="65">
        <f ca="1">F8+I8</f>
        <v>43135</v>
      </c>
      <c r="H8" s="63">
        <v>100</v>
      </c>
      <c r="I8" s="63">
        <v>30</v>
      </c>
      <c r="J8" s="66">
        <f>I8/365</f>
        <v>8.2191780821917804E-2</v>
      </c>
      <c r="K8" s="66">
        <v>0</v>
      </c>
      <c r="L8" s="67">
        <v>0.32</v>
      </c>
      <c r="M8" s="62">
        <f>_xll.dnetGBlackScholesNGreeks("price",$R8,$Q8,$H8,$J8,$C$3,$K8,$L8,$C$4)*D8</f>
        <v>-3.6526499295562971</v>
      </c>
      <c r="N8" s="68"/>
      <c r="O8" s="62"/>
      <c r="P8" s="62">
        <f>M8+O8</f>
        <v>-3.6526499295562971</v>
      </c>
      <c r="Q8" s="64">
        <v>100</v>
      </c>
      <c r="R8" s="63" t="s">
        <v>39</v>
      </c>
      <c r="S8" s="67" t="s">
        <v>20</v>
      </c>
      <c r="T8" s="69"/>
      <c r="U8" s="62">
        <f>_xll.dnetGBlackScholesNGreeks("delta",$R8,$Q8,$H8,$J8,$C$3,$K8,$L8,$C$4)*D8</f>
        <v>-0.51744199617651532</v>
      </c>
      <c r="V8" s="62">
        <f>_xll.dnetGBlackScholesNGreeks("vega",$R8,$Q8,$H8,$J8,$C$3,$K8,$L8,$C$4)*D8</f>
        <v>-0.11406523569462124</v>
      </c>
    </row>
    <row r="9" spans="1:22" ht="13.5">
      <c r="A9" s="61"/>
      <c r="B9" s="70" t="s">
        <v>174</v>
      </c>
      <c r="C9" s="71" t="s">
        <v>160</v>
      </c>
      <c r="D9" s="71">
        <f>IF(S9="中金买入",1,-1)</f>
        <v>1</v>
      </c>
      <c r="E9" s="71" t="s">
        <v>159</v>
      </c>
      <c r="F9" s="73">
        <f ca="1">F8</f>
        <v>43105</v>
      </c>
      <c r="G9" s="73">
        <f ca="1">G8</f>
        <v>43135</v>
      </c>
      <c r="H9" s="71">
        <v>100</v>
      </c>
      <c r="I9" s="71">
        <f t="shared" ref="I9:I10" si="0">I8</f>
        <v>30</v>
      </c>
      <c r="J9" s="74">
        <f>I9/365</f>
        <v>8.2191780821917804E-2</v>
      </c>
      <c r="K9" s="74">
        <f>K8</f>
        <v>0</v>
      </c>
      <c r="L9" s="75">
        <v>0.3</v>
      </c>
      <c r="M9" s="70">
        <f>_xll.dnetGBlackScholesNGreeks("price",$R9,$Q9,$H9,$J9,$C$3,$K9,$L9,$C$4)*D9</f>
        <v>3.4245046917201378</v>
      </c>
      <c r="N9" s="76"/>
      <c r="O9" s="70"/>
      <c r="P9" s="70">
        <f>M9+O9</f>
        <v>3.4245046917201378</v>
      </c>
      <c r="Q9" s="72">
        <v>100</v>
      </c>
      <c r="R9" s="71" t="s">
        <v>39</v>
      </c>
      <c r="S9" s="75" t="s">
        <v>151</v>
      </c>
      <c r="T9" s="77"/>
      <c r="U9" s="70">
        <f>_xll.dnetGBlackScholesNGreeks("delta",$R9,$Q9,$H9,$J9,$C$3,$K9,$L9,$C$4)*D9</f>
        <v>0.51630126926376363</v>
      </c>
      <c r="V9" s="70">
        <f>_xll.dnetGBlackScholesNGreeks("vega",$R9,$Q9,$H9,$J9,$C$3,$K9,$L9,$C$4)*D9</f>
        <v>0.11407976820886745</v>
      </c>
    </row>
    <row r="10" spans="1:22" ht="13.5">
      <c r="A10" s="61"/>
      <c r="B10" s="78" t="s">
        <v>175</v>
      </c>
      <c r="C10" s="79" t="s">
        <v>160</v>
      </c>
      <c r="D10" s="79"/>
      <c r="E10" s="79" t="str">
        <f>E9</f>
        <v>RB1805</v>
      </c>
      <c r="F10" s="81">
        <f ca="1">F9</f>
        <v>43105</v>
      </c>
      <c r="G10" s="81">
        <f ca="1">G9</f>
        <v>43135</v>
      </c>
      <c r="H10" s="79" t="str">
        <f>H8 &amp; "|" &amp; H9</f>
        <v>100|100</v>
      </c>
      <c r="I10" s="79">
        <f t="shared" si="0"/>
        <v>30</v>
      </c>
      <c r="J10" s="82">
        <f>J9</f>
        <v>8.2191780821917804E-2</v>
      </c>
      <c r="K10" s="82"/>
      <c r="L10" s="79"/>
      <c r="M10" s="78">
        <f>M9+M8</f>
        <v>-0.22814523783615925</v>
      </c>
      <c r="N10" s="79">
        <v>80</v>
      </c>
      <c r="O10" s="78">
        <f>N10/10000*J10*Q10</f>
        <v>6.5753424657534254E-2</v>
      </c>
      <c r="P10" s="78">
        <f>IF(M10&lt;=0,ABS(M10)+O10,M10-O10)</f>
        <v>0.29389866249369351</v>
      </c>
      <c r="Q10" s="80">
        <f>Q9</f>
        <v>100</v>
      </c>
      <c r="R10" s="79"/>
      <c r="S10" s="75" t="s">
        <v>151</v>
      </c>
      <c r="T10" s="83">
        <f>P10/Q10</f>
        <v>2.9389866249369349E-3</v>
      </c>
      <c r="U10" s="83">
        <f t="shared" ref="U10:V10" si="1">U9+U8</f>
        <v>-1.1407269127516884E-3</v>
      </c>
      <c r="V10" s="83">
        <f t="shared" si="1"/>
        <v>1.4532514246212713E-5</v>
      </c>
    </row>
    <row r="11" spans="1:22" ht="13.5">
      <c r="A11" s="84"/>
      <c r="B11" s="70" t="s">
        <v>173</v>
      </c>
      <c r="C11" s="71" t="s">
        <v>160</v>
      </c>
      <c r="D11" s="71">
        <f>IF(S11="中金买入",1,-1)</f>
        <v>-1</v>
      </c>
      <c r="E11" s="71" t="s">
        <v>201</v>
      </c>
      <c r="F11" s="73">
        <f ca="1">TODAY()</f>
        <v>43105</v>
      </c>
      <c r="G11" s="73">
        <f ca="1">F11+I11</f>
        <v>43135</v>
      </c>
      <c r="H11" s="72">
        <v>460</v>
      </c>
      <c r="I11" s="71">
        <v>30</v>
      </c>
      <c r="J11" s="74">
        <f>I11/365</f>
        <v>8.2191780821917804E-2</v>
      </c>
      <c r="K11" s="74">
        <v>0</v>
      </c>
      <c r="L11" s="75">
        <v>0.36</v>
      </c>
      <c r="M11" s="70">
        <f>_xll.dnetGBlackScholesNGreeks("price",$R11,$Q11,$H11,$J11,$C$3,$K11,$L11,$C$4)*D11</f>
        <v>-1.1513881533041079</v>
      </c>
      <c r="N11" s="76"/>
      <c r="O11" s="70"/>
      <c r="P11" s="70">
        <f>M11+O11</f>
        <v>-1.1513881533041079</v>
      </c>
      <c r="Q11" s="220">
        <v>543.5</v>
      </c>
      <c r="R11" s="71" t="s">
        <v>85</v>
      </c>
      <c r="S11" s="75" t="s">
        <v>20</v>
      </c>
      <c r="T11" s="77"/>
      <c r="U11" s="70">
        <f>_xll.dnetGBlackScholesNGreeks("delta",$R11,$Q11,$H11,$J11,$C$3,$K11,$L11,$C$4)*D11</f>
        <v>4.7601694075893874E-2</v>
      </c>
      <c r="V11" s="70">
        <f>_xll.dnetGBlackScholesNGreeks("vega",$R11,$Q11,$H11,$J11,$C$3,$K11,$L11,$C$4)*D11</f>
        <v>-0.15444073121293478</v>
      </c>
    </row>
    <row r="12" spans="1:22" ht="13.5">
      <c r="A12" s="84"/>
      <c r="B12" s="70" t="s">
        <v>174</v>
      </c>
      <c r="C12" s="71" t="s">
        <v>160</v>
      </c>
      <c r="D12" s="71">
        <f>IF(S12="中金买入",1,-1)</f>
        <v>1</v>
      </c>
      <c r="E12" s="71" t="str">
        <f>E11</f>
        <v>i1805</v>
      </c>
      <c r="F12" s="73">
        <f ca="1">F11</f>
        <v>43105</v>
      </c>
      <c r="G12" s="73">
        <f ca="1">G11</f>
        <v>43135</v>
      </c>
      <c r="H12" s="72">
        <v>650</v>
      </c>
      <c r="I12" s="71">
        <f>I11</f>
        <v>30</v>
      </c>
      <c r="J12" s="74">
        <f>I12/365</f>
        <v>8.2191780821917804E-2</v>
      </c>
      <c r="K12" s="74">
        <v>0.04</v>
      </c>
      <c r="L12" s="75">
        <v>0.32</v>
      </c>
      <c r="M12" s="70">
        <f>_xll.dnetGBlackScholesNGreeks("price",$R12,$Q12,$H12,$J12,$C$3,$K12,$L12,$C$4)*D12</f>
        <v>0.57969354902504833</v>
      </c>
      <c r="N12" s="76"/>
      <c r="O12" s="70"/>
      <c r="P12" s="70">
        <f>M12+O12</f>
        <v>0.57969354902504833</v>
      </c>
      <c r="Q12" s="72">
        <f>Q11</f>
        <v>543.5</v>
      </c>
      <c r="R12" s="71" t="s">
        <v>27</v>
      </c>
      <c r="S12" s="75" t="s">
        <v>151</v>
      </c>
      <c r="T12" s="77"/>
      <c r="U12" s="70">
        <f>_xll.dnetGBlackScholesNGreeks("delta",$R12,$Q12,$H12,$J12,$C$3,$K12,$L12,$C$4)*D12</f>
        <v>3.0875347341918769E-2</v>
      </c>
      <c r="V12" s="70">
        <f>_xll.dnetGBlackScholesNGreeks("vega",$R12,$Q12,$H12,$J12,$C$3,$K12,$L12,$C$4)*D12</f>
        <v>0.10865090355050455</v>
      </c>
    </row>
    <row r="13" spans="1:22" ht="13.5">
      <c r="A13" s="84"/>
      <c r="B13" s="78" t="s">
        <v>175</v>
      </c>
      <c r="C13" s="79" t="s">
        <v>160</v>
      </c>
      <c r="D13" s="79"/>
      <c r="E13" s="79" t="str">
        <f>E12</f>
        <v>i1805</v>
      </c>
      <c r="F13" s="81">
        <f t="shared" ref="F13:G13" ca="1" si="2">F12</f>
        <v>43105</v>
      </c>
      <c r="G13" s="81">
        <f t="shared" ca="1" si="2"/>
        <v>43135</v>
      </c>
      <c r="H13" s="79" t="str">
        <f>H11 &amp; "|" &amp; H12</f>
        <v>460|650</v>
      </c>
      <c r="I13" s="79">
        <f>I12</f>
        <v>30</v>
      </c>
      <c r="J13" s="82">
        <f>J12</f>
        <v>8.2191780821917804E-2</v>
      </c>
      <c r="K13" s="82"/>
      <c r="L13" s="79"/>
      <c r="M13" s="78">
        <f>M12+M11</f>
        <v>-0.5716946042790596</v>
      </c>
      <c r="N13" s="79">
        <v>0</v>
      </c>
      <c r="O13" s="78">
        <f>N13/10000*J13*Q13</f>
        <v>0</v>
      </c>
      <c r="P13" s="78">
        <f>IF(M13&lt;=0,ABS(M13)+O13,M13-O13)</f>
        <v>0.5716946042790596</v>
      </c>
      <c r="Q13" s="80">
        <f>Q12</f>
        <v>543.5</v>
      </c>
      <c r="R13" s="79"/>
      <c r="S13" s="75" t="s">
        <v>20</v>
      </c>
      <c r="T13" s="83">
        <f>P13/Q13</f>
        <v>1.0518759968335964E-3</v>
      </c>
      <c r="U13" s="83">
        <f>U12+U11</f>
        <v>7.8477041417812643E-2</v>
      </c>
      <c r="V13" s="83">
        <f>V12+V11</f>
        <v>-4.5789827662430227E-2</v>
      </c>
    </row>
    <row r="14" spans="1:22" ht="13.5">
      <c r="A14" s="84"/>
      <c r="B14" s="70" t="s">
        <v>173</v>
      </c>
      <c r="C14" s="71" t="s">
        <v>160</v>
      </c>
      <c r="D14" s="71">
        <f>IF(S14="中金买入",1,-1)</f>
        <v>-1</v>
      </c>
      <c r="E14" s="71" t="s">
        <v>200</v>
      </c>
      <c r="F14" s="73">
        <f ca="1">TODAY()</f>
        <v>43105</v>
      </c>
      <c r="G14" s="73">
        <f ca="1">F14+I14</f>
        <v>43135</v>
      </c>
      <c r="H14" s="72">
        <v>490</v>
      </c>
      <c r="I14" s="71">
        <v>30</v>
      </c>
      <c r="J14" s="74">
        <f>I14/365</f>
        <v>8.2191780821917804E-2</v>
      </c>
      <c r="K14" s="74">
        <v>0</v>
      </c>
      <c r="L14" s="75">
        <v>0.35</v>
      </c>
      <c r="M14" s="70">
        <f>_xll.dnetGBlackScholesNGreeks("price",$R14,$Q14,$H14,$J14,$C$3,$K14,$L14,$C$4)*D14</f>
        <v>-4.0422147376552431</v>
      </c>
      <c r="N14" s="76"/>
      <c r="O14" s="70"/>
      <c r="P14" s="70">
        <f>M14+O14</f>
        <v>-4.0422147376552431</v>
      </c>
      <c r="Q14" s="220">
        <v>543.5</v>
      </c>
      <c r="R14" s="71" t="s">
        <v>85</v>
      </c>
      <c r="S14" s="75" t="s">
        <v>20</v>
      </c>
      <c r="T14" s="77"/>
      <c r="U14" s="70">
        <f>_xll.dnetGBlackScholesNGreeks("delta",$R14,$Q14,$H14,$J14,$C$3,$K14,$L14,$C$4)*D14</f>
        <v>0.13920107032916462</v>
      </c>
      <c r="V14" s="70">
        <f>_xll.dnetGBlackScholesNGreeks("vega",$R14,$Q14,$H14,$J14,$C$3,$K14,$L14,$C$4)*D14</f>
        <v>-0.34518569087501305</v>
      </c>
    </row>
    <row r="15" spans="1:22" ht="13.5">
      <c r="A15" s="84"/>
      <c r="B15" s="70" t="s">
        <v>174</v>
      </c>
      <c r="C15" s="71" t="s">
        <v>160</v>
      </c>
      <c r="D15" s="71">
        <f>IF(S15="中金买入",1,-1)</f>
        <v>1</v>
      </c>
      <c r="E15" s="71" t="str">
        <f>E14</f>
        <v>i1805</v>
      </c>
      <c r="F15" s="73">
        <f ca="1">F14</f>
        <v>43105</v>
      </c>
      <c r="G15" s="73">
        <f ca="1">G14</f>
        <v>43135</v>
      </c>
      <c r="H15" s="72">
        <v>550</v>
      </c>
      <c r="I15" s="71">
        <f>I14</f>
        <v>30</v>
      </c>
      <c r="J15" s="74">
        <f>I15/365</f>
        <v>8.2191780821917804E-2</v>
      </c>
      <c r="K15" s="74">
        <v>0</v>
      </c>
      <c r="L15" s="75">
        <v>0.31</v>
      </c>
      <c r="M15" s="70">
        <f>_xll.dnetGBlackScholesNGreeks("price",$R15,$Q15,$H15,$J15,$C$3,$K15,$L15,$C$4)*D15</f>
        <v>16.275254828009537</v>
      </c>
      <c r="N15" s="76"/>
      <c r="O15" s="70"/>
      <c r="P15" s="70">
        <f>M15+O15</f>
        <v>16.275254828009537</v>
      </c>
      <c r="Q15" s="72">
        <f>Q14</f>
        <v>543.5</v>
      </c>
      <c r="R15" s="71" t="s">
        <v>27</v>
      </c>
      <c r="S15" s="75" t="s">
        <v>151</v>
      </c>
      <c r="T15" s="77"/>
      <c r="U15" s="70">
        <f>_xll.dnetGBlackScholesNGreeks("delta",$R15,$Q15,$H15,$J15,$C$3,$K15,$L15,$C$4)*D15</f>
        <v>0.46364650029175891</v>
      </c>
      <c r="V15" s="70">
        <f>_xll.dnetGBlackScholesNGreeks("vega",$R15,$Q15,$H15,$J15,$C$3,$K15,$L15,$C$4)*D15</f>
        <v>0.61812010338137213</v>
      </c>
    </row>
    <row r="16" spans="1:22" ht="13.5">
      <c r="A16" s="84"/>
      <c r="B16" s="78" t="s">
        <v>175</v>
      </c>
      <c r="C16" s="79" t="s">
        <v>160</v>
      </c>
      <c r="D16" s="79"/>
      <c r="E16" s="79" t="str">
        <f>E15</f>
        <v>i1805</v>
      </c>
      <c r="F16" s="81">
        <f t="shared" ref="F16:G16" ca="1" si="3">F15</f>
        <v>43105</v>
      </c>
      <c r="G16" s="81">
        <f t="shared" ca="1" si="3"/>
        <v>43135</v>
      </c>
      <c r="H16" s="79" t="str">
        <f>H14 &amp; "|" &amp; H15</f>
        <v>490|550</v>
      </c>
      <c r="I16" s="79">
        <f>I15</f>
        <v>30</v>
      </c>
      <c r="J16" s="82">
        <f>J15</f>
        <v>8.2191780821917804E-2</v>
      </c>
      <c r="K16" s="82"/>
      <c r="L16" s="79"/>
      <c r="M16" s="78">
        <f>M15+M14</f>
        <v>12.233040090354294</v>
      </c>
      <c r="N16" s="79">
        <v>0</v>
      </c>
      <c r="O16" s="78">
        <f>N16/10000*J16*Q16</f>
        <v>0</v>
      </c>
      <c r="P16" s="78">
        <f>IF(M16&lt;=0,ABS(M16)+O16,M16-O16)</f>
        <v>12.233040090354294</v>
      </c>
      <c r="Q16" s="80">
        <f>Q15</f>
        <v>543.5</v>
      </c>
      <c r="R16" s="79"/>
      <c r="S16" s="75" t="s">
        <v>20</v>
      </c>
      <c r="T16" s="83">
        <f>P16/Q16</f>
        <v>2.2507893450513881E-2</v>
      </c>
      <c r="U16" s="83">
        <f>U15+U14</f>
        <v>0.60284757062092353</v>
      </c>
      <c r="V16" s="83">
        <f>V15+V14</f>
        <v>0.27293441250635908</v>
      </c>
    </row>
    <row r="17" spans="1:22" ht="13.5">
      <c r="A17" s="84"/>
      <c r="B17" s="70" t="s">
        <v>173</v>
      </c>
      <c r="C17" s="71" t="s">
        <v>160</v>
      </c>
      <c r="D17" s="71">
        <f>IF(S17="中金买入",1,-1)</f>
        <v>-1</v>
      </c>
      <c r="E17" s="71" t="s">
        <v>200</v>
      </c>
      <c r="F17" s="73">
        <f ca="1">TODAY()</f>
        <v>43105</v>
      </c>
      <c r="G17" s="73">
        <f ca="1">F17+I17</f>
        <v>43135</v>
      </c>
      <c r="H17" s="72">
        <v>510</v>
      </c>
      <c r="I17" s="71">
        <v>30</v>
      </c>
      <c r="J17" s="74">
        <f>I17/365</f>
        <v>8.2191780821917804E-2</v>
      </c>
      <c r="K17" s="74">
        <v>0</v>
      </c>
      <c r="L17" s="75">
        <v>0.34</v>
      </c>
      <c r="M17" s="70">
        <f>_xll.dnetGBlackScholesNGreeks("price",$R17,$Q17,$H17,$J17,$C$3,$K17,$L17,$C$4)*D17</f>
        <v>-7.9200418377057531</v>
      </c>
      <c r="N17" s="76"/>
      <c r="O17" s="70"/>
      <c r="P17" s="70">
        <f>M17+O17</f>
        <v>-7.9200418377057531</v>
      </c>
      <c r="Q17" s="220">
        <v>543.5</v>
      </c>
      <c r="R17" s="71" t="s">
        <v>85</v>
      </c>
      <c r="S17" s="75" t="s">
        <v>20</v>
      </c>
      <c r="T17" s="77"/>
      <c r="U17" s="70">
        <f>_xll.dnetGBlackScholesNGreeks("delta",$R17,$Q17,$H17,$J17,$C$3,$K17,$L17,$C$4)*D17</f>
        <v>0.24112770318538423</v>
      </c>
      <c r="V17" s="70">
        <f>_xll.dnetGBlackScholesNGreeks("vega",$R17,$Q17,$H17,$J17,$C$3,$K17,$L17,$C$4)*D17</f>
        <v>-0.48518849211787085</v>
      </c>
    </row>
    <row r="18" spans="1:22" ht="13.5">
      <c r="A18" s="84"/>
      <c r="B18" s="70" t="s">
        <v>174</v>
      </c>
      <c r="C18" s="71" t="s">
        <v>160</v>
      </c>
      <c r="D18" s="71">
        <f>IF(S18="中金买入",1,-1)</f>
        <v>1</v>
      </c>
      <c r="E18" s="71" t="str">
        <f>E17</f>
        <v>i1805</v>
      </c>
      <c r="F18" s="73">
        <f ca="1">F17</f>
        <v>43105</v>
      </c>
      <c r="G18" s="73">
        <f ca="1">G17</f>
        <v>43135</v>
      </c>
      <c r="H18" s="72">
        <v>600</v>
      </c>
      <c r="I18" s="71">
        <f>I17</f>
        <v>30</v>
      </c>
      <c r="J18" s="74">
        <f>I18/365</f>
        <v>8.2191780821917804E-2</v>
      </c>
      <c r="K18" s="74">
        <v>0</v>
      </c>
      <c r="L18" s="75">
        <v>0.32</v>
      </c>
      <c r="M18" s="70">
        <f>_xll.dnetGBlackScholesNGreeks("price",$R18,$Q18,$H18,$J18,$C$3,$K18,$L18,$C$4)*D18</f>
        <v>3.7450803918233078</v>
      </c>
      <c r="N18" s="76"/>
      <c r="O18" s="70"/>
      <c r="P18" s="70">
        <f>M18+O18</f>
        <v>3.7450803918233078</v>
      </c>
      <c r="Q18" s="72">
        <f>Q17</f>
        <v>543.5</v>
      </c>
      <c r="R18" s="71" t="s">
        <v>24</v>
      </c>
      <c r="S18" s="75" t="s">
        <v>151</v>
      </c>
      <c r="T18" s="77"/>
      <c r="U18" s="70">
        <f>_xll.dnetGBlackScholesNGreeks("delta",$R18,$Q18,$H18,$J18,$C$3,$K18,$L18,$C$4)*D18</f>
        <v>0.15075010080991547</v>
      </c>
      <c r="V18" s="70">
        <f>_xll.dnetGBlackScholesNGreeks("vega",$R18,$Q18,$H18,$J18,$C$3,$K18,$L18,$C$4)*D18</f>
        <v>0.36418225180861441</v>
      </c>
    </row>
    <row r="19" spans="1:22" ht="14.25" thickBot="1">
      <c r="A19" s="84"/>
      <c r="B19" s="221" t="s">
        <v>175</v>
      </c>
      <c r="C19" s="222" t="s">
        <v>160</v>
      </c>
      <c r="D19" s="222"/>
      <c r="E19" s="222" t="str">
        <f>E18</f>
        <v>i1805</v>
      </c>
      <c r="F19" s="223">
        <f t="shared" ref="F19:G19" ca="1" si="4">F18</f>
        <v>43105</v>
      </c>
      <c r="G19" s="223">
        <f t="shared" ca="1" si="4"/>
        <v>43135</v>
      </c>
      <c r="H19" s="222" t="str">
        <f>H17 &amp; "|" &amp; H18</f>
        <v>510|600</v>
      </c>
      <c r="I19" s="222">
        <f>I18</f>
        <v>30</v>
      </c>
      <c r="J19" s="224">
        <f>J18</f>
        <v>8.2191780821917804E-2</v>
      </c>
      <c r="K19" s="224"/>
      <c r="L19" s="222"/>
      <c r="M19" s="221">
        <f>M18+M17</f>
        <v>-4.1749614458824453</v>
      </c>
      <c r="N19" s="222">
        <v>0</v>
      </c>
      <c r="O19" s="221">
        <f>N19/10000*J19*Q19</f>
        <v>0</v>
      </c>
      <c r="P19" s="221">
        <f>IF(M19&lt;=0,ABS(M19)+O19,M19-O19)</f>
        <v>4.1749614458824453</v>
      </c>
      <c r="Q19" s="225">
        <f>Q18</f>
        <v>543.5</v>
      </c>
      <c r="R19" s="222"/>
      <c r="S19" s="226" t="s">
        <v>20</v>
      </c>
      <c r="T19" s="227">
        <f>P19/Q19</f>
        <v>7.6816217955518774E-3</v>
      </c>
      <c r="U19" s="227">
        <f>U18+U17</f>
        <v>0.3918778039952997</v>
      </c>
      <c r="V19" s="227">
        <f>V18+V17</f>
        <v>-0.12100624030925644</v>
      </c>
    </row>
    <row r="20" spans="1:22" s="239" customFormat="1" ht="13.5">
      <c r="A20" s="229"/>
      <c r="B20" s="230" t="s">
        <v>173</v>
      </c>
      <c r="C20" s="231" t="s">
        <v>160</v>
      </c>
      <c r="D20" s="231">
        <f>IF(S20="中金买入",1,-1)</f>
        <v>-1</v>
      </c>
      <c r="E20" s="231" t="s">
        <v>206</v>
      </c>
      <c r="F20" s="232">
        <f ca="1">TODAY()</f>
        <v>43105</v>
      </c>
      <c r="G20" s="232">
        <f ca="1">F20+I20</f>
        <v>43135</v>
      </c>
      <c r="H20" s="233">
        <v>1300</v>
      </c>
      <c r="I20" s="231">
        <v>30</v>
      </c>
      <c r="J20" s="234">
        <f>I20/365</f>
        <v>8.2191780821917804E-2</v>
      </c>
      <c r="K20" s="234">
        <v>0</v>
      </c>
      <c r="L20" s="235">
        <v>0.36</v>
      </c>
      <c r="M20" s="230">
        <f>_xll.dnetGBlackScholesNGreeks("price",$R20,$Q20,$H20,$J20,$C$3,$K20,$L20,$C$4)*D20</f>
        <v>-27.709099086502079</v>
      </c>
      <c r="N20" s="236"/>
      <c r="O20" s="230"/>
      <c r="P20" s="230">
        <f>M20+O20</f>
        <v>-27.709099086502079</v>
      </c>
      <c r="Q20" s="237">
        <v>1367</v>
      </c>
      <c r="R20" s="231" t="s">
        <v>85</v>
      </c>
      <c r="S20" s="235" t="s">
        <v>20</v>
      </c>
      <c r="T20" s="238"/>
      <c r="U20" s="230">
        <f>_xll.dnetGBlackScholesNGreeks("delta",$R20,$Q20,$H20,$J20,$C$3,$K20,$L20,$C$4)*D20</f>
        <v>0.29462326409941397</v>
      </c>
      <c r="V20" s="230">
        <f>_xll.dnetGBlackScholesNGreeks("vega",$R20,$Q20,$H20,$J20,$C$3,$K20,$L20,$C$4)*D20</f>
        <v>-1.3501057487674757</v>
      </c>
    </row>
    <row r="21" spans="1:22" s="228" customFormat="1" ht="13.5">
      <c r="A21" s="240"/>
      <c r="B21" s="70" t="s">
        <v>174</v>
      </c>
      <c r="C21" s="71" t="s">
        <v>160</v>
      </c>
      <c r="D21" s="71">
        <f>IF(S21="中金买入",1,-1)</f>
        <v>1</v>
      </c>
      <c r="E21" s="71" t="str">
        <f>E20</f>
        <v>jm1805</v>
      </c>
      <c r="F21" s="73">
        <f ca="1">F20</f>
        <v>43105</v>
      </c>
      <c r="G21" s="73">
        <f ca="1">G20</f>
        <v>43135</v>
      </c>
      <c r="H21" s="72">
        <v>1450</v>
      </c>
      <c r="I21" s="71">
        <f>I20</f>
        <v>30</v>
      </c>
      <c r="J21" s="74">
        <f>I21/365</f>
        <v>8.2191780821917804E-2</v>
      </c>
      <c r="K21" s="74">
        <v>0.04</v>
      </c>
      <c r="L21" s="75">
        <v>0.32</v>
      </c>
      <c r="M21" s="70">
        <f>_xll.dnetGBlackScholesNGreeks("price",$R21,$Q21,$H21,$J21,$C$3,$K21,$L21,$C$4)*D21</f>
        <v>21.538151565589544</v>
      </c>
      <c r="N21" s="76"/>
      <c r="O21" s="70"/>
      <c r="P21" s="70">
        <f>M21+O21</f>
        <v>21.538151565589544</v>
      </c>
      <c r="Q21" s="72">
        <f>Q20</f>
        <v>1367</v>
      </c>
      <c r="R21" s="71" t="s">
        <v>27</v>
      </c>
      <c r="S21" s="75" t="s">
        <v>151</v>
      </c>
      <c r="T21" s="77"/>
      <c r="U21" s="70">
        <f>_xll.dnetGBlackScholesNGreeks("delta",$R21,$Q21,$H21,$J21,$C$3,$K21,$L21,$C$4)*D21</f>
        <v>0.28793737897672145</v>
      </c>
      <c r="V21" s="70">
        <f>_xll.dnetGBlackScholesNGreeks("vega",$R21,$Q21,$H21,$J21,$C$3,$K21,$L21,$C$4)*D21</f>
        <v>1.3379628059795152</v>
      </c>
    </row>
    <row r="22" spans="1:22" s="228" customFormat="1" ht="13.5">
      <c r="A22" s="240"/>
      <c r="B22" s="78" t="s">
        <v>175</v>
      </c>
      <c r="C22" s="79" t="s">
        <v>160</v>
      </c>
      <c r="D22" s="79"/>
      <c r="E22" s="79" t="str">
        <f>E21</f>
        <v>jm1805</v>
      </c>
      <c r="F22" s="81">
        <f t="shared" ref="F22:G22" ca="1" si="5">F21</f>
        <v>43105</v>
      </c>
      <c r="G22" s="81">
        <f t="shared" ca="1" si="5"/>
        <v>43135</v>
      </c>
      <c r="H22" s="79" t="str">
        <f>H20 &amp; "|" &amp; H21</f>
        <v>1300|1450</v>
      </c>
      <c r="I22" s="79">
        <f>I21</f>
        <v>30</v>
      </c>
      <c r="J22" s="82">
        <f>J21</f>
        <v>8.2191780821917804E-2</v>
      </c>
      <c r="K22" s="82"/>
      <c r="L22" s="79"/>
      <c r="M22" s="78">
        <f>M21+M20</f>
        <v>-6.1709475209125344</v>
      </c>
      <c r="N22" s="79">
        <v>0</v>
      </c>
      <c r="O22" s="78">
        <f>N22/10000*J22*Q22</f>
        <v>0</v>
      </c>
      <c r="P22" s="78">
        <f>IF(M22&lt;=0,ABS(M22)+O22,M22-O22)</f>
        <v>6.1709475209125344</v>
      </c>
      <c r="Q22" s="80">
        <f>Q21</f>
        <v>1367</v>
      </c>
      <c r="R22" s="79"/>
      <c r="S22" s="75" t="s">
        <v>20</v>
      </c>
      <c r="T22" s="83">
        <f>P22/Q22</f>
        <v>4.5142264234912469E-3</v>
      </c>
      <c r="U22" s="83">
        <f>U21+U20</f>
        <v>0.58256064307613542</v>
      </c>
      <c r="V22" s="83">
        <f>V21+V20</f>
        <v>-1.2142942787960465E-2</v>
      </c>
    </row>
    <row r="23" spans="1:22" s="228" customFormat="1" ht="13.5">
      <c r="A23" s="240"/>
      <c r="B23" s="70" t="s">
        <v>173</v>
      </c>
      <c r="C23" s="71" t="s">
        <v>160</v>
      </c>
      <c r="D23" s="71">
        <f>IF(S23="中金买入",1,-1)</f>
        <v>-1</v>
      </c>
      <c r="E23" s="71" t="s">
        <v>204</v>
      </c>
      <c r="F23" s="73">
        <f ca="1">TODAY()</f>
        <v>43105</v>
      </c>
      <c r="G23" s="73">
        <f ca="1">F23+I23</f>
        <v>43135</v>
      </c>
      <c r="H23" s="72">
        <v>1200</v>
      </c>
      <c r="I23" s="71">
        <v>30</v>
      </c>
      <c r="J23" s="74">
        <f>I23/365</f>
        <v>8.2191780821917804E-2</v>
      </c>
      <c r="K23" s="74">
        <v>0</v>
      </c>
      <c r="L23" s="75">
        <v>0.35</v>
      </c>
      <c r="M23" s="70">
        <f>_xll.dnetGBlackScholesNGreeks("price",$R23,$Q23,$H23,$J23,$C$3,$K23,$L23,$C$4)*D23</f>
        <v>-5.8546398719097255</v>
      </c>
      <c r="N23" s="76"/>
      <c r="O23" s="70"/>
      <c r="P23" s="70">
        <f>M23+O23</f>
        <v>-5.8546398719097255</v>
      </c>
      <c r="Q23" s="220">
        <v>1367</v>
      </c>
      <c r="R23" s="71" t="s">
        <v>85</v>
      </c>
      <c r="S23" s="75" t="s">
        <v>20</v>
      </c>
      <c r="T23" s="77"/>
      <c r="U23" s="70">
        <f>_xll.dnetGBlackScholesNGreeks("delta",$R23,$Q23,$H23,$J23,$C$3,$K23,$L23,$C$4)*D23</f>
        <v>8.8570713911906296E-2</v>
      </c>
      <c r="V23" s="70">
        <f>_xll.dnetGBlackScholesNGreeks("vega",$R23,$Q23,$H23,$J23,$C$3,$K23,$L23,$C$4)*D23</f>
        <v>-0.62843080373652782</v>
      </c>
    </row>
    <row r="24" spans="1:22" s="228" customFormat="1" ht="13.5">
      <c r="A24" s="240"/>
      <c r="B24" s="70" t="s">
        <v>174</v>
      </c>
      <c r="C24" s="71" t="s">
        <v>160</v>
      </c>
      <c r="D24" s="71">
        <f>IF(S24="中金买入",1,-1)</f>
        <v>1</v>
      </c>
      <c r="E24" s="71" t="str">
        <f>E23</f>
        <v>jm1805</v>
      </c>
      <c r="F24" s="73">
        <f ca="1">F23</f>
        <v>43105</v>
      </c>
      <c r="G24" s="73">
        <f ca="1">G23</f>
        <v>43135</v>
      </c>
      <c r="H24" s="72">
        <v>1400</v>
      </c>
      <c r="I24" s="71">
        <f>I23</f>
        <v>30</v>
      </c>
      <c r="J24" s="74">
        <f>I24/365</f>
        <v>8.2191780821917804E-2</v>
      </c>
      <c r="K24" s="74">
        <v>0</v>
      </c>
      <c r="L24" s="75">
        <v>0.31</v>
      </c>
      <c r="M24" s="70">
        <f>_xll.dnetGBlackScholesNGreeks("price",$R24,$Q24,$H24,$J24,$C$3,$K24,$L24,$C$4)*D24</f>
        <v>34.234946235757434</v>
      </c>
      <c r="N24" s="76"/>
      <c r="O24" s="70"/>
      <c r="P24" s="70">
        <f>M24+O24</f>
        <v>34.234946235757434</v>
      </c>
      <c r="Q24" s="72">
        <f>Q23</f>
        <v>1367</v>
      </c>
      <c r="R24" s="71" t="s">
        <v>27</v>
      </c>
      <c r="S24" s="75" t="s">
        <v>151</v>
      </c>
      <c r="T24" s="77"/>
      <c r="U24" s="70">
        <f>_xll.dnetGBlackScholesNGreeks("delta",$R24,$Q24,$H24,$J24,$C$3,$K24,$L24,$C$4)*D24</f>
        <v>0.4107181138863325</v>
      </c>
      <c r="V24" s="70">
        <f>_xll.dnetGBlackScholesNGreeks("vega",$R24,$Q24,$H24,$J24,$C$3,$K24,$L24,$C$4)*D24</f>
        <v>1.5221975108376569</v>
      </c>
    </row>
    <row r="25" spans="1:22" s="228" customFormat="1" ht="13.5">
      <c r="A25" s="240"/>
      <c r="B25" s="78" t="s">
        <v>175</v>
      </c>
      <c r="C25" s="79" t="s">
        <v>160</v>
      </c>
      <c r="D25" s="79"/>
      <c r="E25" s="79" t="str">
        <f>E24</f>
        <v>jm1805</v>
      </c>
      <c r="F25" s="81">
        <f t="shared" ref="F25:G25" ca="1" si="6">F24</f>
        <v>43105</v>
      </c>
      <c r="G25" s="81">
        <f t="shared" ca="1" si="6"/>
        <v>43135</v>
      </c>
      <c r="H25" s="79" t="str">
        <f>H23 &amp; "|" &amp; H24</f>
        <v>1200|1400</v>
      </c>
      <c r="I25" s="79">
        <f>I24</f>
        <v>30</v>
      </c>
      <c r="J25" s="82">
        <f>J24</f>
        <v>8.2191780821917804E-2</v>
      </c>
      <c r="K25" s="82"/>
      <c r="L25" s="79"/>
      <c r="M25" s="78">
        <f>M24+M23</f>
        <v>28.380306363847708</v>
      </c>
      <c r="N25" s="79">
        <v>0</v>
      </c>
      <c r="O25" s="78">
        <f>N25/10000*J25*Q25</f>
        <v>0</v>
      </c>
      <c r="P25" s="78">
        <f>IF(M25&lt;=0,ABS(M25)+O25,M25-O25)</f>
        <v>28.380306363847708</v>
      </c>
      <c r="Q25" s="80">
        <f>Q24</f>
        <v>1367</v>
      </c>
      <c r="R25" s="79"/>
      <c r="S25" s="75" t="s">
        <v>20</v>
      </c>
      <c r="T25" s="83">
        <f>P25/Q25</f>
        <v>2.0761014165214125E-2</v>
      </c>
      <c r="U25" s="83">
        <f>U24+U23</f>
        <v>0.4992888277982388</v>
      </c>
      <c r="V25" s="83">
        <f>V24+V23</f>
        <v>0.89376670710112904</v>
      </c>
    </row>
    <row r="26" spans="1:22" s="228" customFormat="1" ht="13.5">
      <c r="A26" s="240"/>
      <c r="B26" s="70" t="s">
        <v>173</v>
      </c>
      <c r="C26" s="71" t="s">
        <v>160</v>
      </c>
      <c r="D26" s="71">
        <f>IF(S26="中金买入",1,-1)</f>
        <v>-1</v>
      </c>
      <c r="E26" s="71" t="s">
        <v>204</v>
      </c>
      <c r="F26" s="73">
        <f ca="1">TODAY()</f>
        <v>43105</v>
      </c>
      <c r="G26" s="73">
        <f ca="1">F26+I26</f>
        <v>43135</v>
      </c>
      <c r="H26" s="72">
        <v>1100</v>
      </c>
      <c r="I26" s="71">
        <v>30</v>
      </c>
      <c r="J26" s="74">
        <f>I26/365</f>
        <v>8.2191780821917804E-2</v>
      </c>
      <c r="K26" s="74">
        <v>0</v>
      </c>
      <c r="L26" s="75">
        <v>0.35</v>
      </c>
      <c r="M26" s="70">
        <f>_xll.dnetGBlackScholesNGreeks("price",$R26,$Q26,$H26,$J26,$C$3,$K26,$L26,$C$4)*D26</f>
        <v>-0.66091326124165306</v>
      </c>
      <c r="N26" s="76"/>
      <c r="O26" s="70"/>
      <c r="P26" s="70">
        <f>M26+O26</f>
        <v>-0.66091326124165306</v>
      </c>
      <c r="Q26" s="220">
        <v>1367</v>
      </c>
      <c r="R26" s="71" t="s">
        <v>85</v>
      </c>
      <c r="S26" s="75" t="s">
        <v>20</v>
      </c>
      <c r="T26" s="77"/>
      <c r="U26" s="70">
        <f>_xll.dnetGBlackScholesNGreeks("delta",$R26,$Q26,$H26,$J26,$C$3,$K26,$L26,$C$4)*D26</f>
        <v>1.3328937093604054E-2</v>
      </c>
      <c r="V26" s="70">
        <f>_xll.dnetGBlackScholesNGreeks("vega",$R26,$Q26,$H26,$J26,$C$3,$K26,$L26,$C$4)*D26</f>
        <v>-0.1341694910725364</v>
      </c>
    </row>
    <row r="27" spans="1:22" s="228" customFormat="1" ht="13.5">
      <c r="A27" s="240"/>
      <c r="B27" s="70" t="s">
        <v>174</v>
      </c>
      <c r="C27" s="71" t="s">
        <v>160</v>
      </c>
      <c r="D27" s="71">
        <f>IF(S27="中金买入",1,-1)</f>
        <v>1</v>
      </c>
      <c r="E27" s="71" t="str">
        <f>E26</f>
        <v>jm1805</v>
      </c>
      <c r="F27" s="73">
        <f ca="1">F26</f>
        <v>43105</v>
      </c>
      <c r="G27" s="73">
        <f ca="1">G26</f>
        <v>43135</v>
      </c>
      <c r="H27" s="72">
        <v>1500</v>
      </c>
      <c r="I27" s="71">
        <f>I26</f>
        <v>30</v>
      </c>
      <c r="J27" s="74">
        <f>I27/365</f>
        <v>8.2191780821917804E-2</v>
      </c>
      <c r="K27" s="74">
        <v>0</v>
      </c>
      <c r="L27" s="75">
        <v>0.31</v>
      </c>
      <c r="M27" s="70">
        <f>_xll.dnetGBlackScholesNGreeks("price",$R27,$Q27,$H27,$J27,$C$3,$K27,$L27,$C$4)*D27</f>
        <v>9.70874914682949</v>
      </c>
      <c r="N27" s="76"/>
      <c r="O27" s="70"/>
      <c r="P27" s="70">
        <f>M27+O27</f>
        <v>9.70874914682949</v>
      </c>
      <c r="Q27" s="72">
        <f>Q26</f>
        <v>1367</v>
      </c>
      <c r="R27" s="71" t="s">
        <v>24</v>
      </c>
      <c r="S27" s="75" t="s">
        <v>151</v>
      </c>
      <c r="T27" s="77"/>
      <c r="U27" s="70">
        <f>_xll.dnetGBlackScholesNGreeks("delta",$R27,$Q27,$H27,$J27,$C$3,$K27,$L27,$C$4)*D27</f>
        <v>0.15833216264837802</v>
      </c>
      <c r="V27" s="70">
        <f>_xll.dnetGBlackScholesNGreeks("vega",$R27,$Q27,$H27,$J27,$C$3,$K27,$L27,$C$4)*D27</f>
        <v>0.9461540283414962</v>
      </c>
    </row>
    <row r="28" spans="1:22" s="228" customFormat="1" ht="14.25" thickBot="1">
      <c r="A28" s="240"/>
      <c r="B28" s="221" t="s">
        <v>175</v>
      </c>
      <c r="C28" s="222" t="s">
        <v>160</v>
      </c>
      <c r="D28" s="222"/>
      <c r="E28" s="222" t="str">
        <f>E27</f>
        <v>jm1805</v>
      </c>
      <c r="F28" s="223">
        <f t="shared" ref="F28:G28" ca="1" si="7">F27</f>
        <v>43105</v>
      </c>
      <c r="G28" s="223">
        <f t="shared" ca="1" si="7"/>
        <v>43135</v>
      </c>
      <c r="H28" s="222" t="str">
        <f>H26 &amp; "|" &amp; H27</f>
        <v>1100|1500</v>
      </c>
      <c r="I28" s="222">
        <f>I27</f>
        <v>30</v>
      </c>
      <c r="J28" s="224">
        <f>J27</f>
        <v>8.2191780821917804E-2</v>
      </c>
      <c r="K28" s="224"/>
      <c r="L28" s="222"/>
      <c r="M28" s="221">
        <f>M27+M26</f>
        <v>9.0478358855878369</v>
      </c>
      <c r="N28" s="222">
        <v>0</v>
      </c>
      <c r="O28" s="221">
        <f>N28/10000*J28*Q28</f>
        <v>0</v>
      </c>
      <c r="P28" s="221">
        <f>IF(M28&lt;=0,ABS(M28)+O28,M28-O28)</f>
        <v>9.0478358855878369</v>
      </c>
      <c r="Q28" s="225">
        <f>Q27</f>
        <v>1367</v>
      </c>
      <c r="R28" s="222"/>
      <c r="S28" s="226" t="s">
        <v>20</v>
      </c>
      <c r="T28" s="227">
        <f>P28/Q28</f>
        <v>6.6187533910664498E-3</v>
      </c>
      <c r="U28" s="227">
        <f>U27+U26</f>
        <v>0.17166109974198207</v>
      </c>
      <c r="V28" s="227">
        <f>V27+V26</f>
        <v>0.81198453726895981</v>
      </c>
    </row>
    <row r="29" spans="1:22" s="251" customFormat="1" ht="13.5">
      <c r="A29" s="241"/>
      <c r="B29" s="242" t="s">
        <v>173</v>
      </c>
      <c r="C29" s="243" t="s">
        <v>160</v>
      </c>
      <c r="D29" s="243">
        <f>IF(S29="中金买入",1,-1)</f>
        <v>-1</v>
      </c>
      <c r="E29" s="243" t="s">
        <v>206</v>
      </c>
      <c r="F29" s="244">
        <f ca="1">TODAY()</f>
        <v>43105</v>
      </c>
      <c r="G29" s="244">
        <f ca="1">F29+I29</f>
        <v>43135</v>
      </c>
      <c r="H29" s="245">
        <v>1400</v>
      </c>
      <c r="I29" s="243">
        <v>30</v>
      </c>
      <c r="J29" s="246">
        <f>I29/365</f>
        <v>8.2191780821917804E-2</v>
      </c>
      <c r="K29" s="246">
        <v>0</v>
      </c>
      <c r="L29" s="247">
        <v>0.36</v>
      </c>
      <c r="M29" s="242">
        <f>_xll.dnetGBlackScholesNGreeks("price",$R29,$Q29,$H29,$J29,$C$3,$K29,$L29,$C$4)*D29</f>
        <v>-2.1055859833895574E-3</v>
      </c>
      <c r="N29" s="248"/>
      <c r="O29" s="242"/>
      <c r="P29" s="242">
        <f>M29+O29</f>
        <v>-2.1055859833895574E-3</v>
      </c>
      <c r="Q29" s="249">
        <v>2090</v>
      </c>
      <c r="R29" s="243" t="s">
        <v>85</v>
      </c>
      <c r="S29" s="247" t="s">
        <v>20</v>
      </c>
      <c r="T29" s="250"/>
      <c r="U29" s="242">
        <f>_xll.dnetGBlackScholesNGreeks("delta",$R29,$Q29,$H29,$J29,$C$3,$K29,$L29,$C$4)*D29</f>
        <v>4.1712587713765847E-5</v>
      </c>
      <c r="V29" s="242">
        <f>_xll.dnetGBlackScholesNGreeks("vega",$R29,$Q29,$H29,$J29,$C$3,$K29,$L29,$C$4)*D29</f>
        <v>-1.0647661964412122E-3</v>
      </c>
    </row>
    <row r="30" spans="1:22" s="228" customFormat="1" ht="13.5">
      <c r="A30" s="252"/>
      <c r="B30" s="70" t="s">
        <v>174</v>
      </c>
      <c r="C30" s="71" t="s">
        <v>160</v>
      </c>
      <c r="D30" s="71">
        <f>IF(S30="中金买入",1,-1)</f>
        <v>1</v>
      </c>
      <c r="E30" s="71" t="str">
        <f>E29</f>
        <v>jm1805</v>
      </c>
      <c r="F30" s="73">
        <f ca="1">F29</f>
        <v>43105</v>
      </c>
      <c r="G30" s="73">
        <f ca="1">G29</f>
        <v>43135</v>
      </c>
      <c r="H30" s="72">
        <v>2200</v>
      </c>
      <c r="I30" s="71">
        <f>I29</f>
        <v>30</v>
      </c>
      <c r="J30" s="74">
        <f>I30/365</f>
        <v>8.2191780821917804E-2</v>
      </c>
      <c r="K30" s="74">
        <v>0.04</v>
      </c>
      <c r="L30" s="75">
        <v>0.32</v>
      </c>
      <c r="M30" s="70">
        <f>_xll.dnetGBlackScholesNGreeks("price",$R30,$Q30,$H30,$J30,$C$3,$K30,$L30,$C$4)*D30</f>
        <v>37.496304095500136</v>
      </c>
      <c r="N30" s="76"/>
      <c r="O30" s="70"/>
      <c r="P30" s="70">
        <f>M30+O30</f>
        <v>37.496304095500136</v>
      </c>
      <c r="Q30" s="72">
        <f>Q29</f>
        <v>2090</v>
      </c>
      <c r="R30" s="71" t="s">
        <v>27</v>
      </c>
      <c r="S30" s="75" t="s">
        <v>151</v>
      </c>
      <c r="T30" s="77"/>
      <c r="U30" s="70">
        <f>_xll.dnetGBlackScholesNGreeks("delta",$R30,$Q30,$H30,$J30,$C$3,$K30,$L30,$C$4)*D30</f>
        <v>0.31705872453358097</v>
      </c>
      <c r="V30" s="70">
        <f>_xll.dnetGBlackScholesNGreeks("vega",$R30,$Q30,$H30,$J30,$C$3,$K30,$L30,$C$4)*D30</f>
        <v>2.1361946380353061</v>
      </c>
    </row>
    <row r="31" spans="1:22" s="228" customFormat="1" ht="13.5">
      <c r="A31" s="252"/>
      <c r="B31" s="78" t="s">
        <v>175</v>
      </c>
      <c r="C31" s="79" t="s">
        <v>160</v>
      </c>
      <c r="D31" s="79"/>
      <c r="E31" s="79" t="str">
        <f>E30</f>
        <v>jm1805</v>
      </c>
      <c r="F31" s="81">
        <f t="shared" ref="F31:G31" ca="1" si="8">F30</f>
        <v>43105</v>
      </c>
      <c r="G31" s="81">
        <f t="shared" ca="1" si="8"/>
        <v>43135</v>
      </c>
      <c r="H31" s="79" t="str">
        <f>H29 &amp; "|" &amp; H30</f>
        <v>1400|2200</v>
      </c>
      <c r="I31" s="79">
        <f>I30</f>
        <v>30</v>
      </c>
      <c r="J31" s="82">
        <f>J30</f>
        <v>8.2191780821917804E-2</v>
      </c>
      <c r="K31" s="82"/>
      <c r="L31" s="79"/>
      <c r="M31" s="78">
        <f>M30+M29</f>
        <v>37.49419850951675</v>
      </c>
      <c r="N31" s="79">
        <v>0</v>
      </c>
      <c r="O31" s="78">
        <f>N31/10000*J31*Q31</f>
        <v>0</v>
      </c>
      <c r="P31" s="78">
        <f>IF(M31&lt;=0,ABS(M31)+O31,M31-O31)</f>
        <v>37.49419850951675</v>
      </c>
      <c r="Q31" s="80">
        <f>Q30</f>
        <v>2090</v>
      </c>
      <c r="R31" s="79"/>
      <c r="S31" s="75" t="s">
        <v>20</v>
      </c>
      <c r="T31" s="83">
        <f>P31/Q31</f>
        <v>1.7939807899290311E-2</v>
      </c>
      <c r="U31" s="83">
        <f>U30+U29</f>
        <v>0.31710043712129476</v>
      </c>
      <c r="V31" s="83">
        <f>V30+V29</f>
        <v>2.1351298718388647</v>
      </c>
    </row>
    <row r="32" spans="1:22" s="228" customFormat="1" ht="13.5">
      <c r="A32" s="252"/>
      <c r="B32" s="70" t="s">
        <v>173</v>
      </c>
      <c r="C32" s="71" t="s">
        <v>160</v>
      </c>
      <c r="D32" s="71">
        <f>IF(S32="中金买入",1,-1)</f>
        <v>-1</v>
      </c>
      <c r="E32" s="71" t="s">
        <v>204</v>
      </c>
      <c r="F32" s="73">
        <f ca="1">TODAY()</f>
        <v>43105</v>
      </c>
      <c r="G32" s="73">
        <f ca="1">F32+I32</f>
        <v>43135</v>
      </c>
      <c r="H32" s="72">
        <v>1600</v>
      </c>
      <c r="I32" s="71">
        <v>30</v>
      </c>
      <c r="J32" s="74">
        <f>I32/365</f>
        <v>8.2191780821917804E-2</v>
      </c>
      <c r="K32" s="74">
        <v>0</v>
      </c>
      <c r="L32" s="75">
        <v>0.35</v>
      </c>
      <c r="M32" s="70">
        <f>_xll.dnetGBlackScholesNGreeks("price",$R32,$Q32,$H32,$J32,$C$3,$K32,$L32,$C$4)*D32</f>
        <v>-0.21917176218172063</v>
      </c>
      <c r="N32" s="76"/>
      <c r="O32" s="70"/>
      <c r="P32" s="70">
        <f>M32+O32</f>
        <v>-0.21917176218172063</v>
      </c>
      <c r="Q32" s="220">
        <v>2090</v>
      </c>
      <c r="R32" s="71" t="s">
        <v>85</v>
      </c>
      <c r="S32" s="75" t="s">
        <v>20</v>
      </c>
      <c r="T32" s="77"/>
      <c r="U32" s="70">
        <f>_xll.dnetGBlackScholesNGreeks("delta",$R32,$Q32,$H32,$J32,$C$3,$K32,$L32,$C$4)*D32</f>
        <v>3.3316683212714082E-3</v>
      </c>
      <c r="V32" s="70">
        <f>_xll.dnetGBlackScholesNGreeks("vega",$R32,$Q32,$H32,$J32,$C$3,$K32,$L32,$C$4)*D32</f>
        <v>-6.0473375657124073E-2</v>
      </c>
    </row>
    <row r="33" spans="1:22" s="228" customFormat="1" ht="13.5">
      <c r="A33" s="252"/>
      <c r="B33" s="70" t="s">
        <v>174</v>
      </c>
      <c r="C33" s="71" t="s">
        <v>160</v>
      </c>
      <c r="D33" s="71">
        <f>IF(S33="中金买入",1,-1)</f>
        <v>1</v>
      </c>
      <c r="E33" s="71" t="str">
        <f>E32</f>
        <v>jm1805</v>
      </c>
      <c r="F33" s="73">
        <f ca="1">F32</f>
        <v>43105</v>
      </c>
      <c r="G33" s="73">
        <f ca="1">G32</f>
        <v>43135</v>
      </c>
      <c r="H33" s="72">
        <v>2300</v>
      </c>
      <c r="I33" s="71">
        <f>I32</f>
        <v>30</v>
      </c>
      <c r="J33" s="74">
        <f>I33/365</f>
        <v>8.2191780821917804E-2</v>
      </c>
      <c r="K33" s="74">
        <v>0</v>
      </c>
      <c r="L33" s="75">
        <v>0.31</v>
      </c>
      <c r="M33" s="70">
        <f>_xll.dnetGBlackScholesNGreeks("price",$R33,$Q33,$H33,$J33,$C$3,$K33,$L33,$C$4)*D33</f>
        <v>13.949821252189622</v>
      </c>
      <c r="N33" s="76"/>
      <c r="O33" s="70"/>
      <c r="P33" s="70">
        <f>M33+O33</f>
        <v>13.949821252189622</v>
      </c>
      <c r="Q33" s="72">
        <f>Q32</f>
        <v>2090</v>
      </c>
      <c r="R33" s="71" t="s">
        <v>27</v>
      </c>
      <c r="S33" s="75" t="s">
        <v>151</v>
      </c>
      <c r="T33" s="77"/>
      <c r="U33" s="70">
        <f>_xll.dnetGBlackScholesNGreeks("delta",$R33,$Q33,$H33,$J33,$C$3,$K33,$L33,$C$4)*D33</f>
        <v>0.15058408342270013</v>
      </c>
      <c r="V33" s="70">
        <f>_xll.dnetGBlackScholesNGreeks("vega",$R33,$Q33,$H33,$J33,$C$3,$K33,$L33,$C$4)*D33</f>
        <v>1.3993848808816267</v>
      </c>
    </row>
    <row r="34" spans="1:22" s="228" customFormat="1" ht="13.5">
      <c r="A34" s="252"/>
      <c r="B34" s="78" t="s">
        <v>175</v>
      </c>
      <c r="C34" s="79" t="s">
        <v>160</v>
      </c>
      <c r="D34" s="79"/>
      <c r="E34" s="79" t="str">
        <f>E33</f>
        <v>jm1805</v>
      </c>
      <c r="F34" s="81">
        <f t="shared" ref="F34:G34" ca="1" si="9">F33</f>
        <v>43105</v>
      </c>
      <c r="G34" s="81">
        <f t="shared" ca="1" si="9"/>
        <v>43135</v>
      </c>
      <c r="H34" s="79" t="str">
        <f>H32 &amp; "|" &amp; H33</f>
        <v>1600|2300</v>
      </c>
      <c r="I34" s="79">
        <f>I33</f>
        <v>30</v>
      </c>
      <c r="J34" s="82">
        <f>J33</f>
        <v>8.2191780821917804E-2</v>
      </c>
      <c r="K34" s="82"/>
      <c r="L34" s="79"/>
      <c r="M34" s="78">
        <f>M33+M32</f>
        <v>13.730649490007902</v>
      </c>
      <c r="N34" s="79">
        <v>0</v>
      </c>
      <c r="O34" s="78">
        <f>N34/10000*J34*Q34</f>
        <v>0</v>
      </c>
      <c r="P34" s="78">
        <f>IF(M34&lt;=0,ABS(M34)+O34,M34-O34)</f>
        <v>13.730649490007902</v>
      </c>
      <c r="Q34" s="80">
        <f>Q33</f>
        <v>2090</v>
      </c>
      <c r="R34" s="79"/>
      <c r="S34" s="75" t="s">
        <v>20</v>
      </c>
      <c r="T34" s="83">
        <f>P34/Q34</f>
        <v>6.5696887511999535E-3</v>
      </c>
      <c r="U34" s="83">
        <f>U33+U32</f>
        <v>0.15391575174397154</v>
      </c>
      <c r="V34" s="83">
        <f>V33+V32</f>
        <v>1.3389115052245026</v>
      </c>
    </row>
    <row r="35" spans="1:22" s="228" customFormat="1" ht="13.5">
      <c r="A35" s="252"/>
      <c r="B35" s="70" t="s">
        <v>173</v>
      </c>
      <c r="C35" s="71" t="s">
        <v>160</v>
      </c>
      <c r="D35" s="71">
        <f>IF(S35="中金买入",1,-1)</f>
        <v>-1</v>
      </c>
      <c r="E35" s="71" t="s">
        <v>204</v>
      </c>
      <c r="F35" s="73">
        <f ca="1">TODAY()</f>
        <v>43105</v>
      </c>
      <c r="G35" s="73">
        <f ca="1">F35+I35</f>
        <v>43135</v>
      </c>
      <c r="H35" s="72">
        <v>1700</v>
      </c>
      <c r="I35" s="71">
        <v>30</v>
      </c>
      <c r="J35" s="74">
        <f>I35/365</f>
        <v>8.2191780821917804E-2</v>
      </c>
      <c r="K35" s="74">
        <v>0</v>
      </c>
      <c r="L35" s="75">
        <v>0.35</v>
      </c>
      <c r="M35" s="70">
        <f>_xll.dnetGBlackScholesNGreeks("price",$R35,$Q35,$H35,$J35,$C$3,$K35,$L35,$C$4)*D35</f>
        <v>-1.3680553462045992</v>
      </c>
      <c r="N35" s="76"/>
      <c r="O35" s="70"/>
      <c r="P35" s="70">
        <f>M35+O35</f>
        <v>-1.3680553462045992</v>
      </c>
      <c r="Q35" s="220">
        <v>2090</v>
      </c>
      <c r="R35" s="71" t="s">
        <v>85</v>
      </c>
      <c r="S35" s="75" t="s">
        <v>20</v>
      </c>
      <c r="T35" s="77"/>
      <c r="U35" s="70">
        <f>_xll.dnetGBlackScholesNGreeks("delta",$R35,$Q35,$H35,$J35,$C$3,$K35,$L35,$C$4)*D35</f>
        <v>1.7465489847268145E-2</v>
      </c>
      <c r="V35" s="70">
        <f>_xll.dnetGBlackScholesNGreeks("vega",$R35,$Q35,$H35,$J35,$C$3,$K35,$L35,$C$4)*D35</f>
        <v>-0.2586335713844985</v>
      </c>
    </row>
    <row r="36" spans="1:22" s="228" customFormat="1" ht="13.5">
      <c r="A36" s="252"/>
      <c r="B36" s="70" t="s">
        <v>174</v>
      </c>
      <c r="C36" s="71" t="s">
        <v>160</v>
      </c>
      <c r="D36" s="71">
        <f>IF(S36="中金买入",1,-1)</f>
        <v>1</v>
      </c>
      <c r="E36" s="71" t="str">
        <f>E35</f>
        <v>jm1805</v>
      </c>
      <c r="F36" s="73">
        <f ca="1">F35</f>
        <v>43105</v>
      </c>
      <c r="G36" s="73">
        <f ca="1">G35</f>
        <v>43135</v>
      </c>
      <c r="H36" s="72">
        <v>2400</v>
      </c>
      <c r="I36" s="71">
        <f>I35</f>
        <v>30</v>
      </c>
      <c r="J36" s="74">
        <f>I36/365</f>
        <v>8.2191780821917804E-2</v>
      </c>
      <c r="K36" s="74">
        <v>0</v>
      </c>
      <c r="L36" s="75">
        <v>0.31</v>
      </c>
      <c r="M36" s="70">
        <f>_xll.dnetGBlackScholesNGreeks("price",$R36,$Q36,$H36,$J36,$C$3,$K36,$L36,$C$4)*D36</f>
        <v>5.1137420814453947</v>
      </c>
      <c r="N36" s="76"/>
      <c r="O36" s="70"/>
      <c r="P36" s="70">
        <f>M36+O36</f>
        <v>5.1137420814453947</v>
      </c>
      <c r="Q36" s="72">
        <f>Q35</f>
        <v>2090</v>
      </c>
      <c r="R36" s="71" t="s">
        <v>24</v>
      </c>
      <c r="S36" s="75" t="s">
        <v>151</v>
      </c>
      <c r="T36" s="77"/>
      <c r="U36" s="70">
        <f>_xll.dnetGBlackScholesNGreeks("delta",$R36,$Q36,$H36,$J36,$C$3,$K36,$L36,$C$4)*D36</f>
        <v>6.5191874335823741E-2</v>
      </c>
      <c r="V36" s="70">
        <f>_xll.dnetGBlackScholesNGreeks("vega",$R36,$Q36,$H36,$J36,$C$3,$K36,$L36,$C$4)*D36</f>
        <v>0.76100386750211868</v>
      </c>
    </row>
    <row r="37" spans="1:22" s="261" customFormat="1" ht="14.25" thickBot="1">
      <c r="A37" s="253"/>
      <c r="B37" s="254" t="s">
        <v>175</v>
      </c>
      <c r="C37" s="255" t="s">
        <v>160</v>
      </c>
      <c r="D37" s="255"/>
      <c r="E37" s="255" t="str">
        <f>E36</f>
        <v>jm1805</v>
      </c>
      <c r="F37" s="256">
        <f t="shared" ref="F37:G37" ca="1" si="10">F36</f>
        <v>43105</v>
      </c>
      <c r="G37" s="256">
        <f t="shared" ca="1" si="10"/>
        <v>43135</v>
      </c>
      <c r="H37" s="255" t="str">
        <f>H35 &amp; "|" &amp; H36</f>
        <v>1700|2400</v>
      </c>
      <c r="I37" s="255">
        <f>I36</f>
        <v>30</v>
      </c>
      <c r="J37" s="257">
        <f>J36</f>
        <v>8.2191780821917804E-2</v>
      </c>
      <c r="K37" s="257"/>
      <c r="L37" s="255"/>
      <c r="M37" s="254">
        <f>M36+M35</f>
        <v>3.7456867352407954</v>
      </c>
      <c r="N37" s="255">
        <v>0</v>
      </c>
      <c r="O37" s="254">
        <f>N37/10000*J37*Q37</f>
        <v>0</v>
      </c>
      <c r="P37" s="254">
        <f>IF(M37&lt;=0,ABS(M37)+O37,M37-O37)</f>
        <v>3.7456867352407954</v>
      </c>
      <c r="Q37" s="258">
        <f>Q36</f>
        <v>2090</v>
      </c>
      <c r="R37" s="255"/>
      <c r="S37" s="259" t="s">
        <v>20</v>
      </c>
      <c r="T37" s="260">
        <f>P37/Q37</f>
        <v>1.79219461016306E-3</v>
      </c>
      <c r="U37" s="260">
        <f>U36+U35</f>
        <v>8.2657364183091886E-2</v>
      </c>
      <c r="V37" s="260">
        <f>V36+V35</f>
        <v>0.50237029611762019</v>
      </c>
    </row>
    <row r="38" spans="1:22">
      <c r="B38" s="45"/>
      <c r="C38" s="40"/>
      <c r="D38" s="40"/>
      <c r="E38" s="40"/>
      <c r="F38" s="42"/>
      <c r="G38" s="42"/>
      <c r="H38" s="40"/>
      <c r="I38" s="40"/>
      <c r="J38" s="43"/>
      <c r="K38" s="43"/>
      <c r="L38" s="44"/>
      <c r="M38" s="45"/>
      <c r="N38" s="46"/>
      <c r="O38" s="45"/>
      <c r="P38" s="45"/>
      <c r="Q38" s="41"/>
      <c r="R38" s="40"/>
      <c r="S38" s="44"/>
      <c r="T38" s="47"/>
      <c r="U38" s="45"/>
      <c r="V38" s="45"/>
    </row>
    <row r="39" spans="1:22">
      <c r="B39" s="45"/>
      <c r="C39" s="40"/>
      <c r="D39" s="40"/>
      <c r="E39" s="40"/>
      <c r="F39" s="42"/>
      <c r="G39" s="42"/>
      <c r="H39" s="40"/>
      <c r="I39" s="40"/>
      <c r="J39" s="43"/>
      <c r="K39" s="43"/>
      <c r="L39" s="44"/>
      <c r="M39" s="45"/>
      <c r="N39" s="46"/>
      <c r="O39" s="45"/>
      <c r="P39" s="45"/>
      <c r="Q39" s="41"/>
      <c r="R39" s="40"/>
      <c r="S39" s="44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O9" sqref="O9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32" t="s">
        <v>38</v>
      </c>
      <c r="C1" s="132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53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3792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55">
        <v>0.02</v>
      </c>
      <c r="M8" s="21">
        <f ca="1">TODAY()</f>
        <v>43105</v>
      </c>
      <c r="N8" s="21">
        <f ca="1">M8+O8</f>
        <v>43135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-52.021006405340245</v>
      </c>
      <c r="T8" s="25">
        <v>80</v>
      </c>
      <c r="U8" s="24">
        <f>T8/10000*P8*H8</f>
        <v>2.4933698630136987</v>
      </c>
      <c r="V8" s="24">
        <f>IF(S8&lt;=0,ABS(S8)+U8,S8-U8)</f>
        <v>54.514376268353942</v>
      </c>
      <c r="W8" s="26">
        <f>V8/H8</f>
        <v>1.4376154079207263E-2</v>
      </c>
      <c r="X8" s="24">
        <f>_xll.dnetStandardBarrierNGreeks("delta",G8,H8,I8,K8,L8*H8,P8,$C$3,Q8,R8,$C$4)</f>
        <v>0.16962674945304457</v>
      </c>
      <c r="Y8" s="24">
        <f>_xll.dnetStandardBarrierNGreeks("vega",G8,H8,I8,K8,L8*H8,P8,$C$3,Q8,R8,$C$4)</f>
        <v>0.65681556625705895</v>
      </c>
    </row>
    <row r="9" spans="1:25">
      <c r="A9" s="53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56">
        <v>5.0000000000000001E-3</v>
      </c>
      <c r="M9" s="8">
        <f ca="1">TODAY()</f>
        <v>43105</v>
      </c>
      <c r="N9" s="8">
        <f ca="1">M9+O9</f>
        <v>43285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56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56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56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85">
        <v>43087</v>
      </c>
      <c r="B1" s="86"/>
      <c r="C1" s="87" t="s">
        <v>49</v>
      </c>
      <c r="D1" s="86"/>
      <c r="E1" s="87" t="s">
        <v>50</v>
      </c>
      <c r="F1" s="88"/>
    </row>
    <row r="2" spans="1:6" ht="15.75" thickBot="1">
      <c r="A2" s="89" t="s">
        <v>51</v>
      </c>
      <c r="B2" s="90" t="s">
        <v>52</v>
      </c>
      <c r="C2" s="91" t="s">
        <v>53</v>
      </c>
      <c r="D2" s="91" t="s">
        <v>54</v>
      </c>
      <c r="E2" s="91" t="s">
        <v>55</v>
      </c>
      <c r="F2" s="92" t="s">
        <v>56</v>
      </c>
    </row>
    <row r="3" spans="1:6" ht="15.75" thickBot="1">
      <c r="A3" s="93" t="s">
        <v>57</v>
      </c>
      <c r="B3" s="94" t="s">
        <v>58</v>
      </c>
      <c r="C3" s="95">
        <v>0.20499999999999999</v>
      </c>
      <c r="D3" s="95">
        <v>0.25</v>
      </c>
      <c r="E3" s="95">
        <v>0.21</v>
      </c>
      <c r="F3" s="97">
        <v>0.25</v>
      </c>
    </row>
    <row r="4" spans="1:6" ht="15.75" thickBot="1">
      <c r="A4" s="89" t="s">
        <v>59</v>
      </c>
      <c r="B4" s="90" t="s">
        <v>60</v>
      </c>
      <c r="C4" s="98">
        <v>0.13750000000000001</v>
      </c>
      <c r="D4" s="98">
        <v>0.1825</v>
      </c>
      <c r="E4" s="98">
        <v>0.14499999999999999</v>
      </c>
      <c r="F4" s="99">
        <v>0.185</v>
      </c>
    </row>
    <row r="5" spans="1:6" ht="15.75" thickBot="1">
      <c r="A5" s="93" t="s">
        <v>61</v>
      </c>
      <c r="B5" s="94" t="s">
        <v>62</v>
      </c>
      <c r="C5" s="96"/>
      <c r="D5" s="96"/>
      <c r="E5" s="96"/>
      <c r="F5" s="100"/>
    </row>
    <row r="6" spans="1:6" ht="15.75" thickBot="1">
      <c r="A6" s="89" t="s">
        <v>63</v>
      </c>
      <c r="B6" s="90" t="s">
        <v>64</v>
      </c>
      <c r="C6" s="101">
        <v>0.29499999999999998</v>
      </c>
      <c r="D6" s="101">
        <v>0.35499999999999998</v>
      </c>
      <c r="E6" s="101">
        <v>0.26500000000000001</v>
      </c>
      <c r="F6" s="102">
        <v>0.315</v>
      </c>
    </row>
    <row r="7" spans="1:6" ht="15.75" thickBot="1">
      <c r="A7" s="93" t="s">
        <v>65</v>
      </c>
      <c r="B7" s="94" t="s">
        <v>66</v>
      </c>
      <c r="C7" s="95">
        <v>0.15</v>
      </c>
      <c r="D7" s="95">
        <v>0.19</v>
      </c>
      <c r="E7" s="95">
        <v>0.155</v>
      </c>
      <c r="F7" s="97">
        <v>0.19</v>
      </c>
    </row>
    <row r="8" spans="1:6" ht="15.75" thickBot="1">
      <c r="A8" s="89" t="s">
        <v>67</v>
      </c>
      <c r="B8" s="90" t="s">
        <v>68</v>
      </c>
      <c r="C8" s="101">
        <v>0.32</v>
      </c>
      <c r="D8" s="101">
        <v>0.44</v>
      </c>
      <c r="E8" s="101">
        <v>0.32</v>
      </c>
      <c r="F8" s="102">
        <v>0.42</v>
      </c>
    </row>
    <row r="9" spans="1:6" ht="15.75" thickBot="1">
      <c r="A9" s="93" t="s">
        <v>69</v>
      </c>
      <c r="B9" s="94" t="s">
        <v>70</v>
      </c>
      <c r="C9" s="95">
        <v>0.32</v>
      </c>
      <c r="D9" s="95">
        <v>0.44</v>
      </c>
      <c r="E9" s="95">
        <v>0.32</v>
      </c>
      <c r="F9" s="97">
        <v>0.42</v>
      </c>
    </row>
    <row r="10" spans="1:6" ht="15.75" thickBot="1">
      <c r="A10" s="89" t="s">
        <v>71</v>
      </c>
      <c r="B10" s="90" t="s">
        <v>72</v>
      </c>
      <c r="C10" s="101">
        <v>0.24</v>
      </c>
      <c r="D10" s="101">
        <v>0.32</v>
      </c>
      <c r="E10" s="101">
        <v>0.27</v>
      </c>
      <c r="F10" s="102">
        <v>0.34</v>
      </c>
    </row>
    <row r="11" spans="1:6" ht="15.75" thickBot="1">
      <c r="A11" s="93" t="s">
        <v>73</v>
      </c>
      <c r="B11" s="94" t="s">
        <v>74</v>
      </c>
      <c r="C11" s="95">
        <v>0.32250000000000001</v>
      </c>
      <c r="D11" s="95">
        <v>0.39750000000000002</v>
      </c>
      <c r="E11" s="95">
        <v>0.32500000000000001</v>
      </c>
      <c r="F11" s="97">
        <v>0.39500000000000002</v>
      </c>
    </row>
    <row r="12" spans="1:6" ht="15.75" thickBot="1">
      <c r="A12" s="89" t="s">
        <v>75</v>
      </c>
      <c r="B12" s="90" t="s">
        <v>76</v>
      </c>
      <c r="C12" s="101">
        <v>0.215</v>
      </c>
      <c r="D12" s="101">
        <v>0.28499999999999998</v>
      </c>
      <c r="E12" s="101">
        <v>0.23499999999999999</v>
      </c>
      <c r="F12" s="102">
        <v>0.30499999999999999</v>
      </c>
    </row>
    <row r="13" spans="1:6" ht="15.75" thickBot="1">
      <c r="A13" s="93" t="s">
        <v>77</v>
      </c>
      <c r="B13" s="94" t="s">
        <v>78</v>
      </c>
      <c r="C13" s="95">
        <v>9.2499999999999999E-2</v>
      </c>
      <c r="D13" s="95">
        <v>0.1225</v>
      </c>
      <c r="E13" s="95">
        <v>0.1</v>
      </c>
      <c r="F13" s="97">
        <v>0.13</v>
      </c>
    </row>
    <row r="14" spans="1:6" ht="15.75" thickBot="1">
      <c r="A14" s="89" t="s">
        <v>79</v>
      </c>
      <c r="B14" s="90" t="s">
        <v>80</v>
      </c>
      <c r="C14" s="98">
        <v>0.11</v>
      </c>
      <c r="D14" s="98">
        <v>0.17</v>
      </c>
      <c r="E14" s="98">
        <v>0.14499999999999999</v>
      </c>
      <c r="F14" s="99">
        <v>0.19500000000000001</v>
      </c>
    </row>
    <row r="15" spans="1:6" ht="15.75" thickBot="1">
      <c r="A15" s="93" t="s">
        <v>81</v>
      </c>
      <c r="B15" s="94" t="s">
        <v>82</v>
      </c>
      <c r="C15" s="96"/>
      <c r="D15" s="96"/>
      <c r="E15" s="96"/>
      <c r="F15" s="100"/>
    </row>
    <row r="16" spans="1:6" ht="15.75" thickBot="1">
      <c r="A16" s="89" t="s">
        <v>83</v>
      </c>
      <c r="B16" s="90" t="s">
        <v>84</v>
      </c>
      <c r="C16" s="101">
        <v>0.13</v>
      </c>
      <c r="D16" s="101">
        <v>0.19</v>
      </c>
      <c r="E16" s="101">
        <v>0.185</v>
      </c>
      <c r="F16" s="102">
        <v>0.23499999999999999</v>
      </c>
    </row>
    <row r="17" spans="1:6" ht="15.75" thickBot="1">
      <c r="A17" s="93" t="s">
        <v>85</v>
      </c>
      <c r="B17" s="94" t="s">
        <v>86</v>
      </c>
      <c r="C17" s="103">
        <v>0.14749999999999999</v>
      </c>
      <c r="D17" s="103">
        <v>0.19750000000000001</v>
      </c>
      <c r="E17" s="103">
        <v>0.16</v>
      </c>
      <c r="F17" s="104">
        <v>0.21</v>
      </c>
    </row>
    <row r="18" spans="1:6" ht="15.75" thickBot="1">
      <c r="A18" s="89" t="s">
        <v>87</v>
      </c>
      <c r="B18" s="90" t="s">
        <v>88</v>
      </c>
      <c r="C18" s="105"/>
      <c r="D18" s="105"/>
      <c r="E18" s="105"/>
      <c r="F18" s="106"/>
    </row>
    <row r="19" spans="1:6" ht="15.75" thickBot="1">
      <c r="A19" s="93" t="s">
        <v>89</v>
      </c>
      <c r="B19" s="94" t="s">
        <v>90</v>
      </c>
      <c r="C19" s="96"/>
      <c r="D19" s="96"/>
      <c r="E19" s="96"/>
      <c r="F19" s="100"/>
    </row>
    <row r="20" spans="1:6" ht="15.75" thickBot="1">
      <c r="A20" s="89" t="s">
        <v>91</v>
      </c>
      <c r="B20" s="90" t="s">
        <v>92</v>
      </c>
      <c r="C20" s="98">
        <v>0.09</v>
      </c>
      <c r="D20" s="98">
        <v>0.17</v>
      </c>
      <c r="E20" s="98">
        <v>0.11</v>
      </c>
      <c r="F20" s="99">
        <v>0.19</v>
      </c>
    </row>
    <row r="21" spans="1:6" ht="15.75" thickBot="1">
      <c r="A21" s="93" t="s">
        <v>93</v>
      </c>
      <c r="B21" s="94" t="s">
        <v>94</v>
      </c>
      <c r="C21" s="96"/>
      <c r="D21" s="96"/>
      <c r="E21" s="96"/>
      <c r="F21" s="100"/>
    </row>
    <row r="22" spans="1:6" ht="15.75" thickBot="1">
      <c r="A22" s="89" t="s">
        <v>95</v>
      </c>
      <c r="B22" s="90" t="s">
        <v>96</v>
      </c>
      <c r="C22" s="101">
        <v>0.12</v>
      </c>
      <c r="D22" s="101">
        <v>0.16</v>
      </c>
      <c r="E22" s="101">
        <v>0.13500000000000001</v>
      </c>
      <c r="F22" s="102">
        <v>0.17</v>
      </c>
    </row>
    <row r="23" spans="1:6" ht="15.75" thickBot="1">
      <c r="A23" s="93" t="s">
        <v>97</v>
      </c>
      <c r="B23" s="94" t="s">
        <v>98</v>
      </c>
      <c r="C23" s="95">
        <v>0.12</v>
      </c>
      <c r="D23" s="95">
        <v>0.16</v>
      </c>
      <c r="E23" s="95">
        <v>0.13500000000000001</v>
      </c>
      <c r="F23" s="97">
        <v>0.17499999999999999</v>
      </c>
    </row>
    <row r="24" spans="1:6" ht="15.75" thickBot="1">
      <c r="A24" s="89" t="s">
        <v>39</v>
      </c>
      <c r="B24" s="90" t="s">
        <v>99</v>
      </c>
      <c r="C24" s="101">
        <v>7.7499999999999999E-2</v>
      </c>
      <c r="D24" s="101">
        <v>0.1225</v>
      </c>
      <c r="E24" s="101">
        <v>8.5000000000000006E-2</v>
      </c>
      <c r="F24" s="102">
        <v>0.125</v>
      </c>
    </row>
    <row r="25" spans="1:6" ht="15.75" thickBot="1">
      <c r="A25" s="93" t="s">
        <v>100</v>
      </c>
      <c r="B25" s="94" t="s">
        <v>101</v>
      </c>
      <c r="C25" s="95">
        <v>0.1</v>
      </c>
      <c r="D25" s="95">
        <v>0.15</v>
      </c>
      <c r="E25" s="95">
        <v>0.105</v>
      </c>
      <c r="F25" s="97">
        <v>0.155</v>
      </c>
    </row>
    <row r="26" spans="1:6" ht="15.75" thickBot="1">
      <c r="A26" s="89" t="s">
        <v>102</v>
      </c>
      <c r="B26" s="90" t="s">
        <v>103</v>
      </c>
      <c r="C26" s="98">
        <v>0.2</v>
      </c>
      <c r="D26" s="98">
        <v>0.28000000000000003</v>
      </c>
      <c r="E26" s="98">
        <v>0.2</v>
      </c>
      <c r="F26" s="99">
        <v>0.27</v>
      </c>
    </row>
    <row r="27" spans="1:6" ht="15.75" thickBot="1">
      <c r="A27" s="93" t="s">
        <v>104</v>
      </c>
      <c r="B27" s="94" t="s">
        <v>105</v>
      </c>
      <c r="C27" s="107"/>
      <c r="D27" s="107"/>
      <c r="E27" s="107"/>
      <c r="F27" s="108"/>
    </row>
    <row r="28" spans="1:6" ht="15.75" thickBot="1">
      <c r="A28" s="89" t="s">
        <v>106</v>
      </c>
      <c r="B28" s="90" t="s">
        <v>107</v>
      </c>
      <c r="C28" s="109"/>
      <c r="D28" s="109"/>
      <c r="E28" s="109"/>
      <c r="F28" s="110"/>
    </row>
    <row r="29" spans="1:6" ht="15.75" thickBot="1">
      <c r="A29" s="93" t="s">
        <v>108</v>
      </c>
      <c r="B29" s="94" t="s">
        <v>109</v>
      </c>
      <c r="C29" s="95">
        <v>0.23250000000000001</v>
      </c>
      <c r="D29" s="95">
        <v>0.28749999999999998</v>
      </c>
      <c r="E29" s="95">
        <v>0.22</v>
      </c>
      <c r="F29" s="97">
        <v>0.27</v>
      </c>
    </row>
    <row r="30" spans="1:6" ht="15.75" thickBot="1">
      <c r="A30" s="89" t="s">
        <v>110</v>
      </c>
      <c r="B30" s="90" t="s">
        <v>111</v>
      </c>
      <c r="C30" s="98">
        <v>0.19</v>
      </c>
      <c r="D30" s="98">
        <v>0.23</v>
      </c>
      <c r="E30" s="98">
        <v>0.2</v>
      </c>
      <c r="F30" s="99">
        <v>0.24</v>
      </c>
    </row>
    <row r="31" spans="1:6" ht="15.75" thickBot="1">
      <c r="A31" s="93" t="s">
        <v>112</v>
      </c>
      <c r="B31" s="94" t="s">
        <v>113</v>
      </c>
      <c r="C31" s="96"/>
      <c r="D31" s="96"/>
      <c r="E31" s="96"/>
      <c r="F31" s="100"/>
    </row>
    <row r="32" spans="1:6" ht="15.75" thickBot="1">
      <c r="A32" s="89" t="s">
        <v>114</v>
      </c>
      <c r="B32" s="90" t="s">
        <v>115</v>
      </c>
      <c r="C32" s="101">
        <v>0.3</v>
      </c>
      <c r="D32" s="101">
        <v>0.4</v>
      </c>
      <c r="E32" s="101">
        <v>0.30499999999999999</v>
      </c>
      <c r="F32" s="102">
        <v>0.39500000000000002</v>
      </c>
    </row>
    <row r="33" spans="1:6" ht="15.75" thickBot="1">
      <c r="A33" s="93" t="s">
        <v>116</v>
      </c>
      <c r="B33" s="94" t="s">
        <v>117</v>
      </c>
      <c r="C33" s="95">
        <v>0.1225</v>
      </c>
      <c r="D33" s="95">
        <v>0.16250000000000001</v>
      </c>
      <c r="E33" s="95">
        <v>0.13</v>
      </c>
      <c r="F33" s="97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36" t="s">
        <v>37</v>
      </c>
      <c r="C1" s="136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3792</v>
      </c>
      <c r="I8" s="19">
        <v>3800</v>
      </c>
      <c r="J8" s="21">
        <f ca="1">TODAY()</f>
        <v>43105</v>
      </c>
      <c r="K8" s="21">
        <f ca="1">J8+L8</f>
        <v>43135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127.62511030352152</v>
      </c>
      <c r="P8" s="25">
        <v>80</v>
      </c>
      <c r="Q8" s="24">
        <f>P8/10000*M8*H8*(-E8)</f>
        <v>2.4933698630136987</v>
      </c>
      <c r="R8" s="24">
        <f>O8+Q8</f>
        <v>130.11848016653522</v>
      </c>
      <c r="S8" s="26">
        <f>R8/H8</f>
        <v>3.4313945191596841E-2</v>
      </c>
      <c r="T8" s="24">
        <f>_xll.dnetGBlackScholesNGreeks("delta",$G8,$H8,$I8,$M8,$C$3,$C$4,$N8,$C$4)</f>
        <v>0.51077147589921879</v>
      </c>
      <c r="U8" s="24">
        <f>_xll.dnetGBlackScholesNGreeks("vega",$G8,$H8,$I8,$M8,$C$3,$C$4,$N8)</f>
        <v>4.3317611448906064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43105</v>
      </c>
      <c r="K9" s="8">
        <f ca="1">J9+L9</f>
        <v>43135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43105</v>
      </c>
      <c r="K10" s="8">
        <f ca="1">J10+L10</f>
        <v>43135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2018-01-05T15:32:22Z</dcterms:modified>
</cp:coreProperties>
</file>