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1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66" i="1" l="1"/>
  <c r="I66" i="1"/>
  <c r="N66" i="1" s="1"/>
  <c r="E66" i="1"/>
  <c r="F66" i="1" s="1"/>
  <c r="V66" i="1"/>
  <c r="X69" i="1" l="1"/>
  <c r="R65" i="1"/>
  <c r="I65" i="1"/>
  <c r="E65" i="1"/>
  <c r="F65" i="1" s="1"/>
  <c r="U66" i="1"/>
  <c r="L65" i="1"/>
  <c r="L66" i="1"/>
  <c r="O66" i="1" l="1"/>
  <c r="T66" i="1" s="1"/>
  <c r="Y66" i="1"/>
  <c r="P67" i="1"/>
  <c r="N65" i="1"/>
  <c r="O65" i="1" s="1"/>
  <c r="T65" i="1" s="1"/>
  <c r="U65" i="1"/>
  <c r="V65" i="1"/>
  <c r="Y65" i="1" l="1"/>
  <c r="R63" i="1" l="1"/>
  <c r="I63" i="1"/>
  <c r="N63" i="1" s="1"/>
  <c r="E63" i="1"/>
  <c r="F63" i="1" s="1"/>
  <c r="L63" i="1"/>
  <c r="O68" i="1" l="1"/>
  <c r="U63" i="1"/>
  <c r="V63" i="1"/>
  <c r="Y63" i="1" l="1"/>
  <c r="O63" i="1"/>
  <c r="T63" i="1" s="1"/>
  <c r="R61" i="1" l="1"/>
  <c r="I61" i="1"/>
  <c r="E61" i="1"/>
  <c r="F61" i="1" s="1"/>
  <c r="R59" i="1"/>
  <c r="I59" i="1"/>
  <c r="E59" i="1"/>
  <c r="F59" i="1" s="1"/>
  <c r="R58" i="1"/>
  <c r="I58" i="1"/>
  <c r="E58" i="1"/>
  <c r="F58" i="1" s="1"/>
  <c r="P59" i="1"/>
  <c r="P58" i="1"/>
  <c r="P61" i="1"/>
  <c r="N61" i="1" l="1"/>
  <c r="G58" i="1"/>
  <c r="G59" i="1"/>
  <c r="N59" i="1"/>
  <c r="N58" i="1"/>
  <c r="U58" i="1"/>
  <c r="V61" i="1"/>
  <c r="U61" i="1"/>
  <c r="U59" i="1"/>
  <c r="L61" i="1"/>
  <c r="L58" i="1"/>
  <c r="L59" i="1"/>
  <c r="V58" i="1"/>
  <c r="V59" i="1"/>
  <c r="Y61" i="1" l="1"/>
  <c r="O61" i="1"/>
  <c r="T61" i="1" s="1"/>
  <c r="O59" i="1"/>
  <c r="T59" i="1" s="1"/>
  <c r="O58" i="1"/>
  <c r="T58" i="1" s="1"/>
  <c r="Y59" i="1"/>
  <c r="Y58" i="1"/>
  <c r="R57" i="1" l="1"/>
  <c r="I57" i="1"/>
  <c r="N57" i="1" s="1"/>
  <c r="E57" i="1"/>
  <c r="F57" i="1" s="1"/>
  <c r="U57" i="1"/>
  <c r="Y57" i="1" l="1"/>
  <c r="R55" i="1"/>
  <c r="I55" i="1"/>
  <c r="E55" i="1"/>
  <c r="F55" i="1" s="1"/>
  <c r="R54" i="1"/>
  <c r="I54" i="1"/>
  <c r="E54" i="1"/>
  <c r="F54" i="1" s="1"/>
  <c r="R53" i="1"/>
  <c r="I53" i="1"/>
  <c r="E53" i="1"/>
  <c r="F53" i="1" s="1"/>
  <c r="R52" i="1"/>
  <c r="I52" i="1"/>
  <c r="E52" i="1"/>
  <c r="F52" i="1" s="1"/>
  <c r="R51" i="1"/>
  <c r="I51" i="1"/>
  <c r="E51" i="1"/>
  <c r="F51" i="1" s="1"/>
  <c r="R50" i="1"/>
  <c r="I50" i="1"/>
  <c r="E50" i="1"/>
  <c r="F50" i="1" s="1"/>
  <c r="G44" i="9"/>
  <c r="R43" i="9"/>
  <c r="J43" i="9"/>
  <c r="H43" i="9"/>
  <c r="H44" i="9" s="1"/>
  <c r="D43" i="9"/>
  <c r="D44" i="9" s="1"/>
  <c r="R42" i="9"/>
  <c r="K42" i="9"/>
  <c r="I42" i="9"/>
  <c r="E42" i="9"/>
  <c r="F42" i="9" s="1"/>
  <c r="F43" i="9" s="1"/>
  <c r="F44" i="9" s="1"/>
  <c r="G41" i="9"/>
  <c r="R40" i="9"/>
  <c r="J40" i="9"/>
  <c r="H40" i="9"/>
  <c r="I40" i="9" s="1"/>
  <c r="I41" i="9" s="1"/>
  <c r="D40" i="9"/>
  <c r="D41" i="9" s="1"/>
  <c r="R39" i="9"/>
  <c r="K39" i="9"/>
  <c r="I39" i="9"/>
  <c r="E39" i="9"/>
  <c r="F39" i="9" s="1"/>
  <c r="F40" i="9" s="1"/>
  <c r="F41" i="9" s="1"/>
  <c r="G38" i="9"/>
  <c r="R37" i="9"/>
  <c r="J37" i="9"/>
  <c r="H37" i="9"/>
  <c r="I37" i="9" s="1"/>
  <c r="I38" i="9" s="1"/>
  <c r="D37" i="9"/>
  <c r="D38" i="9" s="1"/>
  <c r="R36" i="9"/>
  <c r="K36" i="9"/>
  <c r="I36" i="9"/>
  <c r="E36" i="9"/>
  <c r="E37" i="9" s="1"/>
  <c r="E38" i="9" s="1"/>
  <c r="K32" i="9"/>
  <c r="K29" i="9"/>
  <c r="K26" i="9"/>
  <c r="D33" i="9"/>
  <c r="D34" i="9" s="1"/>
  <c r="D30" i="9"/>
  <c r="D31" i="9" s="1"/>
  <c r="D27" i="9"/>
  <c r="D28" i="9" s="1"/>
  <c r="H30" i="9"/>
  <c r="H31" i="9" s="1"/>
  <c r="H27" i="9"/>
  <c r="H28" i="9" s="1"/>
  <c r="R48" i="1"/>
  <c r="I48" i="1"/>
  <c r="E48" i="1"/>
  <c r="F48" i="1" s="1"/>
  <c r="R47" i="1"/>
  <c r="I47" i="1"/>
  <c r="E47" i="1"/>
  <c r="F47" i="1" s="1"/>
  <c r="P26" i="9"/>
  <c r="V57" i="1"/>
  <c r="P36" i="9"/>
  <c r="P51" i="1"/>
  <c r="L51" i="1" s="1"/>
  <c r="P55" i="1"/>
  <c r="P41" i="9"/>
  <c r="P52" i="1"/>
  <c r="L52" i="1"/>
  <c r="V51" i="1"/>
  <c r="P50" i="1"/>
  <c r="P39" i="9"/>
  <c r="L39" i="9"/>
  <c r="P29" i="9"/>
  <c r="P42" i="9"/>
  <c r="P54" i="1"/>
  <c r="V36" i="9"/>
  <c r="P32" i="9"/>
  <c r="V55" i="1"/>
  <c r="P47" i="1"/>
  <c r="V47" i="1" s="1"/>
  <c r="P40" i="9"/>
  <c r="V40" i="9" s="1"/>
  <c r="V50" i="1"/>
  <c r="P31" i="9"/>
  <c r="L48" i="1"/>
  <c r="P53" i="1"/>
  <c r="V53" i="1" s="1"/>
  <c r="L57" i="1"/>
  <c r="U39" i="9"/>
  <c r="P38" i="9"/>
  <c r="P44" i="9"/>
  <c r="O57" i="1" l="1"/>
  <c r="T57" i="1" s="1"/>
  <c r="N55" i="1"/>
  <c r="N52" i="1"/>
  <c r="O52" i="1" s="1"/>
  <c r="T52" i="1" s="1"/>
  <c r="N51" i="1"/>
  <c r="O51" i="1" s="1"/>
  <c r="T51" i="1" s="1"/>
  <c r="N53" i="1"/>
  <c r="N54" i="1"/>
  <c r="N50" i="1"/>
  <c r="H41" i="9"/>
  <c r="E43" i="9"/>
  <c r="E44" i="9" s="1"/>
  <c r="E40" i="9"/>
  <c r="E41" i="9" s="1"/>
  <c r="I43" i="9"/>
  <c r="F36" i="9"/>
  <c r="F37" i="9" s="1"/>
  <c r="F38" i="9" s="1"/>
  <c r="O39" i="9"/>
  <c r="N41" i="9"/>
  <c r="N38" i="9"/>
  <c r="H38" i="9"/>
  <c r="N48" i="1"/>
  <c r="O48" i="1" s="1"/>
  <c r="T48" i="1" s="1"/>
  <c r="N47" i="1"/>
  <c r="R45" i="1"/>
  <c r="I45" i="1"/>
  <c r="N45" i="1" s="1"/>
  <c r="E45" i="1"/>
  <c r="F45" i="1" s="1"/>
  <c r="L54" i="1"/>
  <c r="L36" i="9"/>
  <c r="P37" i="9"/>
  <c r="U50" i="1"/>
  <c r="U37" i="9"/>
  <c r="L55" i="1"/>
  <c r="L40" i="9"/>
  <c r="L42" i="9"/>
  <c r="V37" i="9"/>
  <c r="V42" i="9"/>
  <c r="P43" i="9"/>
  <c r="U54" i="1"/>
  <c r="U47" i="1"/>
  <c r="U48" i="1"/>
  <c r="V39" i="9"/>
  <c r="U53" i="1"/>
  <c r="V43" i="9"/>
  <c r="L50" i="1"/>
  <c r="U43" i="9"/>
  <c r="L47" i="1"/>
  <c r="V52" i="1"/>
  <c r="L53" i="1"/>
  <c r="V45" i="1"/>
  <c r="U51" i="1"/>
  <c r="U40" i="9"/>
  <c r="P27" i="9"/>
  <c r="U42" i="9"/>
  <c r="V48" i="1"/>
  <c r="U36" i="9"/>
  <c r="L43" i="9"/>
  <c r="U55" i="1"/>
  <c r="P30" i="9"/>
  <c r="V54" i="1"/>
  <c r="L37" i="9"/>
  <c r="U52" i="1"/>
  <c r="V41" i="9" l="1"/>
  <c r="O55" i="1"/>
  <c r="T55" i="1" s="1"/>
  <c r="O50" i="1"/>
  <c r="T50" i="1" s="1"/>
  <c r="O54" i="1"/>
  <c r="T54" i="1" s="1"/>
  <c r="Y53" i="1"/>
  <c r="O53" i="1"/>
  <c r="T53" i="1" s="1"/>
  <c r="Y51" i="1"/>
  <c r="O36" i="9"/>
  <c r="U41" i="9"/>
  <c r="Y50" i="1"/>
  <c r="Y55" i="1"/>
  <c r="Y52" i="1"/>
  <c r="Y54" i="1"/>
  <c r="O43" i="9"/>
  <c r="I44" i="9"/>
  <c r="N44" i="9" s="1"/>
  <c r="V38" i="9"/>
  <c r="U38" i="9"/>
  <c r="L38" i="9"/>
  <c r="O38" i="9" s="1"/>
  <c r="T38" i="9" s="1"/>
  <c r="O37" i="9"/>
  <c r="O42" i="9"/>
  <c r="L44" i="9"/>
  <c r="V44" i="9"/>
  <c r="L41" i="9"/>
  <c r="O41" i="9" s="1"/>
  <c r="T41" i="9" s="1"/>
  <c r="O40" i="9"/>
  <c r="U44" i="9"/>
  <c r="Y48" i="1"/>
  <c r="Y47" i="1"/>
  <c r="O47" i="1"/>
  <c r="T47" i="1" s="1"/>
  <c r="R43" i="1"/>
  <c r="I43" i="1"/>
  <c r="N43" i="1" s="1"/>
  <c r="E43" i="1"/>
  <c r="F43" i="1" s="1"/>
  <c r="L45" i="1"/>
  <c r="U45" i="1"/>
  <c r="V43" i="1"/>
  <c r="O44" i="9" l="1"/>
  <c r="T44" i="9" s="1"/>
  <c r="O45" i="1"/>
  <c r="T45" i="1" s="1"/>
  <c r="Y45" i="1"/>
  <c r="R41" i="1"/>
  <c r="I41" i="1"/>
  <c r="N41" i="1" s="1"/>
  <c r="E41" i="1"/>
  <c r="F41" i="1" s="1"/>
  <c r="L43" i="1"/>
  <c r="U43" i="1"/>
  <c r="V41" i="1"/>
  <c r="Y43" i="1" l="1"/>
  <c r="O43" i="1"/>
  <c r="T43" i="1" s="1"/>
  <c r="S81" i="2"/>
  <c r="P8" i="1"/>
  <c r="U41" i="1"/>
  <c r="L41" i="1"/>
  <c r="O41" i="1" l="1"/>
  <c r="T41" i="1" s="1"/>
  <c r="Y41" i="1"/>
  <c r="R39" i="1"/>
  <c r="I39" i="1"/>
  <c r="N39" i="1" s="1"/>
  <c r="E39" i="1"/>
  <c r="F39" i="1" s="1"/>
  <c r="U39" i="1"/>
  <c r="Y39" i="1" l="1"/>
  <c r="L39" i="1"/>
  <c r="V39" i="1"/>
  <c r="O39" i="1" l="1"/>
  <c r="T39" i="1" s="1"/>
  <c r="R38" i="1" l="1"/>
  <c r="I38" i="1"/>
  <c r="E38" i="1"/>
  <c r="F38" i="1" s="1"/>
  <c r="N38" i="1" l="1"/>
  <c r="R36" i="1"/>
  <c r="I36" i="1"/>
  <c r="E36" i="1"/>
  <c r="F36" i="1" s="1"/>
  <c r="R35" i="1"/>
  <c r="I35" i="1"/>
  <c r="E35" i="1"/>
  <c r="F35" i="1" s="1"/>
  <c r="P36" i="1"/>
  <c r="P35" i="1"/>
  <c r="U38" i="1"/>
  <c r="V38" i="1"/>
  <c r="L38" i="1"/>
  <c r="Y38" i="1" l="1"/>
  <c r="O38" i="1"/>
  <c r="T38" i="1" s="1"/>
  <c r="G36" i="1"/>
  <c r="G35" i="1"/>
  <c r="N36" i="1"/>
  <c r="N35" i="1"/>
  <c r="R34" i="1"/>
  <c r="I34" i="1"/>
  <c r="E34" i="1"/>
  <c r="F34" i="1" s="1"/>
  <c r="L35" i="1"/>
  <c r="U36" i="1"/>
  <c r="V35" i="1"/>
  <c r="L36" i="1"/>
  <c r="U35" i="1"/>
  <c r="V36" i="1"/>
  <c r="P34" i="1"/>
  <c r="O35" i="1" l="1"/>
  <c r="T35" i="1" s="1"/>
  <c r="Y36" i="1"/>
  <c r="Y35" i="1"/>
  <c r="O36" i="1"/>
  <c r="T36" i="1" s="1"/>
  <c r="N34" i="1"/>
  <c r="L34" i="1"/>
  <c r="V34" i="1"/>
  <c r="U34" i="1"/>
  <c r="O34" i="1" l="1"/>
  <c r="T34" i="1" s="1"/>
  <c r="Y34" i="1"/>
  <c r="R32" i="1" l="1"/>
  <c r="I32" i="1"/>
  <c r="E32" i="1"/>
  <c r="F32" i="1" s="1"/>
  <c r="R31" i="1"/>
  <c r="I31" i="1"/>
  <c r="E31" i="1"/>
  <c r="F31" i="1" s="1"/>
  <c r="R29" i="1"/>
  <c r="I29" i="1"/>
  <c r="E29" i="1"/>
  <c r="F29" i="1" s="1"/>
  <c r="P32" i="1"/>
  <c r="P29" i="1"/>
  <c r="P31" i="1"/>
  <c r="L29" i="1"/>
  <c r="N32" i="1" l="1"/>
  <c r="N31" i="1"/>
  <c r="N29" i="1"/>
  <c r="O29" i="1" s="1"/>
  <c r="T29" i="1" s="1"/>
  <c r="U29" i="1"/>
  <c r="V32" i="1"/>
  <c r="L31" i="1"/>
  <c r="V31" i="1"/>
  <c r="U31" i="1"/>
  <c r="L32" i="1"/>
  <c r="V29" i="1"/>
  <c r="U32" i="1"/>
  <c r="Y31" i="1" l="1"/>
  <c r="O32" i="1"/>
  <c r="T32" i="1" s="1"/>
  <c r="Y32" i="1"/>
  <c r="O31" i="1"/>
  <c r="T31" i="1" s="1"/>
  <c r="Y29" i="1"/>
  <c r="R27" i="1" l="1"/>
  <c r="I27" i="1"/>
  <c r="E27" i="1"/>
  <c r="F27" i="1" s="1"/>
  <c r="P27" i="1"/>
  <c r="N27" i="1" l="1"/>
  <c r="R25" i="1"/>
  <c r="I25" i="1"/>
  <c r="E25" i="1"/>
  <c r="F25" i="1" s="1"/>
  <c r="I23" i="1"/>
  <c r="I22" i="1"/>
  <c r="I21" i="1"/>
  <c r="I20" i="1"/>
  <c r="R23" i="1"/>
  <c r="E23" i="1"/>
  <c r="F23" i="1" s="1"/>
  <c r="R22" i="1"/>
  <c r="E22" i="1"/>
  <c r="F22" i="1" s="1"/>
  <c r="R21" i="1"/>
  <c r="E21" i="1"/>
  <c r="F21" i="1" s="1"/>
  <c r="R20" i="1"/>
  <c r="E20" i="1"/>
  <c r="F20" i="1" s="1"/>
  <c r="R19" i="1"/>
  <c r="I19" i="1"/>
  <c r="E19" i="1"/>
  <c r="F19" i="1" s="1"/>
  <c r="R18" i="1"/>
  <c r="I18" i="1"/>
  <c r="E18" i="1"/>
  <c r="F18" i="1" s="1"/>
  <c r="L27" i="1"/>
  <c r="U25" i="1"/>
  <c r="L25" i="1"/>
  <c r="P19" i="1"/>
  <c r="V27" i="1"/>
  <c r="P21" i="1"/>
  <c r="P18" i="1"/>
  <c r="P20" i="1"/>
  <c r="P22" i="1"/>
  <c r="L23" i="1"/>
  <c r="U27" i="1"/>
  <c r="Y27" i="1" l="1"/>
  <c r="O27" i="1"/>
  <c r="T27" i="1" s="1"/>
  <c r="Y25" i="1"/>
  <c r="N25" i="1"/>
  <c r="O25" i="1" s="1"/>
  <c r="T25" i="1" s="1"/>
  <c r="N20" i="1"/>
  <c r="N21" i="1"/>
  <c r="N22" i="1"/>
  <c r="N23" i="1"/>
  <c r="O23" i="1" s="1"/>
  <c r="T23" i="1" s="1"/>
  <c r="N18" i="1"/>
  <c r="N19" i="1"/>
  <c r="V21" i="1"/>
  <c r="U21" i="1"/>
  <c r="L21" i="1"/>
  <c r="U18" i="1"/>
  <c r="U22" i="1"/>
  <c r="L19" i="1"/>
  <c r="U19" i="1"/>
  <c r="V22" i="1"/>
  <c r="U20" i="1"/>
  <c r="V19" i="1"/>
  <c r="V18" i="1"/>
  <c r="L20" i="1"/>
  <c r="L22" i="1"/>
  <c r="V20" i="1"/>
  <c r="U23" i="1"/>
  <c r="V25" i="1"/>
  <c r="L18" i="1"/>
  <c r="V23" i="1"/>
  <c r="Y23" i="1" l="1"/>
  <c r="O18" i="1"/>
  <c r="T18" i="1" s="1"/>
  <c r="O19" i="1"/>
  <c r="T19" i="1" s="1"/>
  <c r="O21" i="1"/>
  <c r="T21" i="1" s="1"/>
  <c r="Y20" i="1"/>
  <c r="O22" i="1"/>
  <c r="T22" i="1" s="1"/>
  <c r="O20" i="1"/>
  <c r="T20" i="1" s="1"/>
  <c r="Y22" i="1"/>
  <c r="Y19" i="1"/>
  <c r="Y21" i="1"/>
  <c r="Y18" i="1"/>
  <c r="Q31" i="6" l="1"/>
  <c r="H31" i="6"/>
  <c r="M31" i="6" s="1"/>
  <c r="D31" i="6"/>
  <c r="E31" i="6" s="1"/>
  <c r="Q30" i="6"/>
  <c r="H30" i="6"/>
  <c r="M30" i="6" s="1"/>
  <c r="D30" i="6"/>
  <c r="E30" i="6" s="1"/>
  <c r="R16" i="1"/>
  <c r="I16" i="1"/>
  <c r="N16" i="1" s="1"/>
  <c r="E16" i="1"/>
  <c r="F16" i="1" s="1"/>
  <c r="R15" i="1"/>
  <c r="I15" i="1"/>
  <c r="N15" i="1" s="1"/>
  <c r="E15" i="1"/>
  <c r="F15" i="1" s="1"/>
  <c r="K31" i="6"/>
  <c r="V16" i="1"/>
  <c r="V15" i="1"/>
  <c r="K30" i="6"/>
  <c r="N30" i="6" l="1"/>
  <c r="L15" i="1"/>
  <c r="U16" i="1"/>
  <c r="L16" i="1"/>
  <c r="U15" i="1"/>
  <c r="Y16" i="1" l="1"/>
  <c r="O16" i="1"/>
  <c r="T16" i="1" s="1"/>
  <c r="Y15" i="1"/>
  <c r="O15" i="1"/>
  <c r="T15" i="1" s="1"/>
  <c r="S69" i="2"/>
  <c r="S67" i="2"/>
  <c r="H33" i="9" l="1"/>
  <c r="H34" i="9" s="1"/>
  <c r="G34" i="9"/>
  <c r="R33" i="9"/>
  <c r="J33" i="9"/>
  <c r="R32" i="9"/>
  <c r="I32" i="9"/>
  <c r="E32" i="9"/>
  <c r="E33" i="9" s="1"/>
  <c r="E34" i="9" s="1"/>
  <c r="V32" i="9"/>
  <c r="I33" i="9" l="1"/>
  <c r="I34" i="9" s="1"/>
  <c r="F32" i="9"/>
  <c r="F33" i="9" s="1"/>
  <c r="F34" i="9" s="1"/>
  <c r="L32" i="9"/>
  <c r="U32" i="9"/>
  <c r="P33" i="9"/>
  <c r="V33" i="9"/>
  <c r="P34" i="9"/>
  <c r="U33" i="9"/>
  <c r="L33" i="9"/>
  <c r="U34" i="9" l="1"/>
  <c r="O33" i="9"/>
  <c r="L34" i="9"/>
  <c r="V34" i="9"/>
  <c r="O32" i="9"/>
  <c r="N34" i="9"/>
  <c r="O34" i="9" l="1"/>
  <c r="T34" i="9" s="1"/>
  <c r="P84" i="2" l="1"/>
  <c r="I83" i="2"/>
  <c r="N81" i="2"/>
  <c r="I81" i="2"/>
  <c r="N69" i="2"/>
  <c r="I69" i="2"/>
  <c r="N67" i="2"/>
  <c r="H9" i="1" l="1"/>
  <c r="I67" i="2" l="1"/>
  <c r="S55" i="2" l="1"/>
  <c r="S53" i="2"/>
  <c r="N55" i="2" l="1"/>
  <c r="N53" i="2"/>
  <c r="I53" i="2" l="1"/>
  <c r="D55" i="2" l="1"/>
  <c r="D22" i="9" l="1"/>
  <c r="D23" i="9" s="1"/>
  <c r="D19" i="9"/>
  <c r="D20" i="9" s="1"/>
  <c r="G31" i="9"/>
  <c r="R30" i="9"/>
  <c r="J30" i="9"/>
  <c r="R29" i="9"/>
  <c r="I29" i="9"/>
  <c r="E29" i="9"/>
  <c r="F29" i="9" s="1"/>
  <c r="F30" i="9" s="1"/>
  <c r="F31" i="9" s="1"/>
  <c r="R27" i="9"/>
  <c r="J27" i="9"/>
  <c r="I27" i="9"/>
  <c r="I28" i="9" s="1"/>
  <c r="R26" i="9"/>
  <c r="I26" i="9"/>
  <c r="E26" i="9"/>
  <c r="E27" i="9" s="1"/>
  <c r="E28" i="9" s="1"/>
  <c r="P28" i="9"/>
  <c r="E30" i="9" l="1"/>
  <c r="E31" i="9" s="1"/>
  <c r="F26" i="9"/>
  <c r="F27" i="9" s="1"/>
  <c r="F28" i="9" s="1"/>
  <c r="I30" i="9"/>
  <c r="I31" i="9" s="1"/>
  <c r="V29" i="9"/>
  <c r="L26" i="9"/>
  <c r="U27" i="9"/>
  <c r="U26" i="9"/>
  <c r="L30" i="9"/>
  <c r="V30" i="9"/>
  <c r="L27" i="9"/>
  <c r="U30" i="9"/>
  <c r="V26" i="9"/>
  <c r="L29" i="9"/>
  <c r="U29" i="9"/>
  <c r="V27" i="9"/>
  <c r="O29" i="9" l="1"/>
  <c r="O26" i="9"/>
  <c r="U31" i="9"/>
  <c r="U28" i="9"/>
  <c r="V28" i="9"/>
  <c r="L28" i="9"/>
  <c r="O27" i="9"/>
  <c r="L31" i="9"/>
  <c r="O30" i="9"/>
  <c r="V31" i="9"/>
  <c r="G28" i="9"/>
  <c r="N28" i="9"/>
  <c r="N31" i="9"/>
  <c r="O28" i="9" l="1"/>
  <c r="T28" i="9" s="1"/>
  <c r="O31" i="9"/>
  <c r="T31" i="9" s="1"/>
  <c r="D53" i="2" l="1"/>
  <c r="I42" i="2"/>
  <c r="D42" i="2"/>
  <c r="D40" i="2" l="1"/>
  <c r="F44" i="2"/>
  <c r="R8" i="1" l="1"/>
  <c r="I8" i="1"/>
  <c r="E8" i="1"/>
  <c r="F8" i="1" s="1"/>
  <c r="N8" i="1" l="1"/>
  <c r="V8" i="1"/>
  <c r="L8" i="1"/>
  <c r="U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L18" i="9"/>
  <c r="V18" i="9"/>
  <c r="U18" i="9"/>
  <c r="V22" i="9"/>
  <c r="L22" i="9"/>
  <c r="L19" i="9"/>
  <c r="U21" i="9"/>
  <c r="V19" i="9"/>
  <c r="U19" i="9"/>
  <c r="L21" i="9"/>
  <c r="V21" i="9"/>
  <c r="U22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O15" i="10"/>
  <c r="P15" i="10"/>
  <c r="T12" i="8"/>
  <c r="R11" i="10" s="1"/>
  <c r="T13" i="8"/>
  <c r="R12" i="10" s="1"/>
  <c r="T14" i="8"/>
  <c r="R13" i="10" s="1"/>
  <c r="T15" i="8"/>
  <c r="R14" i="10" s="1"/>
  <c r="R15" i="10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6" i="8"/>
  <c r="K12" i="8"/>
  <c r="K14" i="8"/>
  <c r="K11" i="8"/>
  <c r="K15" i="8"/>
  <c r="K13" i="8"/>
  <c r="P14" i="9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U14" i="9"/>
  <c r="X14" i="8"/>
  <c r="X13" i="8"/>
  <c r="S11" i="8"/>
  <c r="L14" i="9"/>
  <c r="S14" i="8"/>
  <c r="X15" i="8"/>
  <c r="V14" i="9"/>
  <c r="X16" i="8"/>
  <c r="X12" i="8"/>
  <c r="X11" i="8"/>
  <c r="Y16" i="8"/>
  <c r="S12" i="8"/>
  <c r="S16" i="8"/>
  <c r="Y12" i="8"/>
  <c r="Y13" i="8"/>
  <c r="Y15" i="8"/>
  <c r="Y11" i="8"/>
  <c r="Y14" i="8"/>
  <c r="S15" i="8"/>
  <c r="S13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L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U9" i="1"/>
  <c r="V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L8" i="9"/>
  <c r="V9" i="9"/>
  <c r="U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T9" i="7"/>
  <c r="T10" i="7"/>
  <c r="O9" i="7"/>
  <c r="U10" i="7"/>
  <c r="O10" i="7"/>
  <c r="K9" i="8"/>
  <c r="H8" i="8"/>
  <c r="U9" i="7"/>
  <c r="U8" i="8" l="1"/>
  <c r="Q9" i="7"/>
  <c r="R9" i="7" s="1"/>
  <c r="S9" i="7" s="1"/>
  <c r="Q10" i="7"/>
  <c r="R10" i="7" s="1"/>
  <c r="S10" i="7" s="1"/>
  <c r="Q8" i="7"/>
  <c r="X9" i="8"/>
  <c r="T8" i="7"/>
  <c r="U8" i="7"/>
  <c r="Y9" i="8"/>
  <c r="S9" i="8"/>
  <c r="K8" i="8"/>
  <c r="O8" i="7"/>
  <c r="V9" i="8" l="1"/>
  <c r="W9" i="8" s="1"/>
  <c r="R8" i="7"/>
  <c r="S8" i="7" s="1"/>
  <c r="S8" i="8"/>
  <c r="Y8" i="8"/>
  <c r="X8" i="8"/>
  <c r="V8" i="8" l="1"/>
  <c r="W8" i="8" s="1"/>
  <c r="G12" i="9" l="1"/>
  <c r="G13" i="9" s="1"/>
  <c r="V12" i="9"/>
  <c r="U12" i="9"/>
  <c r="U11" i="9"/>
  <c r="L11" i="9"/>
  <c r="L12" i="9"/>
  <c r="V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<sst xmlns="http://schemas.openxmlformats.org/spreadsheetml/2006/main" count="1707" uniqueCount="292">
  <si>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</si>
  <si>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</si>
  <si>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</si>
  <si>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</si>
  <si>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</si>
  <si>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</si>
  <si>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</si>
  <si>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</si>
  <si>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</si>
  <si>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</si>
  <si>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</si>
  <si>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</si>
  <si>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</si>
  <si>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</si>
  <si>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</si>
  <si>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</si>
  <si>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</si>
  <si>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</si>
  <si>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</si>
  <si>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</si>
  <si>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</si>
  <si>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</si>
  <si>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</si>
  <si>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</si>
  <si>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</si>
  <si>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</si>
  <si>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</si>
  <si>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</si>
  <si>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</si>
  <si>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</si>
  <si>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</si>
  <si>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</si>
  <si>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</si>
  <si>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</si>
  <si>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</si>
  <si>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</si>
  <si>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</si>
  <si>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</si>
  <si>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</si>
  <si>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</si>
  <si>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</si>
  <si>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</si>
  <si>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</si>
  <si>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</si>
  <si>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</si>
  <si>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</si>
  <si>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</si>
  <si>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</si>
  <si>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</si>
  <si>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</si>
  <si>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</si>
  <si>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</si>
  <si>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</si>
  <si>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</si>
  <si>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</si>
  <si>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</si>
  <si>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</si>
  <si>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</si>
  <si>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</si>
  <si>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</si>
  <si>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</si>
  <si>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</si>
  <si>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</si>
  <si>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</si>
  <si>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</si>
  <si>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</si>
  <si>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</si>
  <si>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</si>
  <si>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</si>
  <si>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</si>
  <si>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</si>
  <si>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</si>
  <si>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</si>
  <si>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</si>
  <si>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</si>
  <si>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</si>
  <si>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</si>
  <si>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</si>
  <si>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</si>
  <si>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</si>
  <si>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</si>
  <si>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</si>
  <si>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</si>
  <si>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</si>
  <si>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</si>
  <si>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</si>
  <si>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</si>
  <si>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</si>
  <si>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</si>
  <si>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</si>
  <si>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</si>
  <si>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</si>
  <si>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</si>
  <si>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</si>
  <si>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</si>
  <si>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</si>
  <si>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</si>
  <si>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</si>
  <si>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</si>
  <si>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</si>
  <si>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</si>
  <si>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</si>
  <si>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</si>
  <si>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</si>
  <si>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</si>
  <si>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</si>
  <si>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</si>
  <si>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</si>
  <si>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</si>
  <si>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</si>
  <si>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</si>
  <si>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</si>
  <si>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</si>
  <si>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</si>
  <si>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</si>
  <si>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</si>
  <si>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</si>
  <si>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</si>
  <si>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</si>
  <si>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</si>
  <si>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</si>
  <si>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</si>
  <si>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</si>
  <si>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</si>
  <si>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</si>
  <si>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</si>
  <si>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</si>
  <si>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</si>
  <si>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</si>
  <si>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</si>
  <si>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</si>
  <si>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</si>
  <si>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</si>
  <si>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</si>
  <si>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</si>
  <si>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</si>
  <si>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</si>
  <si>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</si>
  <si>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</si>
  <si>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</si>
  <si>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</si>
  <si>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</si>
  <si>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</si>
  <si>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</si>
  <si>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</si>
  <si>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</si>
  <si>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</si>
  <si>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</si>
  <si>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</si>
  <si>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</si>
  <si>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</si>
  <si>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</si>
  <si>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</si>
  <si>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</si>
  <si>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</si>
  <si>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</si>
  <si>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</si>
  <si>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</si>
  <si>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</si>
  <si>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</si>
  <si>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</si>
  <si>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</si>
  <si>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</si>
  <si>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</si>
  <si>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</si>
  <si>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</si>
  <si>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</si>
  <si>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</si>
  <si>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</si>
  <si>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</si>
  <si>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</si>
  <si>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</si>
  <si>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</si>
  <si>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</si>
  <si>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</si>
  <si>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</si>
  <si>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</si>
  <si>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</si>
  <si>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</si>
  <si>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</si>
  <si>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</si>
  <si>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</si>
  <si>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</si>
  <si>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</si>
  <si>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</si>
  <si>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</si>
  <si>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</si>
  <si>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</si>
  <si>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</si>
  <si>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</si>
  <si>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</si>
  <si>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</si>
  <si>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</si>
  <si>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</si>
  <si>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</si>
  <si>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</si>
  <si>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</si>
  <si>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</si>
  <si>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</si>
  <si>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</si>
  <si>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</si>
  <si>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</si>
  <si>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</si>
  <si>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</si>
  <si>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</si>
  <si>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</si>
  <si>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</si>
  <si>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</si>
  <si>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</si>
  <si>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</si>
  <si>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</si>
  <si>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</si>
  <si>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</si>
  <si>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</si>
  <si>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</si>
  <si>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</si>
  <si>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</si>
  <si>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</si>
  <si>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</si>
  <si>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</si>
  <si>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</si>
  <si>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</si>
  <si>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</si>
  <si>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</si>
  <si>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</si>
  <si>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</si>
  <si>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</si>
  <si>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</si>
  <si>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</si>
  <si>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</si>
  <si>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</si>
  <si>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</si>
  <si>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</si>
  <si>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al1809</t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</si>
  <si>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</si>
  <si>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</si>
  <si>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</si>
  <si>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</si>
  <si>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al1810</t>
  </si>
  <si>
    <t>bu1812</t>
  </si>
  <si>
    <t>p1809</t>
  </si>
  <si>
    <t>4800|4990</t>
  </si>
  <si>
    <t>4700|4990</t>
  </si>
  <si>
    <t>rr</t>
    <phoneticPr fontId="2" type="noConversion"/>
  </si>
  <si>
    <t>ap905</t>
  </si>
  <si>
    <t>52000|54800</t>
  </si>
  <si>
    <t>rr</t>
    <phoneticPr fontId="2" type="noConversion"/>
  </si>
  <si>
    <t>中金卖出</t>
    <phoneticPr fontId="2" type="noConversion"/>
  </si>
  <si>
    <t>cf901</t>
    <phoneticPr fontId="2" type="noConversion"/>
  </si>
  <si>
    <t>成交回报</t>
    <phoneticPr fontId="2" type="noConversion"/>
  </si>
  <si>
    <t>南华资管</t>
    <phoneticPr fontId="2" type="noConversion"/>
  </si>
  <si>
    <t>成交回报-ASIAN OPTION</t>
    <phoneticPr fontId="2" type="noConversion"/>
  </si>
  <si>
    <t>亚式看跌期权</t>
    <phoneticPr fontId="2" type="noConversion"/>
  </si>
  <si>
    <t>c1901</t>
    <phoneticPr fontId="2" type="noConversion"/>
  </si>
  <si>
    <t>ap901</t>
    <phoneticPr fontId="2" type="noConversion"/>
  </si>
  <si>
    <t>ap903</t>
  </si>
  <si>
    <t>ap903</t>
    <phoneticPr fontId="2" type="noConversion"/>
  </si>
  <si>
    <t>ap901</t>
    <phoneticPr fontId="2" type="noConversion"/>
  </si>
  <si>
    <t>al1810</t>
    <phoneticPr fontId="2" type="noConversion"/>
  </si>
  <si>
    <t>al1811</t>
  </si>
  <si>
    <t>al1811</t>
    <phoneticPr fontId="2" type="noConversion"/>
  </si>
  <si>
    <t>al1812</t>
  </si>
  <si>
    <t>al1810</t>
    <phoneticPr fontId="2" type="noConversion"/>
  </si>
  <si>
    <t>p</t>
    <phoneticPr fontId="2" type="noConversion"/>
  </si>
  <si>
    <t>al1812</t>
    <phoneticPr fontId="2" type="noConversion"/>
  </si>
  <si>
    <t>al1811</t>
    <phoneticPr fontId="2" type="noConversion"/>
  </si>
  <si>
    <t>al1809</t>
    <phoneticPr fontId="2" type="noConversion"/>
  </si>
  <si>
    <t>al1809</t>
    <phoneticPr fontId="2" type="noConversion"/>
  </si>
  <si>
    <t>cu1809</t>
  </si>
  <si>
    <t>cu1809</t>
    <phoneticPr fontId="2" type="noConversion"/>
  </si>
  <si>
    <t>pb1809</t>
    <phoneticPr fontId="2" type="noConversion"/>
  </si>
  <si>
    <t>i1809</t>
  </si>
  <si>
    <t>ru1901</t>
    <phoneticPr fontId="2" type="noConversion"/>
  </si>
  <si>
    <t>sc1809</t>
    <phoneticPr fontId="2" type="noConversion"/>
  </si>
  <si>
    <t>bu1812</t>
    <phoneticPr fontId="2" type="noConversion"/>
  </si>
  <si>
    <t>c</t>
    <phoneticPr fontId="2" type="noConversion"/>
  </si>
  <si>
    <t>rb1810</t>
  </si>
  <si>
    <t>3500|3900</t>
  </si>
  <si>
    <t>3400|3800</t>
  </si>
  <si>
    <t>3300|4000</t>
  </si>
  <si>
    <t>rr</t>
    <phoneticPr fontId="2" type="noConversion"/>
  </si>
  <si>
    <t>.</t>
    <phoneticPr fontId="2" type="noConversion"/>
  </si>
  <si>
    <t>cu1809</t>
    <phoneticPr fontId="2" type="noConversion"/>
  </si>
  <si>
    <t>c</t>
    <phoneticPr fontId="2" type="noConversion"/>
  </si>
  <si>
    <t>ap901</t>
  </si>
  <si>
    <t>ap901</t>
    <phoneticPr fontId="2" type="noConversion"/>
  </si>
  <si>
    <t>ap810</t>
  </si>
  <si>
    <t>ap810</t>
    <phoneticPr fontId="2" type="noConversion"/>
  </si>
  <si>
    <t>al1810</t>
    <phoneticPr fontId="2" type="noConversion"/>
  </si>
  <si>
    <t>bv18e</t>
    <phoneticPr fontId="2" type="noConversion"/>
  </si>
  <si>
    <t>ap810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</si>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</sst>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  <numFmt numFmtId="183" formatCode="###,###,##0.00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61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3" fontId="6" fillId="9" borderId="2" xfId="0" applyNumberFormat="1" applyFont="1" applyFill="1" applyBorder="1"/>
    <xf numFmtId="0" fontId="6" fillId="9" borderId="17" xfId="0" applyFont="1" applyFill="1" applyBorder="1" applyAlignment="1">
      <alignment horizontal="center"/>
    </xf>
    <xf numFmtId="14" fontId="6" fillId="9" borderId="17" xfId="0" applyNumberFormat="1" applyFont="1" applyFill="1" applyBorder="1" applyAlignment="1">
      <alignment horizontal="center"/>
    </xf>
    <xf numFmtId="2" fontId="6" fillId="9" borderId="17" xfId="0" applyNumberFormat="1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 applyAlignment="1">
      <alignment horizontal="center"/>
    </xf>
    <xf numFmtId="2" fontId="6" fillId="9" borderId="0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4" fontId="6" fillId="9" borderId="2" xfId="0" applyNumberFormat="1" applyFont="1" applyFill="1" applyBorder="1" applyAlignment="1">
      <alignment horizontal="center"/>
    </xf>
    <xf numFmtId="2" fontId="6" fillId="9" borderId="2" xfId="0" applyNumberFormat="1" applyFont="1" applyFill="1" applyBorder="1" applyAlignment="1">
      <alignment horizontal="center"/>
    </xf>
    <xf numFmtId="14" fontId="6" fillId="6" borderId="0" xfId="0" applyNumberFormat="1" applyFont="1" applyFill="1"/>
    <xf numFmtId="14" fontId="11" fillId="6" borderId="0" xfId="0" applyNumberFormat="1" applyFont="1" applyFill="1"/>
    <xf numFmtId="183" fontId="6" fillId="6" borderId="0" xfId="0" applyNumberFormat="1" applyFont="1" applyFill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182" fontId="33" fillId="10" borderId="3" xfId="5" applyNumberFormat="1" applyFont="1" applyFill="1" applyBorder="1" applyAlignment="1">
      <alignment horizontal="right" vertical="center"/>
    </xf>
    <xf numFmtId="182" fontId="33" fillId="10" borderId="0" xfId="5" applyNumberFormat="1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ru1901</stp>
        <stp>LastPrice</stp>
        <tr r="P35" s="1"/>
        <tr r="P36" s="1"/>
      </tp>
      <tp t="e">
        <v>#N/A</v>
        <stp/>
        <stp>bu1812</stp>
        <stp>LastPrice</stp>
        <tr r="P47" s="1"/>
      </tp>
      <tp t="e">
        <v>#N/A</v>
        <stp/>
        <stp>al1811</stp>
        <stp>LastPrice</stp>
        <tr r="P20" s="1"/>
        <tr r="P31" s="1"/>
        <tr r="P29" s="1"/>
        <tr r="P32" s="1"/>
      </tp>
      <tp t="e">
        <v>#N/A</v>
        <stp/>
        <stp>al1810</stp>
        <stp>LastPrice</stp>
        <tr r="P22" s="1"/>
        <tr r="P19" s="1"/>
        <tr r="P61" s="1"/>
      </tp>
      <tp t="e">
        <v>#N/A</v>
        <stp/>
        <stp>pb1809</stp>
        <stp>LastPrice</stp>
        <tr r="P27" s="1"/>
      </tp>
      <tp>
        <v>14240</v>
        <stp/>
        <stp>al1809</stp>
        <stp>LastPrice</stp>
        <tr r="P18" s="1"/>
        <tr r="P21" s="1"/>
      </tp>
      <tp>
        <v>14175</v>
        <stp/>
        <stp>al1808</stp>
        <stp>LastPrice</stp>
        <tr r="P8" s="1"/>
      </tp>
      <tp>
        <v>461</v>
        <stp/>
        <stp>i1809</stp>
        <stp>LastPrice</stp>
        <tr r="P11" s="9"/>
        <tr r="P34" s="1"/>
      </tp>
      <tp>
        <v>9998</v>
        <stp/>
        <stp>ap901</stp>
        <stp>LastPrice</stp>
        <tr r="P59" s="1"/>
      </tp>
      <tp>
        <v>9295</v>
        <stp/>
        <stp>ap810</stp>
        <stp>LastPrice</stp>
        <tr r="P58" s="1"/>
      </tp>
      <tp>
        <v>3126</v>
        <stp/>
        <stp>m1809</stp>
        <stp>LastPrice</stp>
        <tr r="P21" s="9"/>
        <tr r="P18" s="9"/>
      </tp>
      <tp>
        <v>3672</v>
        <stp/>
        <stp>rb1810</stp>
        <stp>LastPrice</stp>
        <tr r="P14" s="9"/>
        <tr r="P28" s="9"/>
        <tr r="P34" s="9"/>
        <tr r="P33" s="9"/>
        <tr r="P30" s="9"/>
        <tr r="P27" s="9"/>
        <tr r="P43" s="9"/>
        <tr r="P37" s="9"/>
        <tr r="P44" s="9"/>
        <tr r="P38" s="9"/>
        <tr r="P53" s="1"/>
        <tr r="P31" s="9"/>
        <tr r="P40" s="9"/>
        <tr r="P32" s="9"/>
        <tr r="P54" s="1"/>
        <tr r="P42" s="9"/>
        <tr r="P29" s="9"/>
        <tr r="P39" s="9"/>
        <tr r="P50" s="1"/>
        <tr r="P52" s="1"/>
        <tr r="P41" s="9"/>
        <tr r="P55" s="1"/>
        <tr r="P51" s="1"/>
        <tr r="P36" s="9"/>
        <tr r="P26" s="9"/>
      </tp>
      <tp>
        <v>0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1"/>
  <sheetViews>
    <sheetView zoomScaleNormal="100" workbookViewId="0">
      <pane ySplit="8" topLeftCell="A80" activePane="bottomLeft" state="frozen"/>
      <selection pane="bottomLeft" activeCell="U84" sqref="U84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33" t="s">
        <v>158</v>
      </c>
      <c r="C1" s="133"/>
      <c r="D1" s="133"/>
    </row>
    <row r="2" spans="2:18" ht="12" thickTop="1" x14ac:dyDescent="0.15"/>
    <row r="3" spans="2:18" ht="13.5" x14ac:dyDescent="0.15">
      <c r="I3" s="112" t="s">
        <v>199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2"/>
      <c r="C8" s="92"/>
      <c r="D8" s="93"/>
      <c r="E8" s="93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</row>
    <row r="9" spans="2:18" x14ac:dyDescent="0.15">
      <c r="B9" s="91" t="s">
        <v>2</v>
      </c>
      <c r="C9" s="33" t="s">
        <v>181</v>
      </c>
      <c r="D9" s="33" t="s">
        <v>180</v>
      </c>
      <c r="E9" s="33" t="s">
        <v>10</v>
      </c>
      <c r="F9" s="33" t="s">
        <v>184</v>
      </c>
      <c r="G9" s="33" t="s">
        <v>11</v>
      </c>
      <c r="H9" s="33" t="s">
        <v>12</v>
      </c>
      <c r="I9" s="33" t="s">
        <v>47</v>
      </c>
      <c r="J9" s="33" t="s">
        <v>13</v>
      </c>
      <c r="K9" s="33" t="s">
        <v>14</v>
      </c>
      <c r="L9" s="33" t="s">
        <v>26</v>
      </c>
      <c r="M9" s="33" t="s">
        <v>28</v>
      </c>
      <c r="N9" s="33" t="s">
        <v>182</v>
      </c>
      <c r="O9" s="33" t="s">
        <v>8</v>
      </c>
      <c r="P9" s="33" t="s">
        <v>23</v>
      </c>
      <c r="Q9" s="33"/>
      <c r="R9" s="33" t="s">
        <v>30</v>
      </c>
    </row>
    <row r="10" spans="2:18" x14ac:dyDescent="0.15">
      <c r="B10" s="92" t="s">
        <v>160</v>
      </c>
      <c r="C10" s="92" t="s">
        <v>227</v>
      </c>
      <c r="D10" s="93">
        <v>43250</v>
      </c>
      <c r="E10" s="93">
        <v>43294</v>
      </c>
      <c r="F10" s="92">
        <v>14500</v>
      </c>
      <c r="G10" s="92">
        <v>44</v>
      </c>
      <c r="H10" s="92">
        <v>0.12054794520547946</v>
      </c>
      <c r="I10" s="92">
        <v>0</v>
      </c>
      <c r="J10" s="92">
        <v>0.13</v>
      </c>
      <c r="K10" s="92">
        <v>148.1957993354099</v>
      </c>
      <c r="L10" s="92">
        <v>30</v>
      </c>
      <c r="M10" s="92">
        <v>5.3432876712328774</v>
      </c>
      <c r="N10" s="99">
        <v>142.85251166417703</v>
      </c>
      <c r="O10" s="92">
        <v>14775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233</v>
      </c>
      <c r="D11" s="93">
        <v>43250</v>
      </c>
      <c r="E11" s="93">
        <v>43325</v>
      </c>
      <c r="F11" s="92">
        <v>14500</v>
      </c>
      <c r="G11" s="92">
        <v>75</v>
      </c>
      <c r="H11" s="92">
        <v>0.20547945205479451</v>
      </c>
      <c r="I11" s="92">
        <v>0</v>
      </c>
      <c r="J11" s="92">
        <v>0.13</v>
      </c>
      <c r="K11" s="92">
        <v>197.0015228979737</v>
      </c>
      <c r="L11" s="92">
        <v>30</v>
      </c>
      <c r="M11" s="92">
        <v>9.1541095890410951</v>
      </c>
      <c r="N11" s="99">
        <v>187.8474133089326</v>
      </c>
      <c r="O11" s="92">
        <v>14850</v>
      </c>
      <c r="P11" s="92" t="s">
        <v>85</v>
      </c>
      <c r="Q11" s="92">
        <v>1</v>
      </c>
      <c r="R11" s="92" t="s">
        <v>151</v>
      </c>
    </row>
    <row r="12" spans="2:18" x14ac:dyDescent="0.15">
      <c r="B12" s="92" t="s">
        <v>160</v>
      </c>
      <c r="C12" s="92" t="s">
        <v>238</v>
      </c>
      <c r="D12" s="93">
        <v>43250</v>
      </c>
      <c r="E12" s="93">
        <v>43356</v>
      </c>
      <c r="F12" s="92">
        <v>14500</v>
      </c>
      <c r="G12" s="92">
        <v>106</v>
      </c>
      <c r="H12" s="92">
        <v>0.29041095890410956</v>
      </c>
      <c r="I12" s="92">
        <v>0</v>
      </c>
      <c r="J12" s="92">
        <v>0.13</v>
      </c>
      <c r="K12" s="92">
        <v>231.7094428625951</v>
      </c>
      <c r="L12" s="92">
        <v>30</v>
      </c>
      <c r="M12" s="92">
        <v>13.003150684931507</v>
      </c>
      <c r="N12" s="99">
        <v>218.70629217766358</v>
      </c>
      <c r="O12" s="92">
        <v>14925</v>
      </c>
      <c r="P12" s="92" t="s">
        <v>85</v>
      </c>
      <c r="Q12" s="92">
        <v>1</v>
      </c>
      <c r="R12" s="92" t="s">
        <v>151</v>
      </c>
    </row>
    <row r="13" spans="2:18" x14ac:dyDescent="0.15">
      <c r="B13" s="91" t="s">
        <v>2</v>
      </c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92" t="s">
        <v>160</v>
      </c>
      <c r="C14" s="92" t="s">
        <v>228</v>
      </c>
      <c r="D14" s="93">
        <v>43250</v>
      </c>
      <c r="E14" s="93">
        <v>43280</v>
      </c>
      <c r="F14" s="92">
        <v>49500</v>
      </c>
      <c r="G14" s="92">
        <v>30</v>
      </c>
      <c r="H14" s="92">
        <v>8.2191780821917804E-2</v>
      </c>
      <c r="I14" s="92">
        <v>0</v>
      </c>
      <c r="J14" s="92">
        <v>0.12</v>
      </c>
      <c r="K14" s="92">
        <v>171.01217245503904</v>
      </c>
      <c r="L14" s="92">
        <v>30</v>
      </c>
      <c r="M14" s="92">
        <v>12.592602739726027</v>
      </c>
      <c r="N14" s="99">
        <v>158.419569715313</v>
      </c>
      <c r="O14" s="92">
        <v>51070</v>
      </c>
      <c r="P14" s="92" t="s">
        <v>85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239</v>
      </c>
      <c r="D16" s="93">
        <v>43258</v>
      </c>
      <c r="E16" s="93">
        <v>43350</v>
      </c>
      <c r="F16" s="92">
        <v>3320</v>
      </c>
      <c r="G16" s="92">
        <v>92</v>
      </c>
      <c r="H16" s="92">
        <v>0.25205479452054796</v>
      </c>
      <c r="I16" s="92">
        <v>0</v>
      </c>
      <c r="J16" s="92">
        <v>0.27</v>
      </c>
      <c r="K16" s="92">
        <v>-152.43041613213791</v>
      </c>
      <c r="L16" s="92"/>
      <c r="M16" s="92">
        <v>0</v>
      </c>
      <c r="N16" s="99">
        <v>152.43041613213791</v>
      </c>
      <c r="O16" s="92">
        <v>3268</v>
      </c>
      <c r="P16" s="92" t="s">
        <v>39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240</v>
      </c>
      <c r="D18" s="93">
        <v>43259</v>
      </c>
      <c r="E18" s="93">
        <v>43289</v>
      </c>
      <c r="F18" s="92" t="s">
        <v>241</v>
      </c>
      <c r="G18" s="92">
        <v>30</v>
      </c>
      <c r="H18" s="92">
        <v>8.2191780821917804E-2</v>
      </c>
      <c r="I18" s="92"/>
      <c r="J18" s="92"/>
      <c r="K18" s="92">
        <v>-75.037597099661866</v>
      </c>
      <c r="L18" s="92">
        <v>0</v>
      </c>
      <c r="M18" s="92">
        <v>0</v>
      </c>
      <c r="N18" s="99">
        <v>75.880366861716993</v>
      </c>
      <c r="O18" s="92">
        <v>4978</v>
      </c>
      <c r="P18" s="92" t="s">
        <v>243</v>
      </c>
      <c r="Q18" s="92"/>
      <c r="R18" s="92" t="s">
        <v>20</v>
      </c>
    </row>
    <row r="19" spans="2:18" x14ac:dyDescent="0.15">
      <c r="B19" s="92" t="s">
        <v>160</v>
      </c>
      <c r="C19" s="92" t="s">
        <v>240</v>
      </c>
      <c r="D19" s="93">
        <v>43259</v>
      </c>
      <c r="E19" s="93">
        <v>43289</v>
      </c>
      <c r="F19" s="92" t="s">
        <v>242</v>
      </c>
      <c r="G19" s="92">
        <v>30</v>
      </c>
      <c r="H19" s="92">
        <v>8.2191780821917804E-2</v>
      </c>
      <c r="I19" s="92"/>
      <c r="J19" s="92"/>
      <c r="K19" s="92">
        <v>-86.074815865016888</v>
      </c>
      <c r="L19" s="92">
        <v>0</v>
      </c>
      <c r="M19" s="92">
        <v>0</v>
      </c>
      <c r="N19" s="99">
        <v>87.298306393556857</v>
      </c>
      <c r="O19" s="92">
        <v>4978</v>
      </c>
      <c r="P19" s="92" t="s">
        <v>243</v>
      </c>
      <c r="Q19" s="92"/>
      <c r="R19" s="92" t="s">
        <v>20</v>
      </c>
    </row>
    <row r="20" spans="2:18" x14ac:dyDescent="0.15">
      <c r="B20" s="91" t="s">
        <v>2</v>
      </c>
      <c r="C20" s="33" t="s">
        <v>181</v>
      </c>
      <c r="D20" s="33" t="s">
        <v>180</v>
      </c>
      <c r="E20" s="33" t="s">
        <v>10</v>
      </c>
      <c r="F20" s="33" t="s">
        <v>184</v>
      </c>
      <c r="G20" s="33" t="s">
        <v>11</v>
      </c>
      <c r="H20" s="33" t="s">
        <v>12</v>
      </c>
      <c r="I20" s="33" t="s">
        <v>47</v>
      </c>
      <c r="J20" s="33" t="s">
        <v>13</v>
      </c>
      <c r="K20" s="33" t="s">
        <v>14</v>
      </c>
      <c r="L20" s="33" t="s">
        <v>26</v>
      </c>
      <c r="M20" s="33" t="s">
        <v>28</v>
      </c>
      <c r="N20" s="33" t="s">
        <v>182</v>
      </c>
      <c r="O20" s="33" t="s">
        <v>8</v>
      </c>
      <c r="P20" s="33" t="s">
        <v>23</v>
      </c>
      <c r="Q20" s="33"/>
      <c r="R20" s="33" t="s">
        <v>30</v>
      </c>
    </row>
    <row r="21" spans="2:18" x14ac:dyDescent="0.15">
      <c r="B21" s="92" t="s">
        <v>160</v>
      </c>
      <c r="C21" s="92" t="s">
        <v>244</v>
      </c>
      <c r="D21" s="93">
        <v>43262</v>
      </c>
      <c r="E21" s="93">
        <v>43292</v>
      </c>
      <c r="F21" s="92">
        <v>10700</v>
      </c>
      <c r="G21" s="92">
        <v>30</v>
      </c>
      <c r="H21" s="92">
        <v>8.2191780821917804E-2</v>
      </c>
      <c r="I21" s="92">
        <v>0</v>
      </c>
      <c r="J21" s="92">
        <v>0.32</v>
      </c>
      <c r="K21" s="92">
        <v>-225.80730406223847</v>
      </c>
      <c r="L21" s="92"/>
      <c r="M21" s="92">
        <v>0</v>
      </c>
      <c r="N21" s="99">
        <v>225.80730406223847</v>
      </c>
      <c r="O21" s="92">
        <v>10326</v>
      </c>
      <c r="P21" s="92" t="s">
        <v>39</v>
      </c>
      <c r="Q21" s="92">
        <v>-1</v>
      </c>
      <c r="R21" s="92" t="s">
        <v>20</v>
      </c>
    </row>
    <row r="22" spans="2:18" x14ac:dyDescent="0.15">
      <c r="B22" s="92" t="s">
        <v>160</v>
      </c>
      <c r="C22" s="92" t="s">
        <v>244</v>
      </c>
      <c r="D22" s="93">
        <v>43262</v>
      </c>
      <c r="E22" s="93">
        <v>43292</v>
      </c>
      <c r="F22" s="92">
        <v>10800</v>
      </c>
      <c r="G22" s="92">
        <v>30</v>
      </c>
      <c r="H22" s="92">
        <v>8.2191780821917804E-2</v>
      </c>
      <c r="I22" s="92">
        <v>0</v>
      </c>
      <c r="J22" s="92">
        <v>0.32</v>
      </c>
      <c r="K22" s="92">
        <v>-194.44874223922034</v>
      </c>
      <c r="L22" s="92"/>
      <c r="M22" s="92">
        <v>0</v>
      </c>
      <c r="N22" s="99">
        <v>194.44874223922034</v>
      </c>
      <c r="O22" s="92">
        <v>10326</v>
      </c>
      <c r="P22" s="92" t="s">
        <v>39</v>
      </c>
      <c r="Q22" s="92">
        <v>-1</v>
      </c>
      <c r="R22" s="92" t="s">
        <v>20</v>
      </c>
    </row>
    <row r="23" spans="2:18" x14ac:dyDescent="0.15">
      <c r="B23" s="92" t="s">
        <v>160</v>
      </c>
      <c r="C23" s="92" t="s">
        <v>244</v>
      </c>
      <c r="D23" s="93">
        <v>43262</v>
      </c>
      <c r="E23" s="93">
        <v>43292</v>
      </c>
      <c r="F23" s="92">
        <v>11000</v>
      </c>
      <c r="G23" s="92">
        <v>30</v>
      </c>
      <c r="H23" s="92">
        <v>8.2191780821917804E-2</v>
      </c>
      <c r="I23" s="92">
        <v>0</v>
      </c>
      <c r="J23" s="92">
        <v>0.32500000000000001</v>
      </c>
      <c r="K23" s="92">
        <v>-146.75993595111549</v>
      </c>
      <c r="L23" s="92"/>
      <c r="M23" s="92">
        <v>0</v>
      </c>
      <c r="N23" s="99">
        <v>146.75993595111549</v>
      </c>
      <c r="O23" s="92">
        <v>10326</v>
      </c>
      <c r="P23" s="92" t="s">
        <v>39</v>
      </c>
      <c r="Q23" s="92">
        <v>-1</v>
      </c>
      <c r="R23" s="92" t="s">
        <v>20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228</v>
      </c>
      <c r="D25" s="93">
        <v>43262</v>
      </c>
      <c r="E25" s="93">
        <v>43292</v>
      </c>
      <c r="F25" s="92">
        <v>54800</v>
      </c>
      <c r="G25" s="92">
        <v>30</v>
      </c>
      <c r="H25" s="92">
        <v>8.2191780821917804E-2</v>
      </c>
      <c r="I25" s="92">
        <v>0</v>
      </c>
      <c r="J25" s="92">
        <v>0.19750000000000001</v>
      </c>
      <c r="K25" s="92">
        <v>-956.88081470014367</v>
      </c>
      <c r="L25" s="92">
        <v>50</v>
      </c>
      <c r="M25" s="92">
        <v>22.278082191780822</v>
      </c>
      <c r="N25" s="99">
        <v>979.15889689192454</v>
      </c>
      <c r="O25" s="92">
        <v>54210</v>
      </c>
      <c r="P25" s="92" t="s">
        <v>39</v>
      </c>
      <c r="Q25" s="92">
        <v>-1</v>
      </c>
      <c r="R25" s="92" t="s">
        <v>20</v>
      </c>
    </row>
    <row r="27" spans="2:18" x14ac:dyDescent="0.15">
      <c r="B27" s="91" t="s">
        <v>2</v>
      </c>
      <c r="C27" s="33" t="s">
        <v>181</v>
      </c>
      <c r="D27" s="33" t="s">
        <v>180</v>
      </c>
      <c r="E27" s="33" t="s">
        <v>10</v>
      </c>
      <c r="F27" s="33" t="s">
        <v>184</v>
      </c>
      <c r="G27" s="33" t="s">
        <v>11</v>
      </c>
      <c r="H27" s="33" t="s">
        <v>12</v>
      </c>
      <c r="I27" s="33" t="s">
        <v>47</v>
      </c>
      <c r="J27" s="33" t="s">
        <v>13</v>
      </c>
      <c r="K27" s="33" t="s">
        <v>14</v>
      </c>
      <c r="L27" s="33" t="s">
        <v>26</v>
      </c>
      <c r="M27" s="33" t="s">
        <v>28</v>
      </c>
      <c r="N27" s="33" t="s">
        <v>182</v>
      </c>
      <c r="O27" s="33" t="s">
        <v>8</v>
      </c>
      <c r="P27" s="33" t="s">
        <v>23</v>
      </c>
      <c r="Q27" s="33"/>
      <c r="R27" s="33" t="s">
        <v>30</v>
      </c>
    </row>
    <row r="28" spans="2:18" x14ac:dyDescent="0.15">
      <c r="B28" s="92" t="s">
        <v>160</v>
      </c>
      <c r="C28" s="92" t="s">
        <v>228</v>
      </c>
      <c r="D28" s="93">
        <v>43262</v>
      </c>
      <c r="E28" s="93">
        <v>43292</v>
      </c>
      <c r="F28" s="92" t="s">
        <v>245</v>
      </c>
      <c r="G28" s="92">
        <v>30</v>
      </c>
      <c r="H28" s="92">
        <v>8.2191780821917804E-2</v>
      </c>
      <c r="I28" s="92"/>
      <c r="J28" s="92"/>
      <c r="K28" s="92">
        <v>-1048.8812482139592</v>
      </c>
      <c r="L28" s="92">
        <v>50</v>
      </c>
      <c r="M28" s="92">
        <v>22.520547945205479</v>
      </c>
      <c r="N28" s="99">
        <v>1071.4017961591646</v>
      </c>
      <c r="O28" s="92">
        <v>54800</v>
      </c>
      <c r="P28" s="92" t="s">
        <v>246</v>
      </c>
      <c r="Q28" s="92"/>
      <c r="R28" s="92" t="s">
        <v>247</v>
      </c>
    </row>
    <row r="29" spans="2:18" x14ac:dyDescent="0.15">
      <c r="B29" s="91" t="s">
        <v>2</v>
      </c>
      <c r="C29" s="33" t="s">
        <v>181</v>
      </c>
      <c r="D29" s="33" t="s">
        <v>180</v>
      </c>
      <c r="E29" s="33" t="s">
        <v>10</v>
      </c>
      <c r="F29" s="33" t="s">
        <v>184</v>
      </c>
      <c r="G29" s="33" t="s">
        <v>11</v>
      </c>
      <c r="H29" s="33" t="s">
        <v>12</v>
      </c>
      <c r="I29" s="33" t="s">
        <v>47</v>
      </c>
      <c r="J29" s="33" t="s">
        <v>13</v>
      </c>
      <c r="K29" s="33" t="s">
        <v>14</v>
      </c>
      <c r="L29" s="33" t="s">
        <v>26</v>
      </c>
      <c r="M29" s="33" t="s">
        <v>28</v>
      </c>
      <c r="N29" s="33" t="s">
        <v>182</v>
      </c>
      <c r="O29" s="33" t="s">
        <v>8</v>
      </c>
      <c r="P29" s="33" t="s">
        <v>23</v>
      </c>
      <c r="Q29" s="33"/>
      <c r="R29" s="33" t="s">
        <v>30</v>
      </c>
    </row>
    <row r="30" spans="2:18" x14ac:dyDescent="0.15">
      <c r="B30" s="92" t="s">
        <v>160</v>
      </c>
      <c r="C30" s="92" t="s">
        <v>257</v>
      </c>
      <c r="D30" s="93">
        <f t="shared" ref="D30:D31" ca="1" si="0">TODAY()</f>
        <v>43278</v>
      </c>
      <c r="E30" s="93">
        <f t="shared" ref="E30:E31" ca="1" si="1">D30+G30</f>
        <v>43337</v>
      </c>
      <c r="F30" s="92">
        <v>100</v>
      </c>
      <c r="G30" s="92">
        <v>59</v>
      </c>
      <c r="H30" s="92">
        <f t="shared" ref="H30:H31" si="2">G30/365</f>
        <v>0.16164383561643836</v>
      </c>
      <c r="I30" s="92">
        <v>0</v>
      </c>
      <c r="J30" s="92">
        <v>0.36</v>
      </c>
      <c r="K30" s="92" t="e">
        <f>_xll.dnetGBlackScholesNGreeks("price",$Q30,$P30,$G30,$I30,$C$3,$J30,$K30,$C$4)*Q30</f>
        <v>#VALUE!</v>
      </c>
      <c r="L30" s="92">
        <v>0</v>
      </c>
      <c r="M30" s="92">
        <f t="shared" ref="M30:M31" si="3">L30/10000*H30*O30</f>
        <v>0</v>
      </c>
      <c r="N30" s="99" t="e">
        <f t="shared" ref="N30" si="4">IF(K30&lt;=0,ABS(K30)+M30,K30-M30)</f>
        <v>#VALUE!</v>
      </c>
      <c r="O30" s="92">
        <v>100</v>
      </c>
      <c r="P30" s="92" t="s">
        <v>27</v>
      </c>
      <c r="Q30" s="92">
        <f t="shared" ref="Q30:Q31" si="5">IF(R30="中金买入",1,-1)</f>
        <v>-1</v>
      </c>
      <c r="R30" s="92" t="s">
        <v>21</v>
      </c>
    </row>
    <row r="31" spans="2:18" x14ac:dyDescent="0.15">
      <c r="B31" s="92" t="s">
        <v>160</v>
      </c>
      <c r="C31" s="92" t="s">
        <v>255</v>
      </c>
      <c r="D31" s="93">
        <f t="shared" ca="1" si="0"/>
        <v>43278</v>
      </c>
      <c r="E31" s="93">
        <f t="shared" ca="1" si="1"/>
        <v>43337</v>
      </c>
      <c r="F31" s="92">
        <v>100</v>
      </c>
      <c r="G31" s="92">
        <v>59</v>
      </c>
      <c r="H31" s="92">
        <f t="shared" si="2"/>
        <v>0.16164383561643836</v>
      </c>
      <c r="I31" s="92">
        <v>0</v>
      </c>
      <c r="J31" s="92">
        <v>0.36</v>
      </c>
      <c r="K31" s="92" t="e">
        <f>_xll.dnetGBlackScholesNGreeks("price",$Q31,$P31,$G31,$I31,$C$3,$J31,$K31,$C$4)*Q31</f>
        <v>#VALUE!</v>
      </c>
      <c r="L31" s="92">
        <v>30</v>
      </c>
      <c r="M31" s="92">
        <f t="shared" si="3"/>
        <v>4.8493150684931506E-2</v>
      </c>
      <c r="N31" s="99">
        <v>5.75</v>
      </c>
      <c r="O31" s="92">
        <v>100</v>
      </c>
      <c r="P31" s="92" t="s">
        <v>27</v>
      </c>
      <c r="Q31" s="92">
        <f t="shared" si="5"/>
        <v>-1</v>
      </c>
      <c r="R31" s="92" t="s">
        <v>21</v>
      </c>
    </row>
    <row r="32" spans="2:18" x14ac:dyDescent="0.15">
      <c r="B32" s="91" t="s">
        <v>2</v>
      </c>
      <c r="C32" s="33" t="s">
        <v>181</v>
      </c>
      <c r="D32" s="33" t="s">
        <v>180</v>
      </c>
      <c r="E32" s="33" t="s">
        <v>10</v>
      </c>
      <c r="F32" s="33" t="s">
        <v>184</v>
      </c>
      <c r="G32" s="33" t="s">
        <v>11</v>
      </c>
      <c r="H32" s="33" t="s">
        <v>12</v>
      </c>
      <c r="I32" s="33" t="s">
        <v>47</v>
      </c>
      <c r="J32" s="33" t="s">
        <v>13</v>
      </c>
      <c r="K32" s="33" t="s">
        <v>14</v>
      </c>
      <c r="L32" s="33" t="s">
        <v>26</v>
      </c>
      <c r="M32" s="33" t="s">
        <v>28</v>
      </c>
      <c r="N32" s="33" t="s">
        <v>182</v>
      </c>
      <c r="O32" s="33" t="s">
        <v>8</v>
      </c>
      <c r="P32" s="33" t="s">
        <v>23</v>
      </c>
      <c r="Q32" s="33"/>
      <c r="R32" s="33" t="s">
        <v>30</v>
      </c>
    </row>
    <row r="33" spans="2:18" x14ac:dyDescent="0.15">
      <c r="B33" s="92" t="s">
        <v>160</v>
      </c>
      <c r="C33" s="92" t="s">
        <v>262</v>
      </c>
      <c r="D33" s="93">
        <v>43270</v>
      </c>
      <c r="E33" s="93">
        <v>43321</v>
      </c>
      <c r="F33" s="92">
        <v>13800</v>
      </c>
      <c r="G33" s="92">
        <v>51</v>
      </c>
      <c r="H33" s="92">
        <v>0.13972602739726028</v>
      </c>
      <c r="I33" s="92">
        <v>0</v>
      </c>
      <c r="J33" s="92">
        <v>0.125</v>
      </c>
      <c r="K33" s="92">
        <v>41.836655979323041</v>
      </c>
      <c r="L33" s="92">
        <v>30</v>
      </c>
      <c r="M33" s="92">
        <v>6.1011369863013707</v>
      </c>
      <c r="N33" s="99">
        <v>35.735518993021671</v>
      </c>
      <c r="O33" s="92">
        <v>14555</v>
      </c>
      <c r="P33" s="92" t="s">
        <v>263</v>
      </c>
      <c r="Q33" s="92">
        <v>1</v>
      </c>
      <c r="R33" s="92" t="s">
        <v>19</v>
      </c>
    </row>
    <row r="34" spans="2:18" x14ac:dyDescent="0.15">
      <c r="B34" s="92" t="s">
        <v>160</v>
      </c>
      <c r="C34" s="92" t="s">
        <v>259</v>
      </c>
      <c r="D34" s="93">
        <v>43270</v>
      </c>
      <c r="E34" s="93">
        <v>43357</v>
      </c>
      <c r="F34" s="92">
        <v>13800</v>
      </c>
      <c r="G34" s="92">
        <v>87</v>
      </c>
      <c r="H34" s="92">
        <v>0.23835616438356164</v>
      </c>
      <c r="I34" s="92">
        <v>0</v>
      </c>
      <c r="J34" s="92">
        <v>0.1225</v>
      </c>
      <c r="K34" s="92">
        <v>72.864657819563035</v>
      </c>
      <c r="L34" s="92">
        <v>30</v>
      </c>
      <c r="M34" s="92">
        <v>10.465027397260274</v>
      </c>
      <c r="N34" s="99">
        <v>62.399630422302764</v>
      </c>
      <c r="O34" s="92">
        <v>14635</v>
      </c>
      <c r="P34" s="92" t="s">
        <v>263</v>
      </c>
      <c r="Q34" s="92">
        <v>1</v>
      </c>
      <c r="R34" s="92" t="s">
        <v>19</v>
      </c>
    </row>
    <row r="35" spans="2:18" x14ac:dyDescent="0.15">
      <c r="B35" s="92" t="s">
        <v>160</v>
      </c>
      <c r="C35" s="92" t="s">
        <v>264</v>
      </c>
      <c r="D35" s="93">
        <v>43270</v>
      </c>
      <c r="E35" s="93">
        <v>43385</v>
      </c>
      <c r="F35" s="92">
        <v>13800</v>
      </c>
      <c r="G35" s="92">
        <v>115</v>
      </c>
      <c r="H35" s="92">
        <v>0.30136986301369861</v>
      </c>
      <c r="I35" s="92">
        <v>0</v>
      </c>
      <c r="J35" s="92">
        <v>0.12</v>
      </c>
      <c r="K35" s="92">
        <v>83.925593529492289</v>
      </c>
      <c r="L35" s="92">
        <v>30</v>
      </c>
      <c r="M35" s="92">
        <v>13.29041095890411</v>
      </c>
      <c r="N35" s="99">
        <v>70.635182570588185</v>
      </c>
      <c r="O35" s="92">
        <v>14700</v>
      </c>
      <c r="P35" s="92" t="s">
        <v>263</v>
      </c>
      <c r="Q35" s="92">
        <v>1</v>
      </c>
      <c r="R35" s="92" t="s">
        <v>19</v>
      </c>
    </row>
    <row r="36" spans="2:18" x14ac:dyDescent="0.15">
      <c r="B36" s="92" t="s">
        <v>160</v>
      </c>
      <c r="C36" s="92" t="s">
        <v>238</v>
      </c>
      <c r="D36" s="93">
        <v>43270</v>
      </c>
      <c r="E36" s="93">
        <v>43321</v>
      </c>
      <c r="F36" s="92">
        <v>14000</v>
      </c>
      <c r="G36" s="92">
        <v>51</v>
      </c>
      <c r="H36" s="92">
        <v>0.13972602739726028</v>
      </c>
      <c r="I36" s="92">
        <v>0</v>
      </c>
      <c r="J36" s="92">
        <v>0.125</v>
      </c>
      <c r="K36" s="92">
        <v>75.523449254858406</v>
      </c>
      <c r="L36" s="92">
        <v>30</v>
      </c>
      <c r="M36" s="92">
        <v>6.1011369863013707</v>
      </c>
      <c r="N36" s="99">
        <v>69.422312268557036</v>
      </c>
      <c r="O36" s="92">
        <v>14555</v>
      </c>
      <c r="P36" s="92" t="s">
        <v>263</v>
      </c>
      <c r="Q36" s="92">
        <v>1</v>
      </c>
      <c r="R36" s="92" t="s">
        <v>19</v>
      </c>
    </row>
    <row r="37" spans="2:18" x14ac:dyDescent="0.15">
      <c r="B37" s="92" t="s">
        <v>160</v>
      </c>
      <c r="C37" s="92" t="s">
        <v>265</v>
      </c>
      <c r="D37" s="93">
        <v>43270</v>
      </c>
      <c r="E37" s="93">
        <v>43357</v>
      </c>
      <c r="F37" s="92">
        <v>14000</v>
      </c>
      <c r="G37" s="92">
        <v>87</v>
      </c>
      <c r="H37" s="92">
        <v>0.23835616438356164</v>
      </c>
      <c r="I37" s="92">
        <v>0</v>
      </c>
      <c r="J37" s="92">
        <v>0.1225</v>
      </c>
      <c r="K37" s="92">
        <v>113.33638339237496</v>
      </c>
      <c r="L37" s="92">
        <v>30</v>
      </c>
      <c r="M37" s="92">
        <v>10.465027397260274</v>
      </c>
      <c r="N37" s="99">
        <v>102.87135599511468</v>
      </c>
      <c r="O37" s="92">
        <v>14635</v>
      </c>
      <c r="P37" s="92" t="s">
        <v>263</v>
      </c>
      <c r="Q37" s="92">
        <v>1</v>
      </c>
      <c r="R37" s="92" t="s">
        <v>19</v>
      </c>
    </row>
    <row r="38" spans="2:18" x14ac:dyDescent="0.15">
      <c r="B38" s="92" t="s">
        <v>160</v>
      </c>
      <c r="C38" s="92" t="s">
        <v>261</v>
      </c>
      <c r="D38" s="93">
        <v>43270</v>
      </c>
      <c r="E38" s="93">
        <v>43385</v>
      </c>
      <c r="F38" s="92">
        <v>14000</v>
      </c>
      <c r="G38" s="92">
        <v>115</v>
      </c>
      <c r="H38" s="92">
        <v>0.30136986301369861</v>
      </c>
      <c r="I38" s="92">
        <v>0</v>
      </c>
      <c r="J38" s="92">
        <v>0.12</v>
      </c>
      <c r="K38" s="92">
        <v>125.18230137886394</v>
      </c>
      <c r="L38" s="92">
        <v>30</v>
      </c>
      <c r="M38" s="92">
        <v>13.29041095890411</v>
      </c>
      <c r="N38" s="99">
        <v>111.89189041995984</v>
      </c>
      <c r="O38" s="92">
        <v>14700</v>
      </c>
      <c r="P38" s="92" t="s">
        <v>263</v>
      </c>
      <c r="Q38" s="92">
        <v>1</v>
      </c>
      <c r="R38" s="92" t="s">
        <v>19</v>
      </c>
    </row>
    <row r="39" spans="2:18" x14ac:dyDescent="0.15">
      <c r="B39" s="91" t="s">
        <v>2</v>
      </c>
      <c r="C39" s="33" t="s">
        <v>181</v>
      </c>
      <c r="D39" s="33" t="s">
        <v>180</v>
      </c>
      <c r="E39" s="33" t="s">
        <v>10</v>
      </c>
      <c r="F39" s="33" t="s">
        <v>184</v>
      </c>
      <c r="G39" s="33" t="s">
        <v>11</v>
      </c>
      <c r="H39" s="33" t="s">
        <v>12</v>
      </c>
      <c r="I39" s="33" t="s">
        <v>47</v>
      </c>
      <c r="J39" s="33" t="s">
        <v>13</v>
      </c>
      <c r="K39" s="33" t="s">
        <v>14</v>
      </c>
      <c r="L39" s="33" t="s">
        <v>26</v>
      </c>
      <c r="M39" s="33" t="s">
        <v>28</v>
      </c>
      <c r="N39" s="33" t="s">
        <v>182</v>
      </c>
      <c r="O39" s="33" t="s">
        <v>8</v>
      </c>
      <c r="P39" s="33" t="s">
        <v>23</v>
      </c>
      <c r="Q39" s="33"/>
      <c r="R39" s="33" t="s">
        <v>30</v>
      </c>
    </row>
    <row r="40" spans="2:18" x14ac:dyDescent="0.15">
      <c r="B40" s="92" t="s">
        <v>160</v>
      </c>
      <c r="C40" s="92" t="s">
        <v>267</v>
      </c>
      <c r="D40" s="93">
        <v>43270</v>
      </c>
      <c r="E40" s="93">
        <v>43321</v>
      </c>
      <c r="F40" s="92">
        <v>13800</v>
      </c>
      <c r="G40" s="92">
        <v>51</v>
      </c>
      <c r="H40" s="92">
        <v>0.13972602739726028</v>
      </c>
      <c r="I40" s="92">
        <v>0</v>
      </c>
      <c r="J40" s="92">
        <v>0.125</v>
      </c>
      <c r="K40" s="92">
        <v>46.960272611971277</v>
      </c>
      <c r="L40" s="92">
        <v>30</v>
      </c>
      <c r="M40" s="92">
        <v>6.0843698630136993</v>
      </c>
      <c r="N40" s="99">
        <v>40.875902748957579</v>
      </c>
      <c r="O40" s="92">
        <v>14515</v>
      </c>
      <c r="P40" s="92" t="s">
        <v>263</v>
      </c>
      <c r="Q40" s="92">
        <v>1</v>
      </c>
      <c r="R40" s="92" t="s">
        <v>19</v>
      </c>
    </row>
    <row r="41" spans="2:18" x14ac:dyDescent="0.15">
      <c r="B41" s="92" t="s">
        <v>160</v>
      </c>
      <c r="C41" s="92" t="s">
        <v>238</v>
      </c>
      <c r="D41" s="93">
        <v>43270</v>
      </c>
      <c r="E41" s="93">
        <v>43357</v>
      </c>
      <c r="F41" s="92">
        <v>13800</v>
      </c>
      <c r="G41" s="92">
        <v>87</v>
      </c>
      <c r="H41" s="92">
        <v>0.23835616438356164</v>
      </c>
      <c r="I41" s="92">
        <v>0</v>
      </c>
      <c r="J41" s="92">
        <v>0.1225</v>
      </c>
      <c r="K41" s="92">
        <v>80.119128093494055</v>
      </c>
      <c r="L41" s="92">
        <v>30</v>
      </c>
      <c r="M41" s="92">
        <v>10.432849315068493</v>
      </c>
      <c r="N41" s="99">
        <v>69.68627877842556</v>
      </c>
      <c r="O41" s="92">
        <v>14590</v>
      </c>
      <c r="P41" s="92" t="s">
        <v>263</v>
      </c>
      <c r="Q41" s="92">
        <v>1</v>
      </c>
      <c r="R41" s="92" t="s">
        <v>19</v>
      </c>
    </row>
    <row r="42" spans="2:18" x14ac:dyDescent="0.15">
      <c r="B42" s="92" t="s">
        <v>160</v>
      </c>
      <c r="C42" s="92" t="s">
        <v>265</v>
      </c>
      <c r="D42" s="93">
        <v>43270</v>
      </c>
      <c r="E42" s="93">
        <v>43385</v>
      </c>
      <c r="F42" s="92">
        <v>13800</v>
      </c>
      <c r="G42" s="92">
        <v>115</v>
      </c>
      <c r="H42" s="92">
        <v>0.30136986301369861</v>
      </c>
      <c r="I42" s="92">
        <v>0</v>
      </c>
      <c r="J42" s="92">
        <v>0.12</v>
      </c>
      <c r="K42" s="92">
        <v>87.995461023180269</v>
      </c>
      <c r="L42" s="92">
        <v>30</v>
      </c>
      <c r="M42" s="92">
        <v>13.267808219178082</v>
      </c>
      <c r="N42" s="99">
        <v>74.72765280400219</v>
      </c>
      <c r="O42" s="92">
        <v>14675</v>
      </c>
      <c r="P42" s="92" t="s">
        <v>263</v>
      </c>
      <c r="Q42" s="92">
        <v>1</v>
      </c>
      <c r="R42" s="92" t="s">
        <v>19</v>
      </c>
    </row>
    <row r="43" spans="2:18" x14ac:dyDescent="0.15">
      <c r="B43" s="92" t="s">
        <v>160</v>
      </c>
      <c r="C43" s="92" t="s">
        <v>233</v>
      </c>
      <c r="D43" s="93">
        <v>43270</v>
      </c>
      <c r="E43" s="93">
        <v>43321</v>
      </c>
      <c r="F43" s="92">
        <v>14000</v>
      </c>
      <c r="G43" s="92">
        <v>51</v>
      </c>
      <c r="H43" s="92">
        <v>0.13972602739726028</v>
      </c>
      <c r="I43" s="92">
        <v>0</v>
      </c>
      <c r="J43" s="92">
        <v>0.125</v>
      </c>
      <c r="K43" s="92">
        <v>83.678378785805762</v>
      </c>
      <c r="L43" s="92">
        <v>30</v>
      </c>
      <c r="M43" s="92">
        <v>6.0843698630136993</v>
      </c>
      <c r="N43" s="99">
        <v>77.594008922792057</v>
      </c>
      <c r="O43" s="92">
        <v>14515</v>
      </c>
      <c r="P43" s="92" t="s">
        <v>263</v>
      </c>
      <c r="Q43" s="92">
        <v>1</v>
      </c>
      <c r="R43" s="92" t="s">
        <v>19</v>
      </c>
    </row>
    <row r="44" spans="2:18" x14ac:dyDescent="0.15">
      <c r="B44" s="92" t="s">
        <v>160</v>
      </c>
      <c r="C44" s="92" t="s">
        <v>262</v>
      </c>
      <c r="D44" s="93">
        <v>43270</v>
      </c>
      <c r="E44" s="93">
        <v>43357</v>
      </c>
      <c r="F44" s="92">
        <v>14000</v>
      </c>
      <c r="G44" s="92">
        <v>87</v>
      </c>
      <c r="H44" s="92">
        <v>0.23835616438356164</v>
      </c>
      <c r="I44" s="92">
        <v>0</v>
      </c>
      <c r="J44" s="92">
        <v>0.1225</v>
      </c>
      <c r="K44" s="92">
        <v>123.54300304222943</v>
      </c>
      <c r="L44" s="92">
        <v>30</v>
      </c>
      <c r="M44" s="92">
        <v>10.432849315068493</v>
      </c>
      <c r="N44" s="99">
        <v>113.11015372716093</v>
      </c>
      <c r="O44" s="92">
        <v>14590</v>
      </c>
      <c r="P44" s="92" t="s">
        <v>263</v>
      </c>
      <c r="Q44" s="92">
        <v>1</v>
      </c>
      <c r="R44" s="92" t="s">
        <v>19</v>
      </c>
    </row>
    <row r="45" spans="2:18" x14ac:dyDescent="0.15">
      <c r="B45" s="92" t="s">
        <v>160</v>
      </c>
      <c r="C45" s="92" t="s">
        <v>259</v>
      </c>
      <c r="D45" s="93">
        <v>43270</v>
      </c>
      <c r="E45" s="93">
        <v>43385</v>
      </c>
      <c r="F45" s="92">
        <v>14000</v>
      </c>
      <c r="G45" s="92">
        <v>115</v>
      </c>
      <c r="H45" s="92">
        <v>0.30136986301369861</v>
      </c>
      <c r="I45" s="92">
        <v>0</v>
      </c>
      <c r="J45" s="92">
        <v>0.12</v>
      </c>
      <c r="K45" s="92">
        <v>130.73469926196822</v>
      </c>
      <c r="L45" s="92">
        <v>30</v>
      </c>
      <c r="M45" s="92">
        <v>13.267808219178082</v>
      </c>
      <c r="N45" s="99">
        <v>117.46689104279014</v>
      </c>
      <c r="O45" s="92">
        <v>14675</v>
      </c>
      <c r="P45" s="92" t="s">
        <v>263</v>
      </c>
      <c r="Q45" s="92">
        <v>1</v>
      </c>
      <c r="R45" s="92" t="s">
        <v>19</v>
      </c>
    </row>
    <row r="46" spans="2:18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18" x14ac:dyDescent="0.15">
      <c r="B47" s="92" t="s">
        <v>160</v>
      </c>
      <c r="C47" s="92" t="s">
        <v>268</v>
      </c>
      <c r="D47" s="93">
        <v>43270</v>
      </c>
      <c r="E47" s="93">
        <v>43300</v>
      </c>
      <c r="F47" s="92">
        <v>49500</v>
      </c>
      <c r="G47" s="92">
        <v>30</v>
      </c>
      <c r="H47" s="92">
        <v>8.2191780821917804E-2</v>
      </c>
      <c r="I47" s="92">
        <v>0</v>
      </c>
      <c r="J47" s="92">
        <v>0.1225</v>
      </c>
      <c r="K47" s="92">
        <v>36.070069193164272</v>
      </c>
      <c r="L47" s="92">
        <v>30</v>
      </c>
      <c r="M47" s="92">
        <v>12.937808219178082</v>
      </c>
      <c r="N47" s="99">
        <v>23.132260973986192</v>
      </c>
      <c r="O47" s="92">
        <v>52470</v>
      </c>
      <c r="P47" s="92" t="s">
        <v>263</v>
      </c>
      <c r="Q47" s="92">
        <v>1</v>
      </c>
      <c r="R47" s="92" t="s">
        <v>19</v>
      </c>
    </row>
    <row r="48" spans="2:18" x14ac:dyDescent="0.15">
      <c r="B48" s="92" t="s">
        <v>160</v>
      </c>
      <c r="C48" s="92" t="s">
        <v>268</v>
      </c>
      <c r="D48" s="93">
        <v>43270</v>
      </c>
      <c r="E48" s="93">
        <v>43300</v>
      </c>
      <c r="F48" s="92">
        <v>50000</v>
      </c>
      <c r="G48" s="92">
        <v>30</v>
      </c>
      <c r="H48" s="92">
        <v>8.2191780821917804E-2</v>
      </c>
      <c r="I48" s="92">
        <v>0</v>
      </c>
      <c r="J48" s="92">
        <v>0.1225</v>
      </c>
      <c r="K48" s="92">
        <v>69.862104030476985</v>
      </c>
      <c r="L48" s="92">
        <v>30</v>
      </c>
      <c r="M48" s="92">
        <v>12.937808219178082</v>
      </c>
      <c r="N48" s="99">
        <v>56.924295811298904</v>
      </c>
      <c r="O48" s="92">
        <v>52470</v>
      </c>
      <c r="P48" s="92" t="s">
        <v>263</v>
      </c>
      <c r="Q48" s="92">
        <v>1</v>
      </c>
      <c r="R48" s="92" t="s">
        <v>19</v>
      </c>
    </row>
    <row r="49" spans="2:18" x14ac:dyDescent="0.15">
      <c r="B49" s="91" t="s">
        <v>2</v>
      </c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 t="s">
        <v>30</v>
      </c>
    </row>
    <row r="50" spans="2:18" x14ac:dyDescent="0.15">
      <c r="B50" s="92" t="s">
        <v>160</v>
      </c>
      <c r="C50" s="92" t="s">
        <v>259</v>
      </c>
      <c r="D50" s="93">
        <v>43272</v>
      </c>
      <c r="E50" s="93">
        <v>43363</v>
      </c>
      <c r="F50" s="92">
        <v>11500</v>
      </c>
      <c r="G50" s="92">
        <v>91</v>
      </c>
      <c r="H50" s="92">
        <v>0.24931506849315069</v>
      </c>
      <c r="I50" s="92">
        <v>0</v>
      </c>
      <c r="J50" s="92">
        <v>0.24</v>
      </c>
      <c r="K50" s="92">
        <v>-17.351289205071055</v>
      </c>
      <c r="L50" s="92">
        <v>0</v>
      </c>
      <c r="M50" s="92">
        <v>0</v>
      </c>
      <c r="N50" s="99">
        <v>17.25</v>
      </c>
      <c r="O50" s="92">
        <v>14425</v>
      </c>
      <c r="P50" s="92" t="s">
        <v>85</v>
      </c>
      <c r="Q50" s="92">
        <v>-1</v>
      </c>
      <c r="R50" s="92" t="s">
        <v>20</v>
      </c>
    </row>
    <row r="51" spans="2:18" x14ac:dyDescent="0.15">
      <c r="B51" s="92" t="s">
        <v>160</v>
      </c>
      <c r="C51" s="92" t="s">
        <v>259</v>
      </c>
      <c r="D51" s="93">
        <v>43272</v>
      </c>
      <c r="E51" s="93">
        <v>43363</v>
      </c>
      <c r="F51" s="92">
        <v>14000</v>
      </c>
      <c r="G51" s="92">
        <v>91</v>
      </c>
      <c r="H51" s="92">
        <v>0.24931506849315069</v>
      </c>
      <c r="I51" s="92">
        <v>0</v>
      </c>
      <c r="J51" s="92">
        <v>0.19</v>
      </c>
      <c r="K51" s="92">
        <v>-349.93164053633427</v>
      </c>
      <c r="L51" s="92">
        <v>0</v>
      </c>
      <c r="M51" s="92">
        <v>0</v>
      </c>
      <c r="N51" s="99">
        <v>349.93164053633427</v>
      </c>
      <c r="O51" s="92">
        <v>14425</v>
      </c>
      <c r="P51" s="92" t="s">
        <v>85</v>
      </c>
      <c r="Q51" s="92">
        <v>-1</v>
      </c>
      <c r="R51" s="92" t="s">
        <v>20</v>
      </c>
    </row>
    <row r="52" spans="2:18" x14ac:dyDescent="0.15">
      <c r="B52" s="92" t="s">
        <v>160</v>
      </c>
      <c r="C52" s="92" t="s">
        <v>259</v>
      </c>
      <c r="D52" s="93">
        <v>43272</v>
      </c>
      <c r="E52" s="93">
        <v>43363</v>
      </c>
      <c r="F52" s="92">
        <v>13500</v>
      </c>
      <c r="G52" s="92">
        <v>91</v>
      </c>
      <c r="H52" s="92">
        <v>0.24931506849315069</v>
      </c>
      <c r="I52" s="92">
        <v>0</v>
      </c>
      <c r="J52" s="92">
        <v>0.19500000000000001</v>
      </c>
      <c r="K52" s="92">
        <v>-199.44352838717532</v>
      </c>
      <c r="L52" s="92">
        <v>0</v>
      </c>
      <c r="M52" s="92">
        <v>0</v>
      </c>
      <c r="N52" s="99">
        <v>199.44352838717532</v>
      </c>
      <c r="O52" s="92">
        <v>14425</v>
      </c>
      <c r="P52" s="92" t="s">
        <v>85</v>
      </c>
      <c r="Q52" s="92">
        <v>-1</v>
      </c>
      <c r="R52" s="92" t="s">
        <v>20</v>
      </c>
    </row>
    <row r="53" spans="2:18" x14ac:dyDescent="0.15">
      <c r="B53" s="91" t="s">
        <v>2</v>
      </c>
      <c r="C53" s="33" t="s">
        <v>181</v>
      </c>
      <c r="D53" s="33" t="s">
        <v>180</v>
      </c>
      <c r="E53" s="33" t="s">
        <v>10</v>
      </c>
      <c r="F53" s="33" t="s">
        <v>184</v>
      </c>
      <c r="G53" s="33" t="s">
        <v>11</v>
      </c>
      <c r="H53" s="33" t="s">
        <v>12</v>
      </c>
      <c r="I53" s="33" t="s">
        <v>47</v>
      </c>
      <c r="J53" s="33" t="s">
        <v>13</v>
      </c>
      <c r="K53" s="33" t="s">
        <v>14</v>
      </c>
      <c r="L53" s="33" t="s">
        <v>26</v>
      </c>
      <c r="M53" s="33" t="s">
        <v>28</v>
      </c>
      <c r="N53" s="33" t="s">
        <v>182</v>
      </c>
      <c r="O53" s="33" t="s">
        <v>8</v>
      </c>
      <c r="P53" s="33" t="s">
        <v>23</v>
      </c>
      <c r="Q53" s="33"/>
      <c r="R53" s="33" t="s">
        <v>30</v>
      </c>
    </row>
    <row r="54" spans="2:18" x14ac:dyDescent="0.15">
      <c r="B54" s="92" t="s">
        <v>160</v>
      </c>
      <c r="C54" s="92" t="s">
        <v>271</v>
      </c>
      <c r="D54" s="93">
        <v>43276</v>
      </c>
      <c r="E54" s="93">
        <v>43322</v>
      </c>
      <c r="F54" s="92">
        <v>480</v>
      </c>
      <c r="G54" s="92">
        <v>46</v>
      </c>
      <c r="H54" s="92">
        <v>0.12602739726027398</v>
      </c>
      <c r="I54" s="92">
        <v>0</v>
      </c>
      <c r="J54" s="92">
        <v>0.26</v>
      </c>
      <c r="K54" s="92">
        <v>25.234296912877255</v>
      </c>
      <c r="L54" s="92">
        <v>0</v>
      </c>
      <c r="M54" s="92">
        <v>0</v>
      </c>
      <c r="N54" s="99">
        <v>25.234296912877255</v>
      </c>
      <c r="O54" s="92">
        <v>466</v>
      </c>
      <c r="P54" s="92" t="s">
        <v>85</v>
      </c>
      <c r="Q54" s="92">
        <v>1</v>
      </c>
      <c r="R54" s="92" t="s">
        <v>151</v>
      </c>
    </row>
    <row r="55" spans="2:18" x14ac:dyDescent="0.15">
      <c r="B55" s="91" t="s">
        <v>2</v>
      </c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8" x14ac:dyDescent="0.15">
      <c r="B56" s="92" t="s">
        <v>160</v>
      </c>
      <c r="C56" s="92" t="s">
        <v>271</v>
      </c>
      <c r="D56" s="93">
        <v>43276</v>
      </c>
      <c r="E56" s="93">
        <v>43322</v>
      </c>
      <c r="F56" s="92">
        <v>430</v>
      </c>
      <c r="G56" s="92">
        <v>46</v>
      </c>
      <c r="H56" s="92">
        <v>0.12602739726027398</v>
      </c>
      <c r="I56" s="92">
        <v>0</v>
      </c>
      <c r="J56" s="92">
        <v>0.26</v>
      </c>
      <c r="K56" s="92">
        <v>4.2716086209137814</v>
      </c>
      <c r="L56" s="92">
        <v>0</v>
      </c>
      <c r="M56" s="92">
        <v>0</v>
      </c>
      <c r="N56" s="99">
        <v>4.2716086209137814</v>
      </c>
      <c r="O56" s="92">
        <v>466.5</v>
      </c>
      <c r="P56" s="92" t="s">
        <v>85</v>
      </c>
      <c r="Q56" s="92">
        <v>1</v>
      </c>
      <c r="R56" s="92" t="s">
        <v>151</v>
      </c>
    </row>
    <row r="57" spans="2:18" x14ac:dyDescent="0.15">
      <c r="B57" s="91" t="s">
        <v>2</v>
      </c>
      <c r="C57" s="33" t="s">
        <v>181</v>
      </c>
      <c r="D57" s="33" t="s">
        <v>180</v>
      </c>
      <c r="E57" s="33" t="s">
        <v>10</v>
      </c>
      <c r="F57" s="33" t="s">
        <v>184</v>
      </c>
      <c r="G57" s="33" t="s">
        <v>11</v>
      </c>
      <c r="H57" s="33" t="s">
        <v>12</v>
      </c>
      <c r="I57" s="33" t="s">
        <v>47</v>
      </c>
      <c r="J57" s="33" t="s">
        <v>13</v>
      </c>
      <c r="K57" s="33" t="s">
        <v>14</v>
      </c>
      <c r="L57" s="33" t="s">
        <v>26</v>
      </c>
      <c r="M57" s="33" t="s">
        <v>28</v>
      </c>
      <c r="N57" s="33" t="s">
        <v>182</v>
      </c>
      <c r="O57" s="33" t="s">
        <v>8</v>
      </c>
      <c r="P57" s="33" t="s">
        <v>23</v>
      </c>
      <c r="Q57" s="33"/>
      <c r="R57" s="33" t="s">
        <v>30</v>
      </c>
    </row>
    <row r="58" spans="2:18" x14ac:dyDescent="0.15">
      <c r="B58" s="92" t="s">
        <v>160</v>
      </c>
      <c r="C58" s="92" t="s">
        <v>233</v>
      </c>
      <c r="D58" s="93">
        <v>43277</v>
      </c>
      <c r="E58" s="93">
        <v>43307</v>
      </c>
      <c r="F58" s="92">
        <v>14170</v>
      </c>
      <c r="G58" s="92">
        <v>30</v>
      </c>
      <c r="H58" s="92">
        <v>8.2191780821917804E-2</v>
      </c>
      <c r="I58" s="92">
        <v>0</v>
      </c>
      <c r="J58" s="92">
        <v>0.19</v>
      </c>
      <c r="K58" s="92">
        <v>-307.38319058384604</v>
      </c>
      <c r="L58" s="92">
        <v>70</v>
      </c>
      <c r="M58" s="92">
        <v>8.1526027397260261</v>
      </c>
      <c r="N58" s="99">
        <v>315.53579332357208</v>
      </c>
      <c r="O58" s="92">
        <v>14170</v>
      </c>
      <c r="P58" s="92" t="s">
        <v>85</v>
      </c>
      <c r="Q58" s="92">
        <v>-1</v>
      </c>
      <c r="R58" s="92" t="s">
        <v>20</v>
      </c>
    </row>
    <row r="59" spans="2:18" x14ac:dyDescent="0.15">
      <c r="B59" s="91" t="s">
        <v>2</v>
      </c>
      <c r="C59" s="33" t="s">
        <v>181</v>
      </c>
      <c r="D59" s="33" t="s">
        <v>180</v>
      </c>
      <c r="E59" s="33" t="s">
        <v>10</v>
      </c>
      <c r="F59" s="33" t="s">
        <v>184</v>
      </c>
      <c r="G59" s="33" t="s">
        <v>11</v>
      </c>
      <c r="H59" s="33" t="s">
        <v>12</v>
      </c>
      <c r="I59" s="33" t="s">
        <v>47</v>
      </c>
      <c r="J59" s="33" t="s">
        <v>13</v>
      </c>
      <c r="K59" s="33" t="s">
        <v>14</v>
      </c>
      <c r="L59" s="33" t="s">
        <v>26</v>
      </c>
      <c r="M59" s="33" t="s">
        <v>28</v>
      </c>
      <c r="N59" s="33" t="s">
        <v>182</v>
      </c>
      <c r="O59" s="33" t="s">
        <v>8</v>
      </c>
      <c r="P59" s="33" t="s">
        <v>23</v>
      </c>
      <c r="Q59" s="33"/>
      <c r="R59" s="33" t="s">
        <v>30</v>
      </c>
    </row>
    <row r="60" spans="2:18" x14ac:dyDescent="0.15">
      <c r="B60" s="121" t="s">
        <v>160</v>
      </c>
      <c r="C60" s="121" t="s">
        <v>276</v>
      </c>
      <c r="D60" s="122">
        <v>43277</v>
      </c>
      <c r="E60" s="122">
        <v>43307</v>
      </c>
      <c r="F60" s="121">
        <v>3500</v>
      </c>
      <c r="G60" s="121">
        <v>30</v>
      </c>
      <c r="H60" s="121">
        <v>8.2191780821917804E-2</v>
      </c>
      <c r="I60" s="121">
        <v>0</v>
      </c>
      <c r="J60" s="121">
        <v>0.255</v>
      </c>
      <c r="K60" s="121">
        <v>39.494774706025169</v>
      </c>
      <c r="L60" s="121"/>
      <c r="M60" s="121"/>
      <c r="N60" s="123">
        <v>39.494774706025169</v>
      </c>
      <c r="O60" s="121">
        <v>3675</v>
      </c>
      <c r="P60" s="121" t="s">
        <v>85</v>
      </c>
      <c r="Q60" s="121">
        <v>1</v>
      </c>
      <c r="R60" s="121" t="s">
        <v>151</v>
      </c>
    </row>
    <row r="61" spans="2:18" x14ac:dyDescent="0.15">
      <c r="B61" s="124" t="s">
        <v>160</v>
      </c>
      <c r="C61" s="124" t="s">
        <v>276</v>
      </c>
      <c r="D61" s="125">
        <v>43277</v>
      </c>
      <c r="E61" s="125">
        <v>43307</v>
      </c>
      <c r="F61" s="124">
        <v>3900</v>
      </c>
      <c r="G61" s="124">
        <v>30</v>
      </c>
      <c r="H61" s="124">
        <v>8.2191780821917804E-2</v>
      </c>
      <c r="I61" s="124">
        <v>0</v>
      </c>
      <c r="J61" s="124">
        <v>0.28499999999999998</v>
      </c>
      <c r="K61" s="124">
        <v>-42.101545197848168</v>
      </c>
      <c r="L61" s="124"/>
      <c r="M61" s="124"/>
      <c r="N61" s="126">
        <v>42.101545197848168</v>
      </c>
      <c r="O61" s="124">
        <v>3675</v>
      </c>
      <c r="P61" s="124" t="s">
        <v>39</v>
      </c>
      <c r="Q61" s="124">
        <v>-1</v>
      </c>
      <c r="R61" s="124" t="s">
        <v>20</v>
      </c>
    </row>
    <row r="62" spans="2:18" x14ac:dyDescent="0.15">
      <c r="B62" s="127" t="s">
        <v>160</v>
      </c>
      <c r="C62" s="127" t="s">
        <v>276</v>
      </c>
      <c r="D62" s="128">
        <v>43277</v>
      </c>
      <c r="E62" s="128">
        <v>43307</v>
      </c>
      <c r="F62" s="127" t="s">
        <v>277</v>
      </c>
      <c r="G62" s="127">
        <v>30</v>
      </c>
      <c r="H62" s="127">
        <v>8.2191780821917804E-2</v>
      </c>
      <c r="I62" s="127"/>
      <c r="J62" s="127"/>
      <c r="K62" s="127">
        <v>-2.6067704918229992</v>
      </c>
      <c r="L62" s="127">
        <v>0</v>
      </c>
      <c r="M62" s="127">
        <v>0</v>
      </c>
      <c r="N62" s="129">
        <v>4.6100000000000003</v>
      </c>
      <c r="O62" s="127">
        <v>3675</v>
      </c>
      <c r="P62" s="127"/>
      <c r="Q62" s="127"/>
      <c r="R62" s="127" t="s">
        <v>280</v>
      </c>
    </row>
    <row r="63" spans="2:18" x14ac:dyDescent="0.15">
      <c r="B63" s="121" t="s">
        <v>160</v>
      </c>
      <c r="C63" s="121" t="s">
        <v>276</v>
      </c>
      <c r="D63" s="122">
        <v>43277</v>
      </c>
      <c r="E63" s="122">
        <v>43307</v>
      </c>
      <c r="F63" s="121">
        <v>3400</v>
      </c>
      <c r="G63" s="121">
        <v>30</v>
      </c>
      <c r="H63" s="121">
        <v>8.2191780821917804E-2</v>
      </c>
      <c r="I63" s="121">
        <v>0</v>
      </c>
      <c r="J63" s="121">
        <v>0.255</v>
      </c>
      <c r="K63" s="121">
        <v>18.995808563389119</v>
      </c>
      <c r="L63" s="121"/>
      <c r="M63" s="121"/>
      <c r="N63" s="123">
        <v>18.995808563389119</v>
      </c>
      <c r="O63" s="121">
        <v>3675</v>
      </c>
      <c r="P63" s="121" t="s">
        <v>85</v>
      </c>
      <c r="Q63" s="121">
        <v>1</v>
      </c>
      <c r="R63" s="121" t="s">
        <v>151</v>
      </c>
    </row>
    <row r="64" spans="2:18" x14ac:dyDescent="0.15">
      <c r="B64" s="124" t="s">
        <v>160</v>
      </c>
      <c r="C64" s="124" t="s">
        <v>276</v>
      </c>
      <c r="D64" s="125">
        <v>43277</v>
      </c>
      <c r="E64" s="125">
        <v>43307</v>
      </c>
      <c r="F64" s="124">
        <v>3800</v>
      </c>
      <c r="G64" s="124">
        <v>30</v>
      </c>
      <c r="H64" s="124">
        <v>8.2191780821917804E-2</v>
      </c>
      <c r="I64" s="124">
        <v>0</v>
      </c>
      <c r="J64" s="124">
        <v>0.28499999999999998</v>
      </c>
      <c r="K64" s="124">
        <v>-69.239342377716866</v>
      </c>
      <c r="L64" s="124"/>
      <c r="M64" s="124"/>
      <c r="N64" s="126">
        <v>69.239342377716866</v>
      </c>
      <c r="O64" s="124">
        <v>3675</v>
      </c>
      <c r="P64" s="124" t="s">
        <v>39</v>
      </c>
      <c r="Q64" s="124">
        <v>-1</v>
      </c>
      <c r="R64" s="124" t="s">
        <v>20</v>
      </c>
    </row>
    <row r="65" spans="2:18" x14ac:dyDescent="0.15">
      <c r="B65" s="127" t="s">
        <v>160</v>
      </c>
      <c r="C65" s="127" t="s">
        <v>276</v>
      </c>
      <c r="D65" s="128">
        <v>43277</v>
      </c>
      <c r="E65" s="128">
        <v>43307</v>
      </c>
      <c r="F65" s="127" t="s">
        <v>278</v>
      </c>
      <c r="G65" s="127">
        <v>30</v>
      </c>
      <c r="H65" s="127">
        <v>8.2191780821917804E-2</v>
      </c>
      <c r="I65" s="127"/>
      <c r="J65" s="127"/>
      <c r="K65" s="127">
        <v>-50.243533814327748</v>
      </c>
      <c r="L65" s="127">
        <v>0</v>
      </c>
      <c r="M65" s="127">
        <v>0</v>
      </c>
      <c r="N65" s="129">
        <v>50.243533814327748</v>
      </c>
      <c r="O65" s="127">
        <v>3675</v>
      </c>
      <c r="P65" s="127"/>
      <c r="Q65" s="127"/>
      <c r="R65" s="127" t="s">
        <v>280</v>
      </c>
    </row>
    <row r="66" spans="2:18" x14ac:dyDescent="0.15">
      <c r="B66" s="121" t="s">
        <v>160</v>
      </c>
      <c r="C66" s="121" t="s">
        <v>276</v>
      </c>
      <c r="D66" s="122">
        <v>43277</v>
      </c>
      <c r="E66" s="122">
        <v>43307</v>
      </c>
      <c r="F66" s="121">
        <v>3300</v>
      </c>
      <c r="G66" s="121">
        <v>30</v>
      </c>
      <c r="H66" s="121">
        <v>8.2191780821917804E-2</v>
      </c>
      <c r="I66" s="121">
        <v>0</v>
      </c>
      <c r="J66" s="121">
        <v>0.255</v>
      </c>
      <c r="K66" s="121">
        <v>7.9291843041075367</v>
      </c>
      <c r="L66" s="121"/>
      <c r="M66" s="121"/>
      <c r="N66" s="123">
        <v>7.9291843041075367</v>
      </c>
      <c r="O66" s="121">
        <v>3675</v>
      </c>
      <c r="P66" s="121" t="s">
        <v>85</v>
      </c>
      <c r="Q66" s="121">
        <v>1</v>
      </c>
      <c r="R66" s="121" t="s">
        <v>151</v>
      </c>
    </row>
    <row r="67" spans="2:18" x14ac:dyDescent="0.15">
      <c r="B67" s="124" t="s">
        <v>160</v>
      </c>
      <c r="C67" s="124" t="s">
        <v>276</v>
      </c>
      <c r="D67" s="125">
        <v>43277</v>
      </c>
      <c r="E67" s="125">
        <v>43307</v>
      </c>
      <c r="F67" s="124">
        <v>4000</v>
      </c>
      <c r="G67" s="124">
        <v>30</v>
      </c>
      <c r="H67" s="124">
        <v>8.2191780821917804E-2</v>
      </c>
      <c r="I67" s="124">
        <v>0</v>
      </c>
      <c r="J67" s="124">
        <v>0.28499999999999998</v>
      </c>
      <c r="K67" s="124">
        <v>-24.253141259400991</v>
      </c>
      <c r="L67" s="124"/>
      <c r="M67" s="124"/>
      <c r="N67" s="126">
        <v>24.253141259400991</v>
      </c>
      <c r="O67" s="124">
        <v>3675</v>
      </c>
      <c r="P67" s="124" t="s">
        <v>39</v>
      </c>
      <c r="Q67" s="124">
        <v>-1</v>
      </c>
      <c r="R67" s="124" t="s">
        <v>20</v>
      </c>
    </row>
    <row r="68" spans="2:18" x14ac:dyDescent="0.15">
      <c r="B68" s="127" t="s">
        <v>160</v>
      </c>
      <c r="C68" s="127" t="s">
        <v>276</v>
      </c>
      <c r="D68" s="128">
        <v>43277</v>
      </c>
      <c r="E68" s="128">
        <v>43307</v>
      </c>
      <c r="F68" s="127" t="s">
        <v>279</v>
      </c>
      <c r="G68" s="127">
        <v>30</v>
      </c>
      <c r="H68" s="127">
        <v>8.2191780821917804E-2</v>
      </c>
      <c r="I68" s="127"/>
      <c r="J68" s="127"/>
      <c r="K68" s="127">
        <v>-16.323956955293454</v>
      </c>
      <c r="L68" s="127">
        <v>50</v>
      </c>
      <c r="M68" s="127">
        <v>1.5102739726027397</v>
      </c>
      <c r="N68" s="129">
        <v>17.834230927896193</v>
      </c>
      <c r="O68" s="127">
        <v>3675</v>
      </c>
      <c r="P68" s="127"/>
      <c r="Q68" s="127"/>
      <c r="R68" s="127" t="s">
        <v>280</v>
      </c>
    </row>
    <row r="69" spans="2:18" x14ac:dyDescent="0.15">
      <c r="B69" s="92"/>
      <c r="C69" s="92"/>
      <c r="D69" s="93"/>
      <c r="E69" s="93"/>
      <c r="F69" s="92"/>
      <c r="G69" s="92"/>
      <c r="H69" s="92"/>
      <c r="I69" s="92"/>
      <c r="J69" s="92"/>
      <c r="K69" s="92"/>
      <c r="L69" s="92"/>
      <c r="M69" s="92"/>
      <c r="N69" s="99"/>
      <c r="O69" s="92"/>
      <c r="P69" s="92"/>
      <c r="Q69" s="92"/>
      <c r="R69" s="92"/>
    </row>
    <row r="70" spans="2:18" x14ac:dyDescent="0.15">
      <c r="B70" s="121" t="s">
        <v>160</v>
      </c>
      <c r="C70" s="121" t="s">
        <v>276</v>
      </c>
      <c r="D70" s="122">
        <v>43277</v>
      </c>
      <c r="E70" s="122">
        <v>43367</v>
      </c>
      <c r="F70" s="121">
        <v>3500</v>
      </c>
      <c r="G70" s="121">
        <v>90</v>
      </c>
      <c r="H70" s="121">
        <v>0.24657534246575341</v>
      </c>
      <c r="I70" s="121">
        <v>0</v>
      </c>
      <c r="J70" s="121">
        <v>0.25</v>
      </c>
      <c r="K70" s="121">
        <v>103.06632950881885</v>
      </c>
      <c r="L70" s="121"/>
      <c r="M70" s="121"/>
      <c r="N70" s="123">
        <v>103.06632950881885</v>
      </c>
      <c r="O70" s="121">
        <v>3675</v>
      </c>
      <c r="P70" s="121" t="s">
        <v>85</v>
      </c>
      <c r="Q70" s="121">
        <v>1</v>
      </c>
      <c r="R70" s="121" t="s">
        <v>151</v>
      </c>
    </row>
    <row r="71" spans="2:18" x14ac:dyDescent="0.15">
      <c r="B71" s="124" t="s">
        <v>160</v>
      </c>
      <c r="C71" s="124" t="s">
        <v>276</v>
      </c>
      <c r="D71" s="125">
        <v>43277</v>
      </c>
      <c r="E71" s="125">
        <v>43367</v>
      </c>
      <c r="F71" s="124">
        <v>3900</v>
      </c>
      <c r="G71" s="124">
        <v>90</v>
      </c>
      <c r="H71" s="124">
        <v>0.24657534246575341</v>
      </c>
      <c r="I71" s="124">
        <v>0</v>
      </c>
      <c r="J71" s="124">
        <v>0.28000000000000003</v>
      </c>
      <c r="K71" s="124">
        <v>-115.69220802565451</v>
      </c>
      <c r="L71" s="124"/>
      <c r="M71" s="124"/>
      <c r="N71" s="126">
        <v>115.69220802565451</v>
      </c>
      <c r="O71" s="124">
        <v>3675</v>
      </c>
      <c r="P71" s="124" t="s">
        <v>39</v>
      </c>
      <c r="Q71" s="124">
        <v>-1</v>
      </c>
      <c r="R71" s="124" t="s">
        <v>20</v>
      </c>
    </row>
    <row r="72" spans="2:18" x14ac:dyDescent="0.15">
      <c r="B72" s="127" t="s">
        <v>160</v>
      </c>
      <c r="C72" s="127" t="s">
        <v>276</v>
      </c>
      <c r="D72" s="128">
        <v>43277</v>
      </c>
      <c r="E72" s="128">
        <v>43367</v>
      </c>
      <c r="F72" s="127" t="s">
        <v>277</v>
      </c>
      <c r="G72" s="127">
        <v>90</v>
      </c>
      <c r="H72" s="127">
        <v>0.24657534246575341</v>
      </c>
      <c r="I72" s="127"/>
      <c r="J72" s="127"/>
      <c r="K72" s="127">
        <v>-12.625878516835655</v>
      </c>
      <c r="L72" s="127">
        <v>0</v>
      </c>
      <c r="M72" s="127">
        <v>0</v>
      </c>
      <c r="N72" s="129">
        <v>12.625878516835655</v>
      </c>
      <c r="O72" s="127">
        <v>3675</v>
      </c>
      <c r="P72" s="127"/>
      <c r="Q72" s="127"/>
      <c r="R72" s="127" t="s">
        <v>280</v>
      </c>
    </row>
    <row r="73" spans="2:18" x14ac:dyDescent="0.15">
      <c r="B73" s="121" t="s">
        <v>160</v>
      </c>
      <c r="C73" s="121" t="s">
        <v>276</v>
      </c>
      <c r="D73" s="122">
        <v>43277</v>
      </c>
      <c r="E73" s="122">
        <v>43367</v>
      </c>
      <c r="F73" s="121">
        <v>3400</v>
      </c>
      <c r="G73" s="121">
        <v>90</v>
      </c>
      <c r="H73" s="121">
        <v>0.24657534246575341</v>
      </c>
      <c r="I73" s="121">
        <v>0</v>
      </c>
      <c r="J73" s="121">
        <v>0.25</v>
      </c>
      <c r="K73" s="121">
        <v>70.452272274991628</v>
      </c>
      <c r="L73" s="121"/>
      <c r="M73" s="121"/>
      <c r="N73" s="123">
        <v>70.452272274991628</v>
      </c>
      <c r="O73" s="121">
        <v>3675</v>
      </c>
      <c r="P73" s="121" t="s">
        <v>85</v>
      </c>
      <c r="Q73" s="121">
        <v>1</v>
      </c>
      <c r="R73" s="121" t="s">
        <v>151</v>
      </c>
    </row>
    <row r="74" spans="2:18" x14ac:dyDescent="0.15">
      <c r="B74" s="124" t="s">
        <v>160</v>
      </c>
      <c r="C74" s="124" t="s">
        <v>276</v>
      </c>
      <c r="D74" s="125">
        <v>43277</v>
      </c>
      <c r="E74" s="125">
        <v>43367</v>
      </c>
      <c r="F74" s="124">
        <v>3800</v>
      </c>
      <c r="G74" s="124">
        <v>90</v>
      </c>
      <c r="H74" s="124">
        <v>0.24657534246575341</v>
      </c>
      <c r="I74" s="124">
        <v>0</v>
      </c>
      <c r="J74" s="124">
        <v>0.28000000000000003</v>
      </c>
      <c r="K74" s="124">
        <v>-149.85909592590338</v>
      </c>
      <c r="L74" s="124"/>
      <c r="M74" s="124"/>
      <c r="N74" s="126">
        <v>149.85909592590338</v>
      </c>
      <c r="O74" s="124">
        <v>3675</v>
      </c>
      <c r="P74" s="124" t="s">
        <v>39</v>
      </c>
      <c r="Q74" s="124">
        <v>-1</v>
      </c>
      <c r="R74" s="124" t="s">
        <v>20</v>
      </c>
    </row>
    <row r="75" spans="2:18" x14ac:dyDescent="0.15">
      <c r="B75" s="127" t="s">
        <v>160</v>
      </c>
      <c r="C75" s="127" t="s">
        <v>276</v>
      </c>
      <c r="D75" s="128">
        <v>43277</v>
      </c>
      <c r="E75" s="128">
        <v>43367</v>
      </c>
      <c r="F75" s="127" t="s">
        <v>278</v>
      </c>
      <c r="G75" s="127">
        <v>90</v>
      </c>
      <c r="H75" s="127">
        <v>0.24657534246575341</v>
      </c>
      <c r="I75" s="127"/>
      <c r="J75" s="127"/>
      <c r="K75" s="127">
        <v>-79.406823650911747</v>
      </c>
      <c r="L75" s="127">
        <v>0</v>
      </c>
      <c r="M75" s="127">
        <v>0</v>
      </c>
      <c r="N75" s="129">
        <v>79.406823650911747</v>
      </c>
      <c r="O75" s="127">
        <v>3675</v>
      </c>
      <c r="P75" s="127"/>
      <c r="Q75" s="127"/>
      <c r="R75" s="127" t="s">
        <v>280</v>
      </c>
    </row>
    <row r="76" spans="2:18" x14ac:dyDescent="0.15">
      <c r="B76" s="121" t="s">
        <v>160</v>
      </c>
      <c r="C76" s="121" t="s">
        <v>276</v>
      </c>
      <c r="D76" s="122">
        <v>43277</v>
      </c>
      <c r="E76" s="122">
        <v>43367</v>
      </c>
      <c r="F76" s="121">
        <v>3300</v>
      </c>
      <c r="G76" s="121">
        <v>90</v>
      </c>
      <c r="H76" s="121">
        <v>0.24657534246575341</v>
      </c>
      <c r="I76" s="121">
        <v>0</v>
      </c>
      <c r="J76" s="121">
        <v>0.25</v>
      </c>
      <c r="K76" s="121">
        <v>45.82637478802269</v>
      </c>
      <c r="L76" s="121"/>
      <c r="M76" s="121"/>
      <c r="N76" s="123">
        <v>45.82637478802269</v>
      </c>
      <c r="O76" s="121">
        <v>3675</v>
      </c>
      <c r="P76" s="121" t="s">
        <v>85</v>
      </c>
      <c r="Q76" s="121">
        <v>1</v>
      </c>
      <c r="R76" s="121" t="s">
        <v>151</v>
      </c>
    </row>
    <row r="77" spans="2:18" x14ac:dyDescent="0.15">
      <c r="B77" s="124" t="s">
        <v>160</v>
      </c>
      <c r="C77" s="124" t="s">
        <v>276</v>
      </c>
      <c r="D77" s="125">
        <v>43277</v>
      </c>
      <c r="E77" s="125">
        <v>43367</v>
      </c>
      <c r="F77" s="124">
        <v>4000</v>
      </c>
      <c r="G77" s="124">
        <v>90</v>
      </c>
      <c r="H77" s="124">
        <v>0.24657534246575341</v>
      </c>
      <c r="I77" s="124">
        <v>0</v>
      </c>
      <c r="J77" s="124">
        <v>0.28000000000000003</v>
      </c>
      <c r="K77" s="124">
        <v>-87.986731659793804</v>
      </c>
      <c r="L77" s="124"/>
      <c r="M77" s="124"/>
      <c r="N77" s="126">
        <v>87.986731659793804</v>
      </c>
      <c r="O77" s="124">
        <v>3675</v>
      </c>
      <c r="P77" s="124" t="s">
        <v>39</v>
      </c>
      <c r="Q77" s="124">
        <v>-1</v>
      </c>
      <c r="R77" s="124" t="s">
        <v>20</v>
      </c>
    </row>
    <row r="78" spans="2:18" x14ac:dyDescent="0.15">
      <c r="B78" s="127" t="s">
        <v>160</v>
      </c>
      <c r="C78" s="127" t="s">
        <v>276</v>
      </c>
      <c r="D78" s="128">
        <v>43277</v>
      </c>
      <c r="E78" s="128">
        <v>43367</v>
      </c>
      <c r="F78" s="127" t="s">
        <v>279</v>
      </c>
      <c r="G78" s="127">
        <v>90</v>
      </c>
      <c r="H78" s="127">
        <v>0.24657534246575341</v>
      </c>
      <c r="I78" s="127"/>
      <c r="J78" s="127"/>
      <c r="K78" s="127">
        <v>-42.160356871771114</v>
      </c>
      <c r="L78" s="127">
        <v>50</v>
      </c>
      <c r="M78" s="127">
        <v>4.5308219178082192</v>
      </c>
      <c r="N78" s="129">
        <v>46.691178789579332</v>
      </c>
      <c r="O78" s="127">
        <v>3675</v>
      </c>
      <c r="P78" s="127"/>
      <c r="Q78" s="127"/>
      <c r="R78" s="127" t="s">
        <v>280</v>
      </c>
    </row>
    <row r="79" spans="2:18" x14ac:dyDescent="0.15">
      <c r="B79" s="91" t="s">
        <v>2</v>
      </c>
      <c r="C79" s="33" t="s">
        <v>181</v>
      </c>
      <c r="D79" s="33" t="s">
        <v>180</v>
      </c>
      <c r="E79" s="33" t="s">
        <v>10</v>
      </c>
      <c r="F79" s="33" t="s">
        <v>184</v>
      </c>
      <c r="G79" s="33" t="s">
        <v>11</v>
      </c>
      <c r="H79" s="33" t="s">
        <v>12</v>
      </c>
      <c r="I79" s="33" t="s">
        <v>47</v>
      </c>
      <c r="J79" s="33" t="s">
        <v>13</v>
      </c>
      <c r="K79" s="33" t="s">
        <v>14</v>
      </c>
      <c r="L79" s="33" t="s">
        <v>26</v>
      </c>
      <c r="M79" s="33" t="s">
        <v>28</v>
      </c>
      <c r="N79" s="33" t="s">
        <v>182</v>
      </c>
      <c r="O79" s="33" t="s">
        <v>8</v>
      </c>
      <c r="P79" s="33" t="s">
        <v>23</v>
      </c>
      <c r="Q79" s="33"/>
      <c r="R79" s="33" t="s">
        <v>30</v>
      </c>
    </row>
    <row r="80" spans="2:18" x14ac:dyDescent="0.15">
      <c r="B80" s="121" t="s">
        <v>160</v>
      </c>
      <c r="C80" s="121" t="s">
        <v>239</v>
      </c>
      <c r="D80" s="122">
        <v>43277</v>
      </c>
      <c r="E80" s="122">
        <v>43308</v>
      </c>
      <c r="F80" s="121">
        <v>3150</v>
      </c>
      <c r="G80" s="121">
        <v>31</v>
      </c>
      <c r="H80" s="121">
        <v>8.4931506849315067E-2</v>
      </c>
      <c r="I80" s="121">
        <v>0</v>
      </c>
      <c r="J80" s="121">
        <v>0.19470000000000001</v>
      </c>
      <c r="K80" s="121">
        <v>40.182982197670071</v>
      </c>
      <c r="L80" s="121">
        <v>30</v>
      </c>
      <c r="M80" s="121">
        <v>0.78425753424657541</v>
      </c>
      <c r="N80" s="123">
        <v>39.398724663423494</v>
      </c>
      <c r="O80" s="121">
        <v>3078</v>
      </c>
      <c r="P80" s="121" t="s">
        <v>39</v>
      </c>
      <c r="Q80" s="121">
        <v>1</v>
      </c>
      <c r="R80" s="121" t="s">
        <v>151</v>
      </c>
    </row>
    <row r="81" spans="1:18" x14ac:dyDescent="0.15">
      <c r="B81" s="124" t="s">
        <v>160</v>
      </c>
      <c r="C81" s="124" t="s">
        <v>239</v>
      </c>
      <c r="D81" s="125">
        <v>43277</v>
      </c>
      <c r="E81" s="125">
        <v>43307</v>
      </c>
      <c r="F81" s="124">
        <v>3150</v>
      </c>
      <c r="G81" s="124">
        <v>30</v>
      </c>
      <c r="H81" s="124">
        <v>8.2191780821917804E-2</v>
      </c>
      <c r="I81" s="124">
        <v>0</v>
      </c>
      <c r="J81" s="124">
        <v>0.19470000000000001</v>
      </c>
      <c r="K81" s="124">
        <v>39.836329300597981</v>
      </c>
      <c r="L81" s="124">
        <v>30</v>
      </c>
      <c r="M81" s="124">
        <v>0.75945205479452049</v>
      </c>
      <c r="N81" s="126">
        <v>39.076877245803459</v>
      </c>
      <c r="O81" s="124">
        <v>3080</v>
      </c>
      <c r="P81" s="124" t="s">
        <v>39</v>
      </c>
      <c r="Q81" s="124">
        <v>1</v>
      </c>
      <c r="R81" s="124" t="s">
        <v>151</v>
      </c>
    </row>
    <row r="82" spans="1:18" x14ac:dyDescent="0.15">
      <c r="B82" s="91" t="s">
        <v>2</v>
      </c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1:18" x14ac:dyDescent="0.15">
      <c r="B83" s="121" t="s">
        <v>160</v>
      </c>
      <c r="C83" s="121" t="s">
        <v>276</v>
      </c>
      <c r="D83" s="122">
        <v>43277</v>
      </c>
      <c r="E83" s="122">
        <v>43307</v>
      </c>
      <c r="F83" s="121">
        <v>3300</v>
      </c>
      <c r="G83" s="121">
        <v>30</v>
      </c>
      <c r="H83" s="121">
        <v>8.2191780821917804E-2</v>
      </c>
      <c r="I83" s="121">
        <v>0</v>
      </c>
      <c r="J83" s="121">
        <v>0.215</v>
      </c>
      <c r="K83" s="121">
        <v>3.4979296459610225</v>
      </c>
      <c r="L83" s="121"/>
      <c r="M83" s="121">
        <v>0</v>
      </c>
      <c r="N83" s="123">
        <v>3.4979296459610225</v>
      </c>
      <c r="O83" s="121">
        <v>3675</v>
      </c>
      <c r="P83" s="121" t="s">
        <v>85</v>
      </c>
      <c r="Q83" s="121">
        <v>1</v>
      </c>
      <c r="R83" s="121" t="s">
        <v>151</v>
      </c>
    </row>
    <row r="84" spans="1:18" x14ac:dyDescent="0.15">
      <c r="B84" s="121" t="s">
        <v>160</v>
      </c>
      <c r="C84" s="121" t="s">
        <v>276</v>
      </c>
      <c r="D84" s="122">
        <v>43277</v>
      </c>
      <c r="E84" s="122">
        <v>43307</v>
      </c>
      <c r="F84" s="121">
        <v>3400</v>
      </c>
      <c r="G84" s="121">
        <v>30</v>
      </c>
      <c r="H84" s="121">
        <v>8.2191780821917804E-2</v>
      </c>
      <c r="I84" s="121">
        <v>0</v>
      </c>
      <c r="J84" s="121">
        <v>0.215</v>
      </c>
      <c r="K84" s="121">
        <v>10.73115240660735</v>
      </c>
      <c r="L84" s="121"/>
      <c r="M84" s="121">
        <v>0</v>
      </c>
      <c r="N84" s="123">
        <v>10.73115240660735</v>
      </c>
      <c r="O84" s="121">
        <v>3675</v>
      </c>
      <c r="P84" s="121" t="s">
        <v>85</v>
      </c>
      <c r="Q84" s="121">
        <v>1</v>
      </c>
      <c r="R84" s="121" t="s">
        <v>151</v>
      </c>
    </row>
    <row r="85" spans="1:18" x14ac:dyDescent="0.15">
      <c r="B85" s="121" t="s">
        <v>160</v>
      </c>
      <c r="C85" s="121" t="s">
        <v>276</v>
      </c>
      <c r="D85" s="122">
        <v>43277</v>
      </c>
      <c r="E85" s="122">
        <v>43307</v>
      </c>
      <c r="F85" s="121">
        <v>3500</v>
      </c>
      <c r="G85" s="121">
        <v>30</v>
      </c>
      <c r="H85" s="121">
        <v>8.2191780821917804E-2</v>
      </c>
      <c r="I85" s="121">
        <v>0</v>
      </c>
      <c r="J85" s="121">
        <v>0.215</v>
      </c>
      <c r="K85" s="121">
        <v>26.91943414860566</v>
      </c>
      <c r="L85" s="121"/>
      <c r="M85" s="121">
        <v>0</v>
      </c>
      <c r="N85" s="123">
        <v>26.91943414860566</v>
      </c>
      <c r="O85" s="121">
        <v>3675</v>
      </c>
      <c r="P85" s="121" t="s">
        <v>85</v>
      </c>
      <c r="Q85" s="121">
        <v>1</v>
      </c>
      <c r="R85" s="121" t="s">
        <v>151</v>
      </c>
    </row>
    <row r="86" spans="1:18" x14ac:dyDescent="0.15">
      <c r="B86" s="121" t="s">
        <v>160</v>
      </c>
      <c r="C86" s="121" t="s">
        <v>276</v>
      </c>
      <c r="D86" s="122">
        <v>43277</v>
      </c>
      <c r="E86" s="122">
        <v>43367</v>
      </c>
      <c r="F86" s="121">
        <v>3100</v>
      </c>
      <c r="G86" s="121">
        <v>90</v>
      </c>
      <c r="H86" s="121">
        <v>0.24657534246575341</v>
      </c>
      <c r="I86" s="121">
        <v>0</v>
      </c>
      <c r="J86" s="121">
        <v>0.22</v>
      </c>
      <c r="K86" s="121">
        <v>9.4089750527262481</v>
      </c>
      <c r="L86" s="121"/>
      <c r="M86" s="121">
        <v>0</v>
      </c>
      <c r="N86" s="123">
        <v>9.4089750527262481</v>
      </c>
      <c r="O86" s="121">
        <v>3675</v>
      </c>
      <c r="P86" s="121" t="s">
        <v>85</v>
      </c>
      <c r="Q86" s="121">
        <v>1</v>
      </c>
      <c r="R86" s="121" t="s">
        <v>151</v>
      </c>
    </row>
    <row r="87" spans="1:18" x14ac:dyDescent="0.15">
      <c r="B87" s="121" t="s">
        <v>160</v>
      </c>
      <c r="C87" s="121" t="s">
        <v>276</v>
      </c>
      <c r="D87" s="122">
        <v>43277</v>
      </c>
      <c r="E87" s="122">
        <v>43367</v>
      </c>
      <c r="F87" s="121">
        <v>3300</v>
      </c>
      <c r="G87" s="121">
        <v>90</v>
      </c>
      <c r="H87" s="121">
        <v>0.24657534246575341</v>
      </c>
      <c r="I87" s="121">
        <v>0</v>
      </c>
      <c r="J87" s="121">
        <v>0.22</v>
      </c>
      <c r="K87" s="121">
        <v>32.406866024294686</v>
      </c>
      <c r="L87" s="121"/>
      <c r="M87" s="121">
        <v>0</v>
      </c>
      <c r="N87" s="123">
        <v>32.406866024294686</v>
      </c>
      <c r="O87" s="121">
        <v>3675</v>
      </c>
      <c r="P87" s="121" t="s">
        <v>85</v>
      </c>
      <c r="Q87" s="121">
        <v>1</v>
      </c>
      <c r="R87" s="121" t="s">
        <v>151</v>
      </c>
    </row>
    <row r="88" spans="1:18" x14ac:dyDescent="0.15">
      <c r="B88" s="121" t="s">
        <v>160</v>
      </c>
      <c r="C88" s="121" t="s">
        <v>276</v>
      </c>
      <c r="D88" s="122">
        <v>43277</v>
      </c>
      <c r="E88" s="122">
        <v>43367</v>
      </c>
      <c r="F88" s="121">
        <v>3500</v>
      </c>
      <c r="G88" s="121">
        <v>90</v>
      </c>
      <c r="H88" s="121">
        <v>0.24657534246575341</v>
      </c>
      <c r="I88" s="121">
        <v>0</v>
      </c>
      <c r="J88" s="121">
        <v>0.22</v>
      </c>
      <c r="K88" s="121">
        <v>83.671779092422867</v>
      </c>
      <c r="L88" s="121"/>
      <c r="M88" s="121">
        <v>0</v>
      </c>
      <c r="N88" s="123">
        <v>83.671779092422867</v>
      </c>
      <c r="O88" s="121">
        <v>3675</v>
      </c>
      <c r="P88" s="121" t="s">
        <v>85</v>
      </c>
      <c r="Q88" s="121">
        <v>1</v>
      </c>
      <c r="R88" s="121" t="s">
        <v>151</v>
      </c>
    </row>
    <row r="89" spans="1:18" x14ac:dyDescent="0.15">
      <c r="A89" s="130">
        <v>43278</v>
      </c>
      <c r="B89" s="91" t="s">
        <v>2</v>
      </c>
      <c r="C89" s="33" t="s">
        <v>181</v>
      </c>
      <c r="D89" s="33" t="s">
        <v>180</v>
      </c>
      <c r="E89" s="33" t="s">
        <v>10</v>
      </c>
      <c r="F89" s="33" t="s">
        <v>184</v>
      </c>
      <c r="G89" s="33" t="s">
        <v>11</v>
      </c>
      <c r="H89" s="33" t="s">
        <v>12</v>
      </c>
      <c r="I89" s="33" t="s">
        <v>47</v>
      </c>
      <c r="J89" s="33" t="s">
        <v>13</v>
      </c>
      <c r="K89" s="33" t="s">
        <v>14</v>
      </c>
      <c r="L89" s="33" t="s">
        <v>26</v>
      </c>
      <c r="M89" s="33" t="s">
        <v>28</v>
      </c>
      <c r="N89" s="33" t="s">
        <v>182</v>
      </c>
      <c r="O89" s="33" t="s">
        <v>8</v>
      </c>
      <c r="P89" s="33" t="s">
        <v>23</v>
      </c>
      <c r="Q89" s="33"/>
      <c r="R89" s="33" t="s">
        <v>30</v>
      </c>
    </row>
    <row r="90" spans="1:18" x14ac:dyDescent="0.15">
      <c r="B90" s="121" t="s">
        <v>160</v>
      </c>
      <c r="C90" s="121" t="s">
        <v>268</v>
      </c>
      <c r="D90" s="122">
        <v>43278</v>
      </c>
      <c r="E90" s="122">
        <v>43309</v>
      </c>
      <c r="F90" s="121">
        <v>49500</v>
      </c>
      <c r="G90" s="121">
        <v>31</v>
      </c>
      <c r="H90" s="121">
        <v>8.4931506849315067E-2</v>
      </c>
      <c r="I90" s="121">
        <v>0</v>
      </c>
      <c r="J90" s="121">
        <v>0.1225</v>
      </c>
      <c r="K90" s="121">
        <v>87.132866616341744</v>
      </c>
      <c r="L90" s="121">
        <v>30</v>
      </c>
      <c r="M90" s="121">
        <v>13.198356164383561</v>
      </c>
      <c r="N90" s="123">
        <v>73.934510451958175</v>
      </c>
      <c r="O90" s="121">
        <v>51800</v>
      </c>
      <c r="P90" s="121" t="s">
        <v>85</v>
      </c>
      <c r="Q90" s="121">
        <v>1</v>
      </c>
      <c r="R90" s="121" t="s">
        <v>151</v>
      </c>
    </row>
    <row r="91" spans="1:18" x14ac:dyDescent="0.15">
      <c r="B91" s="91" t="s">
        <v>2</v>
      </c>
      <c r="C91" s="33" t="s">
        <v>181</v>
      </c>
      <c r="D91" s="33" t="s">
        <v>180</v>
      </c>
      <c r="E91" s="33" t="s">
        <v>10</v>
      </c>
      <c r="F91" s="33" t="s">
        <v>184</v>
      </c>
      <c r="G91" s="33" t="s">
        <v>11</v>
      </c>
      <c r="H91" s="33" t="s">
        <v>12</v>
      </c>
      <c r="I91" s="33" t="s">
        <v>47</v>
      </c>
      <c r="J91" s="33" t="s">
        <v>13</v>
      </c>
      <c r="K91" s="33" t="s">
        <v>14</v>
      </c>
      <c r="L91" s="33" t="s">
        <v>26</v>
      </c>
      <c r="M91" s="33" t="s">
        <v>28</v>
      </c>
      <c r="N91" s="33" t="s">
        <v>182</v>
      </c>
      <c r="O91" s="33" t="s">
        <v>8</v>
      </c>
      <c r="P91" s="33" t="s">
        <v>23</v>
      </c>
      <c r="Q91" s="33"/>
      <c r="R91" s="33" t="s">
        <v>30</v>
      </c>
    </row>
    <row r="92" spans="1:18" x14ac:dyDescent="0.15">
      <c r="B92" s="121" t="s">
        <v>160</v>
      </c>
      <c r="C92" s="121" t="s">
        <v>286</v>
      </c>
      <c r="D92" s="122">
        <v>43278</v>
      </c>
      <c r="E92" s="122">
        <v>43339</v>
      </c>
      <c r="F92" s="121">
        <v>9313</v>
      </c>
      <c r="G92" s="121">
        <v>61</v>
      </c>
      <c r="H92" s="121">
        <v>0.16712328767123288</v>
      </c>
      <c r="I92" s="121">
        <v>0</v>
      </c>
      <c r="J92" s="121">
        <v>0.38</v>
      </c>
      <c r="K92" s="121">
        <v>-574.66350559631246</v>
      </c>
      <c r="L92" s="121"/>
      <c r="M92" s="121">
        <v>0</v>
      </c>
      <c r="N92" s="123">
        <v>574.66350559631246</v>
      </c>
      <c r="O92" s="121">
        <v>9313</v>
      </c>
      <c r="P92" s="121" t="s">
        <v>39</v>
      </c>
      <c r="Q92" s="121">
        <v>-1</v>
      </c>
      <c r="R92" s="121" t="s">
        <v>20</v>
      </c>
    </row>
    <row r="93" spans="1:18" x14ac:dyDescent="0.15">
      <c r="B93" s="121" t="s">
        <v>160</v>
      </c>
      <c r="C93" s="121" t="s">
        <v>284</v>
      </c>
      <c r="D93" s="122">
        <v>43278</v>
      </c>
      <c r="E93" s="122">
        <v>43339</v>
      </c>
      <c r="F93" s="121">
        <v>10009</v>
      </c>
      <c r="G93" s="121">
        <v>61</v>
      </c>
      <c r="H93" s="121">
        <v>0.16712328767123288</v>
      </c>
      <c r="I93" s="121">
        <v>0</v>
      </c>
      <c r="J93" s="121">
        <v>0.38</v>
      </c>
      <c r="K93" s="121">
        <v>-617.6105473546113</v>
      </c>
      <c r="L93" s="121"/>
      <c r="M93" s="121">
        <v>0</v>
      </c>
      <c r="N93" s="123">
        <v>617.6105473546113</v>
      </c>
      <c r="O93" s="121">
        <v>10009</v>
      </c>
      <c r="P93" s="121" t="s">
        <v>39</v>
      </c>
      <c r="Q93" s="121">
        <v>-1</v>
      </c>
      <c r="R93" s="121" t="s">
        <v>20</v>
      </c>
    </row>
    <row r="94" spans="1:18" x14ac:dyDescent="0.15">
      <c r="B94" s="91" t="s">
        <v>2</v>
      </c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1:18" x14ac:dyDescent="0.15">
      <c r="B95" s="121" t="s">
        <v>160</v>
      </c>
      <c r="C95" s="121" t="s">
        <v>238</v>
      </c>
      <c r="D95" s="122">
        <v>43278</v>
      </c>
      <c r="E95" s="122">
        <v>43360</v>
      </c>
      <c r="F95" s="121">
        <v>14280</v>
      </c>
      <c r="G95" s="121">
        <v>82</v>
      </c>
      <c r="H95" s="121">
        <v>0.22465753424657534</v>
      </c>
      <c r="I95" s="121">
        <v>0</v>
      </c>
      <c r="J95" s="121">
        <v>0.18</v>
      </c>
      <c r="K95" s="121">
        <v>-476.53780929843742</v>
      </c>
      <c r="L95" s="121"/>
      <c r="M95" s="121">
        <v>0</v>
      </c>
      <c r="N95" s="123">
        <v>476.53780929843742</v>
      </c>
      <c r="O95" s="121">
        <v>14295</v>
      </c>
      <c r="P95" s="121" t="s">
        <v>85</v>
      </c>
      <c r="Q95" s="121">
        <v>-1</v>
      </c>
      <c r="R95" s="121" t="s">
        <v>20</v>
      </c>
    </row>
    <row r="96" spans="1:18" x14ac:dyDescent="0.15">
      <c r="B96" s="91" t="s">
        <v>2</v>
      </c>
      <c r="C96" s="33" t="s">
        <v>181</v>
      </c>
      <c r="D96" s="33" t="s">
        <v>180</v>
      </c>
      <c r="E96" s="33" t="s">
        <v>10</v>
      </c>
      <c r="F96" s="33" t="s">
        <v>184</v>
      </c>
      <c r="G96" s="33" t="s">
        <v>11</v>
      </c>
      <c r="H96" s="33" t="s">
        <v>12</v>
      </c>
      <c r="I96" s="33" t="s">
        <v>47</v>
      </c>
      <c r="J96" s="33" t="s">
        <v>13</v>
      </c>
      <c r="K96" s="33" t="s">
        <v>14</v>
      </c>
      <c r="L96" s="33" t="s">
        <v>26</v>
      </c>
      <c r="M96" s="33" t="s">
        <v>28</v>
      </c>
      <c r="N96" s="33" t="s">
        <v>182</v>
      </c>
      <c r="O96" s="33" t="s">
        <v>8</v>
      </c>
      <c r="P96" s="33" t="s">
        <v>23</v>
      </c>
      <c r="Q96" s="33"/>
      <c r="R96" s="33" t="s">
        <v>30</v>
      </c>
    </row>
    <row r="97" spans="2:18" x14ac:dyDescent="0.15">
      <c r="B97" s="121" t="s">
        <v>160</v>
      </c>
      <c r="C97" s="121" t="s">
        <v>286</v>
      </c>
      <c r="D97" s="122">
        <v>43278</v>
      </c>
      <c r="E97" s="122">
        <v>43308</v>
      </c>
      <c r="F97" s="121">
        <v>9295</v>
      </c>
      <c r="G97" s="121">
        <v>30</v>
      </c>
      <c r="H97" s="121">
        <v>8.2191780821917804E-2</v>
      </c>
      <c r="I97" s="121">
        <v>0</v>
      </c>
      <c r="J97" s="121">
        <v>0.21</v>
      </c>
      <c r="K97" s="121">
        <v>222.85041883431404</v>
      </c>
      <c r="L97" s="121">
        <v>30</v>
      </c>
      <c r="M97" s="121">
        <v>2.291917808219178</v>
      </c>
      <c r="N97" s="123">
        <v>220.55850102609486</v>
      </c>
      <c r="O97" s="121">
        <v>9295</v>
      </c>
      <c r="P97" s="121" t="s">
        <v>291</v>
      </c>
      <c r="Q97" s="121">
        <v>1</v>
      </c>
      <c r="R97" s="121" t="s">
        <v>151</v>
      </c>
    </row>
    <row r="98" spans="2:18" x14ac:dyDescent="0.15">
      <c r="B98" s="121" t="s">
        <v>160</v>
      </c>
      <c r="C98" s="121" t="s">
        <v>286</v>
      </c>
      <c r="D98" s="122">
        <v>43278</v>
      </c>
      <c r="E98" s="122">
        <v>43308</v>
      </c>
      <c r="F98" s="121">
        <v>9295</v>
      </c>
      <c r="G98" s="121">
        <v>30</v>
      </c>
      <c r="H98" s="121">
        <v>8.2191780821917804E-2</v>
      </c>
      <c r="I98" s="121">
        <v>0</v>
      </c>
      <c r="J98" s="121">
        <v>0.21</v>
      </c>
      <c r="K98" s="121">
        <v>222.85041883431404</v>
      </c>
      <c r="L98" s="121">
        <v>30</v>
      </c>
      <c r="M98" s="121">
        <v>2.291917808219178</v>
      </c>
      <c r="N98" s="123">
        <v>220.55850102609486</v>
      </c>
      <c r="O98" s="121">
        <v>9295</v>
      </c>
      <c r="P98" s="121" t="s">
        <v>85</v>
      </c>
      <c r="Q98" s="121">
        <v>1</v>
      </c>
      <c r="R98" s="121" t="s">
        <v>151</v>
      </c>
    </row>
    <row r="99" spans="2:18" x14ac:dyDescent="0.15">
      <c r="B99" s="91" t="s">
        <v>2</v>
      </c>
      <c r="C99" s="33" t="s">
        <v>181</v>
      </c>
      <c r="D99" s="33" t="s">
        <v>180</v>
      </c>
      <c r="E99" s="33" t="s">
        <v>10</v>
      </c>
      <c r="F99" s="33" t="s">
        <v>184</v>
      </c>
      <c r="G99" s="33" t="s">
        <v>11</v>
      </c>
      <c r="H99" s="33" t="s">
        <v>12</v>
      </c>
      <c r="I99" s="33" t="s">
        <v>47</v>
      </c>
      <c r="J99" s="33" t="s">
        <v>13</v>
      </c>
      <c r="K99" s="33" t="s">
        <v>14</v>
      </c>
      <c r="L99" s="33" t="s">
        <v>26</v>
      </c>
      <c r="M99" s="33" t="s">
        <v>28</v>
      </c>
      <c r="N99" s="33" t="s">
        <v>182</v>
      </c>
      <c r="O99" s="33" t="s">
        <v>8</v>
      </c>
      <c r="P99" s="33" t="s">
        <v>23</v>
      </c>
      <c r="Q99" s="33"/>
      <c r="R99" s="33" t="s">
        <v>30</v>
      </c>
    </row>
    <row r="100" spans="2:18" x14ac:dyDescent="0.15">
      <c r="B100" s="121" t="s">
        <v>160</v>
      </c>
      <c r="C100" s="121" t="s">
        <v>286</v>
      </c>
      <c r="D100" s="122">
        <v>43278</v>
      </c>
      <c r="E100" s="122">
        <v>43308</v>
      </c>
      <c r="F100" s="121">
        <v>9295</v>
      </c>
      <c r="G100" s="121">
        <v>30</v>
      </c>
      <c r="H100" s="121">
        <v>8.2191780821917804E-2</v>
      </c>
      <c r="I100" s="121">
        <v>0</v>
      </c>
      <c r="J100" s="121">
        <v>0.21</v>
      </c>
      <c r="K100" s="121">
        <v>222.85041883431404</v>
      </c>
      <c r="L100" s="121">
        <v>30</v>
      </c>
      <c r="M100" s="121">
        <v>2.291917808219178</v>
      </c>
      <c r="N100" s="123">
        <v>220.55850102609486</v>
      </c>
      <c r="O100" s="121">
        <v>9295</v>
      </c>
      <c r="P100" s="121" t="s">
        <v>263</v>
      </c>
      <c r="Q100" s="121">
        <v>1</v>
      </c>
      <c r="R100" s="121" t="s">
        <v>151</v>
      </c>
    </row>
    <row r="101" spans="2:18" x14ac:dyDescent="0.15">
      <c r="B101" s="121" t="s">
        <v>160</v>
      </c>
      <c r="C101" s="121" t="s">
        <v>286</v>
      </c>
      <c r="D101" s="122">
        <v>43278</v>
      </c>
      <c r="E101" s="122">
        <v>43308</v>
      </c>
      <c r="F101" s="121">
        <v>9295</v>
      </c>
      <c r="G101" s="121">
        <v>30</v>
      </c>
      <c r="H101" s="121">
        <v>8.2191780821917804E-2</v>
      </c>
      <c r="I101" s="121">
        <v>0</v>
      </c>
      <c r="J101" s="121">
        <v>0.34</v>
      </c>
      <c r="K101" s="121">
        <v>-360.7171222470206</v>
      </c>
      <c r="L101" s="121">
        <v>70</v>
      </c>
      <c r="M101" s="121">
        <v>5.3478082191780816</v>
      </c>
      <c r="N101" s="123">
        <v>366.06493046619869</v>
      </c>
      <c r="O101" s="121">
        <v>9295</v>
      </c>
      <c r="P101" s="121" t="s">
        <v>85</v>
      </c>
      <c r="Q101" s="121">
        <v>-1</v>
      </c>
      <c r="R101" s="121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60" t="s">
        <v>37</v>
      </c>
      <c r="C1" s="160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0</v>
      </c>
      <c r="I8" s="19">
        <v>3800</v>
      </c>
      <c r="J8" s="21">
        <f ca="1">TODAY()</f>
        <v>43278</v>
      </c>
      <c r="K8" s="21">
        <f ca="1">J8+L8</f>
        <v>43308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0</v>
      </c>
      <c r="P8" s="25">
        <v>80</v>
      </c>
      <c r="Q8" s="24">
        <f>P8/10000*M8*H8*(-E8)</f>
        <v>0</v>
      </c>
      <c r="R8" s="24">
        <f>O8+Q8</f>
        <v>0</v>
      </c>
      <c r="S8" s="26" t="e">
        <f>R8/H8</f>
        <v>#DIV/0!</v>
      </c>
      <c r="T8" s="24" t="e">
        <f>_xll.dnetGBlackScholesNGreeks("delta",$G8,$H8,$I8,$M8,$C$3,$C$4,$N8,$C$4)</f>
        <v>#VALUE!</v>
      </c>
      <c r="U8" s="24">
        <f>_xll.dnetGBlackScholesNGreeks("vega",$G8,$H8,$I8,$M8,$C$3,$C$4,$N8)</f>
        <v>0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43278</v>
      </c>
      <c r="K9" s="8">
        <f ca="1">J9+L9</f>
        <v>43308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43278</v>
      </c>
      <c r="K10" s="8">
        <f ca="1">J10+L10</f>
        <v>43308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abSelected="1" topLeftCell="F1" zoomScale="115" zoomScaleNormal="115" workbookViewId="0">
      <pane ySplit="17" topLeftCell="A72" activePane="bottomLeft" state="frozen"/>
      <selection pane="bottomLeft" activeCell="Q88" sqref="Q88:R88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52" t="s">
        <v>118</v>
      </c>
      <c r="C1" s="152"/>
    </row>
    <row r="2" spans="2:20" ht="11.25" thickTop="1" x14ac:dyDescent="0.15"/>
    <row r="3" spans="2:20" ht="11.25" thickBot="1" x14ac:dyDescent="0.2">
      <c r="B3" s="153" t="s">
        <v>119</v>
      </c>
      <c r="C3" s="153"/>
      <c r="D3" s="153"/>
      <c r="E3" s="153"/>
      <c r="G3" s="157" t="s">
        <v>120</v>
      </c>
      <c r="H3" s="157"/>
      <c r="I3" s="157"/>
      <c r="J3" s="157"/>
      <c r="L3" s="153" t="s">
        <v>165</v>
      </c>
      <c r="M3" s="153"/>
      <c r="N3" s="153"/>
      <c r="O3" s="153"/>
      <c r="Q3" s="157" t="s">
        <v>166</v>
      </c>
      <c r="R3" s="157"/>
      <c r="S3" s="157"/>
      <c r="T3" s="157"/>
    </row>
    <row r="4" spans="2:20" ht="12" thickTop="1" thickBot="1" x14ac:dyDescent="0.2">
      <c r="B4" s="154" t="s">
        <v>121</v>
      </c>
      <c r="C4" s="154"/>
      <c r="D4" s="154"/>
      <c r="E4" s="154"/>
      <c r="G4" s="154" t="s">
        <v>34</v>
      </c>
      <c r="H4" s="154"/>
      <c r="I4" s="154"/>
      <c r="J4" s="154"/>
      <c r="L4" s="154" t="s">
        <v>121</v>
      </c>
      <c r="M4" s="154"/>
      <c r="N4" s="154"/>
      <c r="O4" s="154"/>
      <c r="Q4" s="154" t="s">
        <v>34</v>
      </c>
      <c r="R4" s="154"/>
      <c r="S4" s="154"/>
      <c r="T4" s="154"/>
    </row>
    <row r="5" spans="2:20" ht="15" customHeight="1" thickTop="1" x14ac:dyDescent="0.15">
      <c r="B5" s="151" t="s">
        <v>122</v>
      </c>
      <c r="C5" s="151"/>
      <c r="D5" s="155"/>
      <c r="E5" s="156"/>
      <c r="G5" s="151" t="s">
        <v>123</v>
      </c>
      <c r="H5" s="151"/>
      <c r="I5" s="103"/>
      <c r="J5" s="104"/>
      <c r="L5" s="101" t="s">
        <v>122</v>
      </c>
      <c r="M5" s="102"/>
      <c r="N5" s="103"/>
      <c r="O5" s="104"/>
      <c r="Q5" s="151" t="s">
        <v>123</v>
      </c>
      <c r="R5" s="151"/>
      <c r="S5" s="103"/>
      <c r="T5" s="104"/>
    </row>
    <row r="6" spans="2:20" x14ac:dyDescent="0.15">
      <c r="B6" s="151" t="s">
        <v>124</v>
      </c>
      <c r="C6" s="151"/>
      <c r="D6" s="149" t="s">
        <v>125</v>
      </c>
      <c r="E6" s="150"/>
      <c r="G6" s="151" t="s">
        <v>126</v>
      </c>
      <c r="H6" s="151"/>
      <c r="I6" s="149"/>
      <c r="J6" s="150"/>
      <c r="L6" s="151" t="s">
        <v>124</v>
      </c>
      <c r="M6" s="151"/>
      <c r="N6" s="149" t="s">
        <v>125</v>
      </c>
      <c r="O6" s="150"/>
      <c r="Q6" s="151" t="s">
        <v>126</v>
      </c>
      <c r="R6" s="151"/>
      <c r="S6" s="149"/>
      <c r="T6" s="150"/>
    </row>
    <row r="7" spans="2:20" ht="2.25" customHeight="1" x14ac:dyDescent="0.15">
      <c r="B7" s="151" t="s">
        <v>127</v>
      </c>
      <c r="C7" s="151"/>
      <c r="D7" s="149" t="s">
        <v>125</v>
      </c>
      <c r="E7" s="150"/>
      <c r="G7" s="151" t="s">
        <v>128</v>
      </c>
      <c r="H7" s="151"/>
      <c r="I7" s="149"/>
      <c r="J7" s="150"/>
      <c r="L7" s="151" t="s">
        <v>127</v>
      </c>
      <c r="M7" s="151"/>
      <c r="N7" s="149" t="s">
        <v>125</v>
      </c>
      <c r="O7" s="150"/>
      <c r="Q7" s="151" t="s">
        <v>128</v>
      </c>
      <c r="R7" s="151"/>
      <c r="S7" s="149"/>
      <c r="T7" s="150"/>
    </row>
    <row r="8" spans="2:20" hidden="1" x14ac:dyDescent="0.15">
      <c r="B8" s="151" t="s">
        <v>129</v>
      </c>
      <c r="C8" s="151"/>
      <c r="D8" s="149">
        <f>D13*D15</f>
        <v>305000</v>
      </c>
      <c r="E8" s="150"/>
      <c r="G8" s="151" t="s">
        <v>130</v>
      </c>
      <c r="H8" s="151"/>
      <c r="I8" s="149"/>
      <c r="J8" s="150"/>
      <c r="L8" s="151" t="s">
        <v>129</v>
      </c>
      <c r="M8" s="151"/>
      <c r="N8" s="149">
        <f>N14*N16</f>
        <v>305000</v>
      </c>
      <c r="O8" s="150"/>
      <c r="Q8" s="151" t="s">
        <v>130</v>
      </c>
      <c r="R8" s="151"/>
      <c r="S8" s="149"/>
      <c r="T8" s="150"/>
    </row>
    <row r="9" spans="2:20" hidden="1" x14ac:dyDescent="0.15">
      <c r="B9" s="151" t="s">
        <v>131</v>
      </c>
      <c r="C9" s="151"/>
      <c r="D9" s="149" t="s">
        <v>132</v>
      </c>
      <c r="E9" s="150"/>
      <c r="G9" s="151" t="s">
        <v>133</v>
      </c>
      <c r="H9" s="151"/>
      <c r="I9" s="149"/>
      <c r="J9" s="150"/>
      <c r="L9" s="151" t="s">
        <v>131</v>
      </c>
      <c r="M9" s="151"/>
      <c r="N9" s="149" t="s">
        <v>132</v>
      </c>
      <c r="O9" s="150"/>
      <c r="Q9" s="151" t="s">
        <v>133</v>
      </c>
      <c r="R9" s="151"/>
      <c r="S9" s="149"/>
      <c r="T9" s="150"/>
    </row>
    <row r="10" spans="2:20" hidden="1" x14ac:dyDescent="0.15">
      <c r="B10" s="151" t="s">
        <v>134</v>
      </c>
      <c r="C10" s="151"/>
      <c r="D10" s="149">
        <v>43084</v>
      </c>
      <c r="E10" s="150"/>
      <c r="G10" s="105" t="s">
        <v>135</v>
      </c>
      <c r="H10" s="105"/>
      <c r="I10" s="149"/>
      <c r="J10" s="150"/>
      <c r="L10" s="151" t="s">
        <v>134</v>
      </c>
      <c r="M10" s="151"/>
      <c r="N10" s="149">
        <v>43084</v>
      </c>
      <c r="O10" s="150"/>
      <c r="Q10" s="105" t="s">
        <v>135</v>
      </c>
      <c r="R10" s="105"/>
      <c r="S10" s="149"/>
      <c r="T10" s="150"/>
    </row>
    <row r="11" spans="2:20" hidden="1" x14ac:dyDescent="0.15">
      <c r="B11" s="151" t="s">
        <v>136</v>
      </c>
      <c r="C11" s="151"/>
      <c r="D11" s="149">
        <v>3935</v>
      </c>
      <c r="E11" s="150"/>
      <c r="G11" s="151" t="s">
        <v>137</v>
      </c>
      <c r="H11" s="151"/>
      <c r="I11" s="149"/>
      <c r="J11" s="150"/>
      <c r="L11" s="151" t="s">
        <v>136</v>
      </c>
      <c r="M11" s="151"/>
      <c r="N11" s="149">
        <v>3935</v>
      </c>
      <c r="O11" s="150"/>
      <c r="Q11" s="151" t="s">
        <v>137</v>
      </c>
      <c r="R11" s="151"/>
      <c r="S11" s="149"/>
      <c r="T11" s="150"/>
    </row>
    <row r="12" spans="2:20" hidden="1" x14ac:dyDescent="0.15">
      <c r="B12" s="151" t="s">
        <v>138</v>
      </c>
      <c r="C12" s="151"/>
      <c r="D12" s="149">
        <v>3800</v>
      </c>
      <c r="E12" s="150"/>
      <c r="G12" s="151" t="s">
        <v>139</v>
      </c>
      <c r="H12" s="151"/>
      <c r="I12" s="149"/>
      <c r="J12" s="150"/>
      <c r="L12" s="151" t="s">
        <v>163</v>
      </c>
      <c r="M12" s="151"/>
      <c r="N12" s="149">
        <v>3800</v>
      </c>
      <c r="O12" s="150"/>
      <c r="Q12" s="151" t="s">
        <v>167</v>
      </c>
      <c r="R12" s="151"/>
      <c r="S12" s="149"/>
      <c r="T12" s="150"/>
    </row>
    <row r="13" spans="2:20" hidden="1" x14ac:dyDescent="0.15">
      <c r="B13" s="151" t="s">
        <v>140</v>
      </c>
      <c r="C13" s="151"/>
      <c r="D13" s="149">
        <v>61</v>
      </c>
      <c r="E13" s="150"/>
      <c r="G13" s="151" t="s">
        <v>141</v>
      </c>
      <c r="H13" s="151"/>
      <c r="I13" s="149"/>
      <c r="J13" s="150"/>
      <c r="L13" s="151" t="s">
        <v>164</v>
      </c>
      <c r="M13" s="151"/>
      <c r="N13" s="149">
        <v>3800</v>
      </c>
      <c r="O13" s="150"/>
      <c r="Q13" s="151" t="s">
        <v>168</v>
      </c>
      <c r="R13" s="151"/>
      <c r="S13" s="149"/>
      <c r="T13" s="150"/>
    </row>
    <row r="14" spans="2:20" hidden="1" x14ac:dyDescent="0.15">
      <c r="B14" s="151" t="s">
        <v>142</v>
      </c>
      <c r="C14" s="151"/>
      <c r="D14" s="149" t="s">
        <v>143</v>
      </c>
      <c r="E14" s="150"/>
      <c r="G14" s="151" t="s">
        <v>144</v>
      </c>
      <c r="H14" s="151"/>
      <c r="I14" s="106"/>
      <c r="J14" s="107"/>
      <c r="L14" s="151" t="s">
        <v>140</v>
      </c>
      <c r="M14" s="151"/>
      <c r="N14" s="149">
        <v>61</v>
      </c>
      <c r="O14" s="150"/>
      <c r="Q14" s="151" t="s">
        <v>141</v>
      </c>
      <c r="R14" s="151"/>
      <c r="S14" s="149"/>
      <c r="T14" s="150"/>
    </row>
    <row r="15" spans="2:20" hidden="1" x14ac:dyDescent="0.15">
      <c r="B15" s="151" t="s">
        <v>145</v>
      </c>
      <c r="C15" s="151"/>
      <c r="D15" s="149">
        <v>5000</v>
      </c>
      <c r="E15" s="150"/>
      <c r="G15" s="151" t="s">
        <v>146</v>
      </c>
      <c r="H15" s="151"/>
      <c r="I15" s="149"/>
      <c r="J15" s="150"/>
      <c r="L15" s="151" t="s">
        <v>142</v>
      </c>
      <c r="M15" s="151"/>
      <c r="N15" s="149" t="s">
        <v>143</v>
      </c>
      <c r="O15" s="150"/>
      <c r="Q15" s="151" t="s">
        <v>144</v>
      </c>
      <c r="R15" s="151"/>
      <c r="S15" s="106"/>
      <c r="T15" s="107"/>
    </row>
    <row r="16" spans="2:20" ht="11.25" hidden="1" thickBot="1" x14ac:dyDescent="0.2">
      <c r="B16" s="146" t="s">
        <v>147</v>
      </c>
      <c r="C16" s="146"/>
      <c r="D16" s="147" t="s">
        <v>148</v>
      </c>
      <c r="E16" s="148"/>
      <c r="G16" s="146" t="s">
        <v>149</v>
      </c>
      <c r="H16" s="146"/>
      <c r="I16" s="147"/>
      <c r="J16" s="148"/>
      <c r="L16" s="151" t="s">
        <v>145</v>
      </c>
      <c r="M16" s="151"/>
      <c r="N16" s="149">
        <v>5000</v>
      </c>
      <c r="O16" s="150"/>
      <c r="Q16" s="151" t="s">
        <v>146</v>
      </c>
      <c r="R16" s="151"/>
      <c r="S16" s="149"/>
      <c r="T16" s="150"/>
    </row>
    <row r="17" spans="2:25" ht="12" hidden="1" thickTop="1" thickBot="1" x14ac:dyDescent="0.2">
      <c r="L17" s="146" t="s">
        <v>147</v>
      </c>
      <c r="M17" s="146"/>
      <c r="N17" s="147" t="s">
        <v>148</v>
      </c>
      <c r="O17" s="148"/>
      <c r="Q17" s="146" t="s">
        <v>149</v>
      </c>
      <c r="R17" s="146"/>
      <c r="S17" s="147"/>
      <c r="T17" s="148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42" t="s">
        <v>219</v>
      </c>
      <c r="C22" s="142"/>
      <c r="D22" s="142"/>
      <c r="E22" s="142"/>
      <c r="G22" s="142" t="s">
        <v>188</v>
      </c>
      <c r="H22" s="142"/>
      <c r="I22" s="142"/>
      <c r="J22" s="142"/>
      <c r="L22" s="154" t="s">
        <v>188</v>
      </c>
      <c r="M22" s="154"/>
      <c r="N22" s="154"/>
      <c r="O22" s="154"/>
      <c r="Q22" s="142" t="s">
        <v>187</v>
      </c>
      <c r="R22" s="142"/>
      <c r="S22" s="142"/>
      <c r="T22" s="142"/>
      <c r="V22" s="154" t="s">
        <v>188</v>
      </c>
      <c r="W22" s="154"/>
      <c r="X22" s="154"/>
      <c r="Y22" s="154"/>
    </row>
    <row r="23" spans="2:25" ht="12" thickTop="1" x14ac:dyDescent="0.15">
      <c r="B23" s="134" t="s">
        <v>122</v>
      </c>
      <c r="C23" s="134"/>
      <c r="D23" s="140">
        <v>43209</v>
      </c>
      <c r="E23" s="143"/>
      <c r="G23" s="134" t="s">
        <v>122</v>
      </c>
      <c r="H23" s="134"/>
      <c r="I23" s="140">
        <f ca="1">TODAY()</f>
        <v>43278</v>
      </c>
      <c r="J23" s="143"/>
      <c r="L23" s="134" t="s">
        <v>122</v>
      </c>
      <c r="M23" s="134"/>
      <c r="N23" s="140">
        <f ca="1">TODAY()</f>
        <v>43278</v>
      </c>
      <c r="O23" s="143"/>
      <c r="Q23" s="134" t="s">
        <v>122</v>
      </c>
      <c r="R23" s="134"/>
      <c r="S23" s="140">
        <f ca="1">TODAY()-1</f>
        <v>43277</v>
      </c>
      <c r="T23" s="143"/>
      <c r="V23" s="134" t="s">
        <v>122</v>
      </c>
      <c r="W23" s="134"/>
      <c r="X23" s="140">
        <f ca="1">TODAY()-1</f>
        <v>43277</v>
      </c>
      <c r="Y23" s="143"/>
    </row>
    <row r="24" spans="2:25" ht="11.25" x14ac:dyDescent="0.15">
      <c r="B24" s="134" t="s">
        <v>124</v>
      </c>
      <c r="C24" s="134"/>
      <c r="D24" s="135" t="s">
        <v>185</v>
      </c>
      <c r="E24" s="136"/>
      <c r="G24" s="134" t="s">
        <v>124</v>
      </c>
      <c r="H24" s="134"/>
      <c r="I24" s="135" t="s">
        <v>185</v>
      </c>
      <c r="J24" s="136"/>
      <c r="L24" s="134" t="s">
        <v>124</v>
      </c>
      <c r="M24" s="134"/>
      <c r="N24" s="135" t="s">
        <v>36</v>
      </c>
      <c r="O24" s="136"/>
      <c r="Q24" s="134" t="s">
        <v>124</v>
      </c>
      <c r="R24" s="134"/>
      <c r="S24" s="135" t="s">
        <v>36</v>
      </c>
      <c r="T24" s="136"/>
      <c r="V24" s="134" t="s">
        <v>124</v>
      </c>
      <c r="W24" s="134"/>
      <c r="X24" s="135" t="s">
        <v>36</v>
      </c>
      <c r="Y24" s="136"/>
    </row>
    <row r="25" spans="2:25" ht="11.25" x14ac:dyDescent="0.15">
      <c r="B25" s="134" t="s">
        <v>127</v>
      </c>
      <c r="C25" s="134"/>
      <c r="D25" s="135" t="s">
        <v>220</v>
      </c>
      <c r="E25" s="136"/>
      <c r="G25" s="134" t="s">
        <v>127</v>
      </c>
      <c r="H25" s="134"/>
      <c r="I25" s="135" t="s">
        <v>5</v>
      </c>
      <c r="J25" s="136"/>
      <c r="L25" s="134" t="s">
        <v>127</v>
      </c>
      <c r="M25" s="134"/>
      <c r="N25" s="135" t="s">
        <v>193</v>
      </c>
      <c r="O25" s="136"/>
      <c r="Q25" s="134" t="s">
        <v>127</v>
      </c>
      <c r="R25" s="134"/>
      <c r="S25" s="135" t="s">
        <v>186</v>
      </c>
      <c r="T25" s="136"/>
      <c r="V25" s="134" t="s">
        <v>127</v>
      </c>
      <c r="W25" s="134"/>
      <c r="X25" s="135" t="s">
        <v>186</v>
      </c>
      <c r="Y25" s="136"/>
    </row>
    <row r="26" spans="2:25" ht="11.25" x14ac:dyDescent="0.15">
      <c r="B26" s="134" t="s">
        <v>129</v>
      </c>
      <c r="C26" s="134"/>
      <c r="D26" s="135">
        <f>D31*D33</f>
        <v>290000</v>
      </c>
      <c r="E26" s="136"/>
      <c r="G26" s="134" t="s">
        <v>179</v>
      </c>
      <c r="H26" s="134"/>
      <c r="I26" s="135">
        <f>I31*I33</f>
        <v>271800</v>
      </c>
      <c r="J26" s="136"/>
      <c r="L26" s="134" t="s">
        <v>129</v>
      </c>
      <c r="M26" s="134"/>
      <c r="N26" s="135">
        <f>N31*N33</f>
        <v>275000</v>
      </c>
      <c r="O26" s="136"/>
      <c r="Q26" s="134" t="s">
        <v>129</v>
      </c>
      <c r="R26" s="134"/>
      <c r="S26" s="135">
        <f>S31*S33</f>
        <v>235799.99999999997</v>
      </c>
      <c r="T26" s="136"/>
      <c r="V26" s="134" t="s">
        <v>129</v>
      </c>
      <c r="W26" s="134"/>
      <c r="X26" s="135">
        <f>X31*X33</f>
        <v>235799.99999999997</v>
      </c>
      <c r="Y26" s="136"/>
    </row>
    <row r="27" spans="2:25" ht="11.25" x14ac:dyDescent="0.15">
      <c r="B27" s="134" t="s">
        <v>131</v>
      </c>
      <c r="C27" s="134"/>
      <c r="D27" s="135" t="s">
        <v>190</v>
      </c>
      <c r="E27" s="136"/>
      <c r="F27" s="100">
        <f>1160*250</f>
        <v>290000</v>
      </c>
      <c r="G27" s="134" t="s">
        <v>131</v>
      </c>
      <c r="H27" s="134"/>
      <c r="I27" s="135" t="s">
        <v>195</v>
      </c>
      <c r="J27" s="136"/>
      <c r="L27" s="134" t="s">
        <v>131</v>
      </c>
      <c r="M27" s="134"/>
      <c r="N27" s="135" t="s">
        <v>189</v>
      </c>
      <c r="O27" s="136"/>
      <c r="Q27" s="134" t="s">
        <v>131</v>
      </c>
      <c r="R27" s="134"/>
      <c r="S27" s="135" t="s">
        <v>190</v>
      </c>
      <c r="T27" s="136"/>
      <c r="V27" s="134" t="s">
        <v>131</v>
      </c>
      <c r="W27" s="134"/>
      <c r="X27" s="135" t="s">
        <v>189</v>
      </c>
      <c r="Y27" s="136"/>
    </row>
    <row r="28" spans="2:25" ht="11.25" x14ac:dyDescent="0.15">
      <c r="B28" s="134" t="s">
        <v>134</v>
      </c>
      <c r="C28" s="134"/>
      <c r="D28" s="140">
        <v>43222</v>
      </c>
      <c r="E28" s="136"/>
      <c r="G28" s="134" t="s">
        <v>134</v>
      </c>
      <c r="H28" s="134"/>
      <c r="I28" s="140">
        <v>43182</v>
      </c>
      <c r="J28" s="136"/>
      <c r="L28" s="134" t="s">
        <v>134</v>
      </c>
      <c r="M28" s="134"/>
      <c r="N28" s="140">
        <v>43219</v>
      </c>
      <c r="O28" s="136"/>
      <c r="Q28" s="134" t="s">
        <v>134</v>
      </c>
      <c r="R28" s="134"/>
      <c r="S28" s="140">
        <v>43201</v>
      </c>
      <c r="T28" s="136"/>
      <c r="V28" s="134" t="s">
        <v>134</v>
      </c>
      <c r="W28" s="134"/>
      <c r="X28" s="140">
        <v>43201</v>
      </c>
      <c r="Y28" s="136"/>
    </row>
    <row r="29" spans="2:25" ht="11.25" x14ac:dyDescent="0.15">
      <c r="B29" s="134" t="s">
        <v>136</v>
      </c>
      <c r="C29" s="134"/>
      <c r="D29" s="135">
        <v>108500</v>
      </c>
      <c r="E29" s="136"/>
      <c r="G29" s="134" t="s">
        <v>136</v>
      </c>
      <c r="H29" s="134"/>
      <c r="I29" s="135">
        <v>3856</v>
      </c>
      <c r="J29" s="136"/>
      <c r="L29" s="134" t="s">
        <v>136</v>
      </c>
      <c r="M29" s="134"/>
      <c r="N29" s="135">
        <v>3760</v>
      </c>
      <c r="O29" s="136"/>
      <c r="Q29" s="134" t="s">
        <v>136</v>
      </c>
      <c r="R29" s="134"/>
      <c r="S29" s="135">
        <v>524</v>
      </c>
      <c r="T29" s="136"/>
      <c r="V29" s="134" t="s">
        <v>136</v>
      </c>
      <c r="W29" s="134"/>
      <c r="X29" s="135">
        <v>524</v>
      </c>
      <c r="Y29" s="136"/>
    </row>
    <row r="30" spans="2:25" ht="11.25" x14ac:dyDescent="0.15">
      <c r="B30" s="134" t="s">
        <v>138</v>
      </c>
      <c r="C30" s="134"/>
      <c r="D30" s="135">
        <v>110000</v>
      </c>
      <c r="E30" s="136"/>
      <c r="G30" s="134" t="s">
        <v>138</v>
      </c>
      <c r="H30" s="134"/>
      <c r="I30" s="135">
        <v>3930</v>
      </c>
      <c r="J30" s="136"/>
      <c r="L30" s="134" t="s">
        <v>138</v>
      </c>
      <c r="M30" s="134"/>
      <c r="N30" s="135">
        <v>3700</v>
      </c>
      <c r="O30" s="136"/>
      <c r="Q30" s="134" t="s">
        <v>138</v>
      </c>
      <c r="R30" s="134"/>
      <c r="S30" s="135">
        <v>524</v>
      </c>
      <c r="T30" s="136"/>
      <c r="V30" s="134" t="s">
        <v>138</v>
      </c>
      <c r="W30" s="134"/>
      <c r="X30" s="135">
        <v>524</v>
      </c>
      <c r="Y30" s="136"/>
    </row>
    <row r="31" spans="2:25" ht="11.25" x14ac:dyDescent="0.15">
      <c r="B31" s="134" t="s">
        <v>140</v>
      </c>
      <c r="C31" s="134"/>
      <c r="D31" s="135">
        <v>1160</v>
      </c>
      <c r="E31" s="136"/>
      <c r="G31" s="134" t="s">
        <v>196</v>
      </c>
      <c r="H31" s="134"/>
      <c r="I31" s="135">
        <v>27.18</v>
      </c>
      <c r="J31" s="136"/>
      <c r="L31" s="134" t="s">
        <v>140</v>
      </c>
      <c r="M31" s="134"/>
      <c r="N31" s="135">
        <v>55</v>
      </c>
      <c r="O31" s="136"/>
      <c r="Q31" s="134" t="s">
        <v>140</v>
      </c>
      <c r="R31" s="134"/>
      <c r="S31" s="135">
        <v>23.58</v>
      </c>
      <c r="T31" s="136"/>
      <c r="V31" s="134" t="s">
        <v>140</v>
      </c>
      <c r="W31" s="134"/>
      <c r="X31" s="135">
        <v>23.58</v>
      </c>
      <c r="Y31" s="136"/>
    </row>
    <row r="32" spans="2:25" ht="11.25" x14ac:dyDescent="0.15">
      <c r="B32" s="134" t="s">
        <v>142</v>
      </c>
      <c r="C32" s="134"/>
      <c r="D32" s="135" t="s">
        <v>207</v>
      </c>
      <c r="E32" s="136"/>
      <c r="G32" s="134" t="s">
        <v>197</v>
      </c>
      <c r="H32" s="134"/>
      <c r="I32" s="135" t="s">
        <v>194</v>
      </c>
      <c r="J32" s="136"/>
      <c r="L32" s="134" t="s">
        <v>142</v>
      </c>
      <c r="M32" s="134"/>
      <c r="N32" s="135" t="s">
        <v>192</v>
      </c>
      <c r="O32" s="136"/>
      <c r="Q32" s="134" t="s">
        <v>142</v>
      </c>
      <c r="R32" s="134"/>
      <c r="S32" s="135" t="s">
        <v>191</v>
      </c>
      <c r="T32" s="136"/>
      <c r="V32" s="134" t="s">
        <v>142</v>
      </c>
      <c r="W32" s="134"/>
      <c r="X32" s="135" t="s">
        <v>191</v>
      </c>
      <c r="Y32" s="136"/>
    </row>
    <row r="33" spans="2:25" ht="11.25" x14ac:dyDescent="0.15">
      <c r="B33" s="134" t="s">
        <v>145</v>
      </c>
      <c r="C33" s="134"/>
      <c r="D33" s="135">
        <v>250</v>
      </c>
      <c r="E33" s="136"/>
      <c r="G33" s="134" t="s">
        <v>198</v>
      </c>
      <c r="H33" s="134"/>
      <c r="I33" s="135">
        <v>10000</v>
      </c>
      <c r="J33" s="136"/>
      <c r="L33" s="134" t="s">
        <v>145</v>
      </c>
      <c r="M33" s="134"/>
      <c r="N33" s="135">
        <v>5000</v>
      </c>
      <c r="O33" s="136"/>
      <c r="Q33" s="134" t="s">
        <v>145</v>
      </c>
      <c r="R33" s="134"/>
      <c r="S33" s="135">
        <v>10000</v>
      </c>
      <c r="T33" s="136"/>
      <c r="V33" s="134" t="s">
        <v>145</v>
      </c>
      <c r="W33" s="134"/>
      <c r="X33" s="135">
        <v>10000</v>
      </c>
      <c r="Y33" s="136"/>
    </row>
    <row r="34" spans="2:25" ht="12" thickBot="1" x14ac:dyDescent="0.2">
      <c r="B34" s="137" t="s">
        <v>147</v>
      </c>
      <c r="C34" s="137"/>
      <c r="D34" s="138" t="s">
        <v>148</v>
      </c>
      <c r="E34" s="139"/>
      <c r="G34" s="137" t="s">
        <v>147</v>
      </c>
      <c r="H34" s="137"/>
      <c r="I34" s="138" t="s">
        <v>148</v>
      </c>
      <c r="J34" s="139"/>
      <c r="L34" s="137" t="s">
        <v>147</v>
      </c>
      <c r="M34" s="137"/>
      <c r="N34" s="138" t="s">
        <v>148</v>
      </c>
      <c r="O34" s="139"/>
      <c r="Q34" s="137" t="s">
        <v>147</v>
      </c>
      <c r="R34" s="137"/>
      <c r="S34" s="138" t="s">
        <v>148</v>
      </c>
      <c r="T34" s="139"/>
      <c r="V34" s="137" t="s">
        <v>147</v>
      </c>
      <c r="W34" s="137"/>
      <c r="X34" s="138" t="s">
        <v>148</v>
      </c>
      <c r="Y34" s="139"/>
    </row>
    <row r="35" spans="2:25" ht="11.25" thickTop="1" x14ac:dyDescent="0.15"/>
    <row r="36" spans="2:25" ht="12" thickBot="1" x14ac:dyDescent="0.2">
      <c r="B36" s="142" t="s">
        <v>224</v>
      </c>
      <c r="C36" s="142"/>
      <c r="D36" s="142"/>
      <c r="E36" s="142"/>
      <c r="G36" s="142" t="s">
        <v>225</v>
      </c>
      <c r="H36" s="142"/>
      <c r="I36" s="142"/>
      <c r="J36" s="142"/>
      <c r="L36" s="142" t="s">
        <v>204</v>
      </c>
      <c r="M36" s="142"/>
      <c r="N36" s="142"/>
      <c r="O36" s="142"/>
      <c r="Q36" s="142" t="s">
        <v>121</v>
      </c>
      <c r="R36" s="142"/>
      <c r="S36" s="142"/>
      <c r="T36" s="142"/>
    </row>
    <row r="37" spans="2:25" ht="12" thickTop="1" x14ac:dyDescent="0.15">
      <c r="B37" s="134" t="s">
        <v>122</v>
      </c>
      <c r="C37" s="134"/>
      <c r="D37" s="140">
        <v>43229</v>
      </c>
      <c r="E37" s="143"/>
      <c r="G37" s="134" t="s">
        <v>122</v>
      </c>
      <c r="H37" s="134"/>
      <c r="I37" s="140">
        <v>43229</v>
      </c>
      <c r="J37" s="143"/>
      <c r="L37" s="134" t="s">
        <v>122</v>
      </c>
      <c r="M37" s="134"/>
      <c r="N37" s="140">
        <v>43214</v>
      </c>
      <c r="O37" s="143"/>
      <c r="Q37" s="134" t="s">
        <v>122</v>
      </c>
      <c r="R37" s="134"/>
      <c r="S37" s="140">
        <v>43209</v>
      </c>
      <c r="T37" s="143"/>
    </row>
    <row r="38" spans="2:25" ht="11.25" x14ac:dyDescent="0.15">
      <c r="B38" s="134" t="s">
        <v>124</v>
      </c>
      <c r="C38" s="134"/>
      <c r="D38" s="135" t="s">
        <v>186</v>
      </c>
      <c r="E38" s="136"/>
      <c r="G38" s="134" t="s">
        <v>124</v>
      </c>
      <c r="H38" s="134"/>
      <c r="I38" s="135" t="s">
        <v>186</v>
      </c>
      <c r="J38" s="136"/>
      <c r="L38" s="134" t="s">
        <v>124</v>
      </c>
      <c r="M38" s="134"/>
      <c r="N38" s="135" t="s">
        <v>202</v>
      </c>
      <c r="O38" s="136"/>
      <c r="Q38" s="134" t="s">
        <v>124</v>
      </c>
      <c r="R38" s="134"/>
      <c r="S38" s="135" t="s">
        <v>216</v>
      </c>
      <c r="T38" s="136"/>
    </row>
    <row r="39" spans="2:25" ht="11.25" x14ac:dyDescent="0.15">
      <c r="B39" s="134" t="s">
        <v>127</v>
      </c>
      <c r="C39" s="134"/>
      <c r="D39" s="135" t="s">
        <v>221</v>
      </c>
      <c r="E39" s="136"/>
      <c r="G39" s="134" t="s">
        <v>127</v>
      </c>
      <c r="H39" s="134"/>
      <c r="I39" s="135" t="s">
        <v>202</v>
      </c>
      <c r="J39" s="136"/>
      <c r="L39" s="134" t="s">
        <v>127</v>
      </c>
      <c r="M39" s="134"/>
      <c r="N39" s="135" t="s">
        <v>4</v>
      </c>
      <c r="O39" s="136"/>
      <c r="Q39" s="134" t="s">
        <v>127</v>
      </c>
      <c r="R39" s="134"/>
      <c r="S39" s="135" t="s">
        <v>202</v>
      </c>
      <c r="T39" s="136"/>
    </row>
    <row r="40" spans="2:25" ht="11.25" x14ac:dyDescent="0.15">
      <c r="B40" s="134" t="s">
        <v>179</v>
      </c>
      <c r="C40" s="134"/>
      <c r="D40" s="135">
        <f>D47*D45</f>
        <v>410500.00000000006</v>
      </c>
      <c r="E40" s="136"/>
      <c r="G40" s="134" t="s">
        <v>179</v>
      </c>
      <c r="H40" s="134"/>
      <c r="I40" s="135">
        <f>I45*I47</f>
        <v>410500.00000000006</v>
      </c>
      <c r="J40" s="136"/>
      <c r="L40" s="134" t="s">
        <v>129</v>
      </c>
      <c r="M40" s="134"/>
      <c r="N40" s="135">
        <f>N45*N47</f>
        <v>2117500</v>
      </c>
      <c r="O40" s="136"/>
      <c r="Q40" s="134" t="s">
        <v>179</v>
      </c>
      <c r="R40" s="134"/>
      <c r="S40" s="135">
        <f>S45*S47</f>
        <v>1045200</v>
      </c>
      <c r="T40" s="136"/>
    </row>
    <row r="41" spans="2:25" ht="11.25" x14ac:dyDescent="0.15">
      <c r="B41" s="134" t="s">
        <v>131</v>
      </c>
      <c r="C41" s="134"/>
      <c r="D41" s="135" t="s">
        <v>222</v>
      </c>
      <c r="E41" s="136"/>
      <c r="G41" s="134" t="s">
        <v>131</v>
      </c>
      <c r="H41" s="134"/>
      <c r="I41" s="135" t="s">
        <v>217</v>
      </c>
      <c r="J41" s="136"/>
      <c r="L41" s="134" t="s">
        <v>131</v>
      </c>
      <c r="M41" s="134"/>
      <c r="N41" s="135" t="s">
        <v>206</v>
      </c>
      <c r="O41" s="136"/>
      <c r="Q41" s="134" t="s">
        <v>131</v>
      </c>
      <c r="R41" s="134"/>
      <c r="S41" s="135" t="s">
        <v>217</v>
      </c>
      <c r="T41" s="136"/>
    </row>
    <row r="42" spans="2:25" ht="11.25" x14ac:dyDescent="0.15">
      <c r="B42" s="134" t="s">
        <v>134</v>
      </c>
      <c r="C42" s="134"/>
      <c r="D42" s="140">
        <f>D37+98</f>
        <v>43327</v>
      </c>
      <c r="E42" s="136"/>
      <c r="G42" s="134" t="s">
        <v>134</v>
      </c>
      <c r="H42" s="134"/>
      <c r="I42" s="140">
        <f>I37+98</f>
        <v>43327</v>
      </c>
      <c r="J42" s="136"/>
      <c r="L42" s="134" t="s">
        <v>134</v>
      </c>
      <c r="M42" s="134"/>
      <c r="N42" s="140">
        <v>43266</v>
      </c>
      <c r="O42" s="136"/>
      <c r="Q42" s="134" t="s">
        <v>134</v>
      </c>
      <c r="R42" s="134"/>
      <c r="S42" s="140">
        <v>43266</v>
      </c>
      <c r="T42" s="136"/>
    </row>
    <row r="43" spans="2:25" ht="11.25" x14ac:dyDescent="0.15">
      <c r="B43" s="134" t="s">
        <v>136</v>
      </c>
      <c r="C43" s="134"/>
      <c r="D43" s="135">
        <v>470.5</v>
      </c>
      <c r="E43" s="136"/>
      <c r="G43" s="134" t="s">
        <v>136</v>
      </c>
      <c r="H43" s="134"/>
      <c r="I43" s="135">
        <v>470.5</v>
      </c>
      <c r="J43" s="136"/>
      <c r="L43" s="134" t="s">
        <v>136</v>
      </c>
      <c r="M43" s="141"/>
      <c r="N43" s="135">
        <v>14535</v>
      </c>
      <c r="O43" s="136"/>
      <c r="Q43" s="134" t="s">
        <v>136</v>
      </c>
      <c r="R43" s="134"/>
      <c r="S43" s="135">
        <v>15250</v>
      </c>
      <c r="T43" s="136"/>
    </row>
    <row r="44" spans="2:25" ht="11.25" x14ac:dyDescent="0.15">
      <c r="B44" s="134" t="s">
        <v>138</v>
      </c>
      <c r="C44" s="134"/>
      <c r="D44" s="135">
        <v>470.5</v>
      </c>
      <c r="E44" s="136"/>
      <c r="F44" s="100">
        <f>D44*1.55/100</f>
        <v>7.2927499999999998</v>
      </c>
      <c r="G44" s="134" t="s">
        <v>138</v>
      </c>
      <c r="H44" s="134"/>
      <c r="I44" s="135">
        <v>470.5</v>
      </c>
      <c r="J44" s="136"/>
      <c r="L44" s="134" t="s">
        <v>138</v>
      </c>
      <c r="M44" s="134"/>
      <c r="N44" s="135">
        <v>14500</v>
      </c>
      <c r="O44" s="136"/>
      <c r="Q44" s="134" t="s">
        <v>138</v>
      </c>
      <c r="R44" s="134"/>
      <c r="S44" s="135">
        <v>14500</v>
      </c>
      <c r="T44" s="136"/>
    </row>
    <row r="45" spans="2:25" ht="11.25" x14ac:dyDescent="0.15">
      <c r="B45" s="134" t="s">
        <v>140</v>
      </c>
      <c r="C45" s="134"/>
      <c r="D45" s="135">
        <v>32.840000000000003</v>
      </c>
      <c r="E45" s="136"/>
      <c r="G45" s="134" t="s">
        <v>140</v>
      </c>
      <c r="H45" s="134"/>
      <c r="I45" s="135">
        <v>32.840000000000003</v>
      </c>
      <c r="J45" s="136"/>
      <c r="L45" s="134" t="s">
        <v>140</v>
      </c>
      <c r="M45" s="134"/>
      <c r="N45" s="135">
        <v>423.5</v>
      </c>
      <c r="O45" s="136"/>
      <c r="Q45" s="134" t="s">
        <v>196</v>
      </c>
      <c r="R45" s="134"/>
      <c r="S45" s="135">
        <v>209.04</v>
      </c>
      <c r="T45" s="136"/>
    </row>
    <row r="46" spans="2:25" ht="11.25" x14ac:dyDescent="0.15">
      <c r="B46" s="134" t="s">
        <v>197</v>
      </c>
      <c r="C46" s="134"/>
      <c r="D46" s="135" t="s">
        <v>200</v>
      </c>
      <c r="E46" s="136"/>
      <c r="G46" s="134" t="s">
        <v>142</v>
      </c>
      <c r="H46" s="134"/>
      <c r="I46" s="135" t="s">
        <v>200</v>
      </c>
      <c r="J46" s="136"/>
      <c r="L46" s="134" t="s">
        <v>142</v>
      </c>
      <c r="M46" s="134"/>
      <c r="N46" s="135" t="s">
        <v>208</v>
      </c>
      <c r="O46" s="136"/>
      <c r="Q46" s="134" t="s">
        <v>142</v>
      </c>
      <c r="R46" s="134"/>
      <c r="S46" s="135" t="s">
        <v>218</v>
      </c>
      <c r="T46" s="136"/>
    </row>
    <row r="47" spans="2:25" ht="11.25" x14ac:dyDescent="0.15">
      <c r="B47" s="134" t="s">
        <v>145</v>
      </c>
      <c r="C47" s="134"/>
      <c r="D47" s="135">
        <v>12500</v>
      </c>
      <c r="E47" s="136"/>
      <c r="G47" s="134" t="s">
        <v>145</v>
      </c>
      <c r="H47" s="134"/>
      <c r="I47" s="135">
        <v>12500</v>
      </c>
      <c r="J47" s="136"/>
      <c r="L47" s="134" t="s">
        <v>145</v>
      </c>
      <c r="M47" s="134"/>
      <c r="N47" s="135">
        <v>5000</v>
      </c>
      <c r="O47" s="136"/>
      <c r="Q47" s="134" t="s">
        <v>145</v>
      </c>
      <c r="R47" s="134"/>
      <c r="S47" s="135">
        <v>5000</v>
      </c>
      <c r="T47" s="136"/>
    </row>
    <row r="48" spans="2:25" ht="12" thickBot="1" x14ac:dyDescent="0.2">
      <c r="B48" s="137" t="s">
        <v>147</v>
      </c>
      <c r="C48" s="137"/>
      <c r="D48" s="138" t="s">
        <v>223</v>
      </c>
      <c r="E48" s="139"/>
      <c r="G48" s="137" t="s">
        <v>147</v>
      </c>
      <c r="H48" s="137"/>
      <c r="I48" s="138" t="s">
        <v>205</v>
      </c>
      <c r="J48" s="139"/>
      <c r="L48" s="137" t="s">
        <v>147</v>
      </c>
      <c r="M48" s="137"/>
      <c r="N48" s="138" t="s">
        <v>203</v>
      </c>
      <c r="O48" s="139"/>
      <c r="Q48" s="137" t="s">
        <v>147</v>
      </c>
      <c r="R48" s="137"/>
      <c r="S48" s="138" t="s">
        <v>205</v>
      </c>
      <c r="T48" s="139"/>
    </row>
    <row r="49" spans="2:20" ht="12.75" thickTop="1" thickBot="1" x14ac:dyDescent="0.2">
      <c r="B49" s="142" t="s">
        <v>121</v>
      </c>
      <c r="C49" s="142"/>
      <c r="D49" s="142"/>
      <c r="E49" s="142"/>
      <c r="G49" s="142" t="s">
        <v>204</v>
      </c>
      <c r="H49" s="142"/>
      <c r="I49" s="142"/>
      <c r="J49" s="142"/>
      <c r="L49" s="142" t="s">
        <v>188</v>
      </c>
      <c r="M49" s="142"/>
      <c r="N49" s="142"/>
      <c r="O49" s="142"/>
      <c r="Q49" s="142" t="s">
        <v>232</v>
      </c>
      <c r="R49" s="142"/>
      <c r="S49" s="142"/>
      <c r="T49" s="142"/>
    </row>
    <row r="50" spans="2:20" ht="12" thickTop="1" x14ac:dyDescent="0.15">
      <c r="B50" s="134" t="s">
        <v>122</v>
      </c>
      <c r="C50" s="134"/>
      <c r="D50" s="140">
        <v>43235</v>
      </c>
      <c r="E50" s="143"/>
      <c r="G50" s="134" t="s">
        <v>122</v>
      </c>
      <c r="H50" s="134"/>
      <c r="I50" s="140">
        <v>43265</v>
      </c>
      <c r="J50" s="143"/>
      <c r="L50" s="134" t="s">
        <v>122</v>
      </c>
      <c r="M50" s="134"/>
      <c r="N50" s="140">
        <v>43237</v>
      </c>
      <c r="O50" s="143"/>
      <c r="Q50" s="134" t="s">
        <v>122</v>
      </c>
      <c r="R50" s="134"/>
      <c r="S50" s="140">
        <v>43237</v>
      </c>
      <c r="T50" s="143"/>
    </row>
    <row r="51" spans="2:20" ht="11.25" x14ac:dyDescent="0.15">
      <c r="B51" s="134" t="s">
        <v>124</v>
      </c>
      <c r="C51" s="134"/>
      <c r="D51" s="135" t="s">
        <v>221</v>
      </c>
      <c r="E51" s="136"/>
      <c r="G51" s="134" t="s">
        <v>124</v>
      </c>
      <c r="H51" s="134"/>
      <c r="I51" s="135" t="s">
        <v>202</v>
      </c>
      <c r="J51" s="136"/>
      <c r="L51" s="134" t="s">
        <v>124</v>
      </c>
      <c r="M51" s="134"/>
      <c r="N51" s="135" t="s">
        <v>4</v>
      </c>
      <c r="O51" s="136"/>
      <c r="Q51" s="134" t="s">
        <v>124</v>
      </c>
      <c r="R51" s="134"/>
      <c r="S51" s="135" t="s">
        <v>4</v>
      </c>
      <c r="T51" s="136"/>
    </row>
    <row r="52" spans="2:20" ht="11.25" x14ac:dyDescent="0.15">
      <c r="B52" s="134" t="s">
        <v>127</v>
      </c>
      <c r="C52" s="134"/>
      <c r="D52" s="135" t="s">
        <v>230</v>
      </c>
      <c r="E52" s="136"/>
      <c r="G52" s="134" t="s">
        <v>127</v>
      </c>
      <c r="H52" s="134"/>
      <c r="I52" s="135" t="s">
        <v>4</v>
      </c>
      <c r="J52" s="136"/>
      <c r="L52" s="134" t="s">
        <v>127</v>
      </c>
      <c r="M52" s="134"/>
      <c r="N52" s="135" t="s">
        <v>36</v>
      </c>
      <c r="O52" s="136"/>
      <c r="Q52" s="134" t="s">
        <v>127</v>
      </c>
      <c r="R52" s="134"/>
      <c r="S52" s="135" t="s">
        <v>36</v>
      </c>
      <c r="T52" s="136"/>
    </row>
    <row r="53" spans="2:20" ht="11.25" x14ac:dyDescent="0.15">
      <c r="B53" s="134" t="s">
        <v>179</v>
      </c>
      <c r="C53" s="134"/>
      <c r="D53" s="135">
        <f>D58*D60</f>
        <v>280000</v>
      </c>
      <c r="E53" s="136"/>
      <c r="G53" s="134" t="s">
        <v>129</v>
      </c>
      <c r="H53" s="134"/>
      <c r="I53" s="135">
        <f>I58*I60</f>
        <v>252000</v>
      </c>
      <c r="J53" s="136"/>
      <c r="L53" s="134" t="s">
        <v>179</v>
      </c>
      <c r="M53" s="134"/>
      <c r="N53" s="135">
        <f>N58*N60</f>
        <v>1272000</v>
      </c>
      <c r="O53" s="136"/>
      <c r="Q53" s="134" t="s">
        <v>179</v>
      </c>
      <c r="R53" s="134"/>
      <c r="S53" s="135">
        <f>S58*S60</f>
        <v>1230000</v>
      </c>
      <c r="T53" s="136"/>
    </row>
    <row r="54" spans="2:20" ht="11.25" x14ac:dyDescent="0.15">
      <c r="B54" s="134" t="s">
        <v>131</v>
      </c>
      <c r="C54" s="134"/>
      <c r="D54" s="135" t="s">
        <v>189</v>
      </c>
      <c r="E54" s="136"/>
      <c r="G54" s="134" t="s">
        <v>131</v>
      </c>
      <c r="H54" s="134"/>
      <c r="I54" s="135" t="s">
        <v>206</v>
      </c>
      <c r="J54" s="136"/>
      <c r="L54" s="134" t="s">
        <v>131</v>
      </c>
      <c r="M54" s="134"/>
      <c r="N54" s="135" t="s">
        <v>132</v>
      </c>
      <c r="O54" s="136"/>
      <c r="Q54" s="134" t="s">
        <v>131</v>
      </c>
      <c r="R54" s="134"/>
      <c r="S54" s="135" t="s">
        <v>132</v>
      </c>
      <c r="T54" s="136"/>
    </row>
    <row r="55" spans="2:20" ht="11.25" x14ac:dyDescent="0.15">
      <c r="B55" s="134" t="s">
        <v>134</v>
      </c>
      <c r="C55" s="134"/>
      <c r="D55" s="140">
        <f>D50+87</f>
        <v>43322</v>
      </c>
      <c r="E55" s="136"/>
      <c r="G55" s="134" t="s">
        <v>134</v>
      </c>
      <c r="H55" s="134"/>
      <c r="I55" s="140">
        <v>43294</v>
      </c>
      <c r="J55" s="136"/>
      <c r="L55" s="134" t="s">
        <v>134</v>
      </c>
      <c r="M55" s="134"/>
      <c r="N55" s="140">
        <f>N50+85</f>
        <v>43322</v>
      </c>
      <c r="O55" s="136"/>
      <c r="Q55" s="134" t="s">
        <v>134</v>
      </c>
      <c r="R55" s="134"/>
      <c r="S55" s="140">
        <f>S50+85</f>
        <v>43322</v>
      </c>
      <c r="T55" s="136"/>
    </row>
    <row r="56" spans="2:20" ht="11.25" x14ac:dyDescent="0.15">
      <c r="B56" s="134" t="s">
        <v>136</v>
      </c>
      <c r="C56" s="134"/>
      <c r="D56" s="135">
        <v>14825</v>
      </c>
      <c r="E56" s="136"/>
      <c r="G56" s="134" t="s">
        <v>136</v>
      </c>
      <c r="H56" s="141"/>
      <c r="I56" s="135">
        <v>14700</v>
      </c>
      <c r="J56" s="136"/>
      <c r="L56" s="134" t="s">
        <v>136</v>
      </c>
      <c r="M56" s="134"/>
      <c r="N56" s="135">
        <v>482</v>
      </c>
      <c r="O56" s="136"/>
      <c r="Q56" s="134" t="s">
        <v>136</v>
      </c>
      <c r="R56" s="134"/>
      <c r="S56" s="135">
        <v>482.5</v>
      </c>
      <c r="T56" s="136"/>
    </row>
    <row r="57" spans="2:20" ht="11.25" x14ac:dyDescent="0.15">
      <c r="B57" s="134" t="s">
        <v>138</v>
      </c>
      <c r="C57" s="134"/>
      <c r="D57" s="135">
        <v>14100</v>
      </c>
      <c r="E57" s="136"/>
      <c r="G57" s="134" t="s">
        <v>138</v>
      </c>
      <c r="H57" s="134"/>
      <c r="I57" s="135">
        <v>14500</v>
      </c>
      <c r="J57" s="136"/>
      <c r="L57" s="134" t="s">
        <v>138</v>
      </c>
      <c r="M57" s="134"/>
      <c r="N57" s="135">
        <v>480</v>
      </c>
      <c r="O57" s="136"/>
      <c r="Q57" s="134" t="s">
        <v>138</v>
      </c>
      <c r="R57" s="134"/>
      <c r="S57" s="135">
        <v>430</v>
      </c>
      <c r="T57" s="136"/>
    </row>
    <row r="58" spans="2:20" ht="11.25" x14ac:dyDescent="0.15">
      <c r="B58" s="134" t="s">
        <v>140</v>
      </c>
      <c r="C58" s="134"/>
      <c r="D58" s="135">
        <v>140</v>
      </c>
      <c r="E58" s="136"/>
      <c r="G58" s="134" t="s">
        <v>140</v>
      </c>
      <c r="H58" s="134"/>
      <c r="I58" s="135">
        <v>126</v>
      </c>
      <c r="J58" s="136"/>
      <c r="L58" s="134" t="s">
        <v>140</v>
      </c>
      <c r="M58" s="134"/>
      <c r="N58" s="135">
        <v>31.8</v>
      </c>
      <c r="O58" s="136"/>
      <c r="Q58" s="134" t="s">
        <v>140</v>
      </c>
      <c r="R58" s="134"/>
      <c r="S58" s="135">
        <v>12.3</v>
      </c>
      <c r="T58" s="136"/>
    </row>
    <row r="59" spans="2:20" ht="11.25" x14ac:dyDescent="0.15">
      <c r="B59" s="134" t="s">
        <v>142</v>
      </c>
      <c r="C59" s="134"/>
      <c r="D59" s="135" t="s">
        <v>229</v>
      </c>
      <c r="E59" s="136"/>
      <c r="G59" s="134" t="s">
        <v>142</v>
      </c>
      <c r="H59" s="134"/>
      <c r="I59" s="135" t="s">
        <v>231</v>
      </c>
      <c r="J59" s="136"/>
      <c r="L59" s="134" t="s">
        <v>142</v>
      </c>
      <c r="M59" s="134"/>
      <c r="N59" s="135" t="s">
        <v>200</v>
      </c>
      <c r="O59" s="136"/>
      <c r="Q59" s="134" t="s">
        <v>142</v>
      </c>
      <c r="R59" s="134"/>
      <c r="S59" s="135" t="s">
        <v>200</v>
      </c>
      <c r="T59" s="136"/>
    </row>
    <row r="60" spans="2:20" ht="11.25" x14ac:dyDescent="0.15">
      <c r="B60" s="134" t="s">
        <v>145</v>
      </c>
      <c r="C60" s="134"/>
      <c r="D60" s="135">
        <v>2000</v>
      </c>
      <c r="E60" s="136"/>
      <c r="G60" s="134" t="s">
        <v>145</v>
      </c>
      <c r="H60" s="134"/>
      <c r="I60" s="135">
        <v>2000</v>
      </c>
      <c r="J60" s="136"/>
      <c r="L60" s="134" t="s">
        <v>145</v>
      </c>
      <c r="M60" s="134"/>
      <c r="N60" s="135">
        <v>40000</v>
      </c>
      <c r="O60" s="136"/>
      <c r="Q60" s="134" t="s">
        <v>145</v>
      </c>
      <c r="R60" s="134"/>
      <c r="S60" s="135">
        <v>100000</v>
      </c>
      <c r="T60" s="136"/>
    </row>
    <row r="61" spans="2:20" ht="12" thickBot="1" x14ac:dyDescent="0.2">
      <c r="B61" s="137" t="s">
        <v>147</v>
      </c>
      <c r="C61" s="137"/>
      <c r="D61" s="138" t="s">
        <v>205</v>
      </c>
      <c r="E61" s="139"/>
      <c r="G61" s="137" t="s">
        <v>147</v>
      </c>
      <c r="H61" s="137"/>
      <c r="I61" s="138" t="s">
        <v>203</v>
      </c>
      <c r="J61" s="139"/>
      <c r="L61" s="137" t="s">
        <v>147</v>
      </c>
      <c r="M61" s="137"/>
      <c r="N61" s="138" t="s">
        <v>205</v>
      </c>
      <c r="O61" s="139"/>
      <c r="Q61" s="137" t="s">
        <v>147</v>
      </c>
      <c r="R61" s="137"/>
      <c r="S61" s="138" t="s">
        <v>205</v>
      </c>
      <c r="T61" s="139"/>
    </row>
    <row r="62" spans="2:20" ht="11.25" thickTop="1" x14ac:dyDescent="0.15"/>
    <row r="63" spans="2:20" ht="12" thickBot="1" x14ac:dyDescent="0.2">
      <c r="G63" s="142" t="s">
        <v>236</v>
      </c>
      <c r="H63" s="142"/>
      <c r="I63" s="142"/>
      <c r="J63" s="142"/>
      <c r="L63" s="142" t="s">
        <v>237</v>
      </c>
      <c r="M63" s="142"/>
      <c r="N63" s="142"/>
      <c r="O63" s="142"/>
      <c r="Q63" s="142" t="s">
        <v>249</v>
      </c>
      <c r="R63" s="142"/>
      <c r="S63" s="142"/>
      <c r="T63" s="142"/>
    </row>
    <row r="64" spans="2:20" ht="12" thickTop="1" x14ac:dyDescent="0.15">
      <c r="G64" s="134" t="s">
        <v>122</v>
      </c>
      <c r="H64" s="134"/>
      <c r="I64" s="140">
        <v>43248</v>
      </c>
      <c r="J64" s="143"/>
      <c r="L64" s="134" t="s">
        <v>122</v>
      </c>
      <c r="M64" s="134"/>
      <c r="N64" s="140">
        <v>43248</v>
      </c>
      <c r="O64" s="143"/>
      <c r="Q64" s="134" t="s">
        <v>122</v>
      </c>
      <c r="R64" s="134"/>
      <c r="S64" s="140">
        <v>43264</v>
      </c>
      <c r="T64" s="143"/>
    </row>
    <row r="65" spans="7:20" ht="11.25" x14ac:dyDescent="0.15">
      <c r="G65" s="134" t="s">
        <v>124</v>
      </c>
      <c r="H65" s="134"/>
      <c r="I65" s="135" t="s">
        <v>234</v>
      </c>
      <c r="J65" s="136"/>
      <c r="L65" s="134" t="s">
        <v>124</v>
      </c>
      <c r="M65" s="134"/>
      <c r="N65" s="135" t="s">
        <v>234</v>
      </c>
      <c r="O65" s="136"/>
      <c r="Q65" s="134" t="s">
        <v>124</v>
      </c>
      <c r="R65" s="134"/>
      <c r="S65" s="135" t="s">
        <v>250</v>
      </c>
      <c r="T65" s="136"/>
    </row>
    <row r="66" spans="7:20" ht="11.25" x14ac:dyDescent="0.15">
      <c r="G66" s="134" t="s">
        <v>127</v>
      </c>
      <c r="H66" s="134"/>
      <c r="I66" s="135" t="s">
        <v>36</v>
      </c>
      <c r="J66" s="136"/>
      <c r="L66" s="134" t="s">
        <v>127</v>
      </c>
      <c r="M66" s="134"/>
      <c r="N66" s="135" t="s">
        <v>36</v>
      </c>
      <c r="O66" s="136"/>
      <c r="Q66" s="134" t="s">
        <v>127</v>
      </c>
      <c r="R66" s="134"/>
      <c r="S66" s="135" t="s">
        <v>36</v>
      </c>
      <c r="T66" s="136"/>
    </row>
    <row r="67" spans="7:20" ht="11.25" x14ac:dyDescent="0.15">
      <c r="G67" s="134" t="s">
        <v>179</v>
      </c>
      <c r="H67" s="134"/>
      <c r="I67" s="135">
        <f>I72*I74</f>
        <v>244200.00000000003</v>
      </c>
      <c r="J67" s="136"/>
      <c r="L67" s="134" t="s">
        <v>179</v>
      </c>
      <c r="M67" s="134"/>
      <c r="N67" s="135">
        <f>N72*N74</f>
        <v>244200.00000000003</v>
      </c>
      <c r="O67" s="136"/>
      <c r="Q67" s="134" t="s">
        <v>129</v>
      </c>
      <c r="R67" s="134"/>
      <c r="S67" s="135">
        <f>S72*S74</f>
        <v>35120</v>
      </c>
      <c r="T67" s="136"/>
    </row>
    <row r="68" spans="7:20" ht="11.25" x14ac:dyDescent="0.15">
      <c r="G68" s="134" t="s">
        <v>131</v>
      </c>
      <c r="H68" s="134"/>
      <c r="I68" s="135" t="s">
        <v>132</v>
      </c>
      <c r="J68" s="136"/>
      <c r="L68" s="134" t="s">
        <v>131</v>
      </c>
      <c r="M68" s="134"/>
      <c r="N68" s="135" t="s">
        <v>235</v>
      </c>
      <c r="O68" s="136"/>
      <c r="Q68" s="134" t="s">
        <v>131</v>
      </c>
      <c r="R68" s="134"/>
      <c r="S68" s="135" t="s">
        <v>190</v>
      </c>
      <c r="T68" s="136"/>
    </row>
    <row r="69" spans="7:20" ht="11.25" x14ac:dyDescent="0.15">
      <c r="G69" s="134" t="s">
        <v>134</v>
      </c>
      <c r="H69" s="134"/>
      <c r="I69" s="140">
        <f>I64+79</f>
        <v>43327</v>
      </c>
      <c r="J69" s="136"/>
      <c r="L69" s="134" t="s">
        <v>134</v>
      </c>
      <c r="M69" s="134"/>
      <c r="N69" s="140">
        <f>N64+79</f>
        <v>43327</v>
      </c>
      <c r="O69" s="136"/>
      <c r="Q69" s="134" t="s">
        <v>134</v>
      </c>
      <c r="R69" s="134"/>
      <c r="S69" s="140">
        <f>S64+30</f>
        <v>43294</v>
      </c>
      <c r="T69" s="136"/>
    </row>
    <row r="70" spans="7:20" ht="11.25" x14ac:dyDescent="0.15">
      <c r="G70" s="134" t="s">
        <v>136</v>
      </c>
      <c r="H70" s="134"/>
      <c r="I70" s="135">
        <v>456.5</v>
      </c>
      <c r="J70" s="136"/>
      <c r="L70" s="134" t="s">
        <v>136</v>
      </c>
      <c r="M70" s="134"/>
      <c r="N70" s="135">
        <v>456.5</v>
      </c>
      <c r="O70" s="136"/>
      <c r="Q70" s="134" t="s">
        <v>136</v>
      </c>
      <c r="R70" s="134"/>
      <c r="S70" s="135">
        <v>18280</v>
      </c>
      <c r="T70" s="136"/>
    </row>
    <row r="71" spans="7:20" ht="11.25" x14ac:dyDescent="0.15">
      <c r="G71" s="134" t="s">
        <v>138</v>
      </c>
      <c r="H71" s="134"/>
      <c r="I71" s="135">
        <v>456.5</v>
      </c>
      <c r="J71" s="136"/>
      <c r="L71" s="134" t="s">
        <v>138</v>
      </c>
      <c r="M71" s="134"/>
      <c r="N71" s="135">
        <v>456.5</v>
      </c>
      <c r="O71" s="136"/>
      <c r="Q71" s="134" t="s">
        <v>138</v>
      </c>
      <c r="R71" s="134"/>
      <c r="S71" s="135">
        <v>19000</v>
      </c>
      <c r="T71" s="136"/>
    </row>
    <row r="72" spans="7:20" ht="11.25" x14ac:dyDescent="0.15">
      <c r="G72" s="134" t="s">
        <v>140</v>
      </c>
      <c r="H72" s="134"/>
      <c r="I72" s="135">
        <v>24.42</v>
      </c>
      <c r="J72" s="136"/>
      <c r="L72" s="134" t="s">
        <v>140</v>
      </c>
      <c r="M72" s="134"/>
      <c r="N72" s="135">
        <v>24.42</v>
      </c>
      <c r="O72" s="136"/>
      <c r="Q72" s="134" t="s">
        <v>140</v>
      </c>
      <c r="R72" s="134"/>
      <c r="S72" s="135">
        <v>439</v>
      </c>
      <c r="T72" s="136"/>
    </row>
    <row r="73" spans="7:20" ht="11.25" x14ac:dyDescent="0.15">
      <c r="G73" s="134" t="s">
        <v>142</v>
      </c>
      <c r="H73" s="134"/>
      <c r="I73" s="135" t="s">
        <v>200</v>
      </c>
      <c r="J73" s="136"/>
      <c r="L73" s="134" t="s">
        <v>142</v>
      </c>
      <c r="M73" s="134"/>
      <c r="N73" s="135" t="s">
        <v>200</v>
      </c>
      <c r="O73" s="136"/>
      <c r="Q73" s="134" t="s">
        <v>142</v>
      </c>
      <c r="R73" s="134"/>
      <c r="S73" s="135" t="s">
        <v>248</v>
      </c>
      <c r="T73" s="136"/>
    </row>
    <row r="74" spans="7:20" ht="11.25" x14ac:dyDescent="0.15">
      <c r="G74" s="134" t="s">
        <v>145</v>
      </c>
      <c r="H74" s="134"/>
      <c r="I74" s="135">
        <v>10000</v>
      </c>
      <c r="J74" s="136"/>
      <c r="L74" s="134" t="s">
        <v>145</v>
      </c>
      <c r="M74" s="134"/>
      <c r="N74" s="135">
        <v>10000</v>
      </c>
      <c r="O74" s="136"/>
      <c r="Q74" s="134" t="s">
        <v>145</v>
      </c>
      <c r="R74" s="134"/>
      <c r="S74" s="135">
        <v>80</v>
      </c>
      <c r="T74" s="136"/>
    </row>
    <row r="75" spans="7:20" ht="12" thickBot="1" x14ac:dyDescent="0.2">
      <c r="G75" s="137" t="s">
        <v>147</v>
      </c>
      <c r="H75" s="137"/>
      <c r="I75" s="138" t="s">
        <v>205</v>
      </c>
      <c r="J75" s="139"/>
      <c r="L75" s="137" t="s">
        <v>147</v>
      </c>
      <c r="M75" s="137"/>
      <c r="N75" s="138" t="s">
        <v>205</v>
      </c>
      <c r="O75" s="139"/>
      <c r="Q75" s="137" t="s">
        <v>147</v>
      </c>
      <c r="R75" s="137"/>
      <c r="S75" s="138" t="s">
        <v>205</v>
      </c>
      <c r="T75" s="139"/>
    </row>
    <row r="76" spans="7:20" ht="11.25" thickTop="1" x14ac:dyDescent="0.15"/>
    <row r="77" spans="7:20" ht="12" thickBot="1" x14ac:dyDescent="0.2">
      <c r="G77" s="142" t="s">
        <v>236</v>
      </c>
      <c r="H77" s="142"/>
      <c r="I77" s="142"/>
      <c r="J77" s="142"/>
      <c r="L77" s="142" t="s">
        <v>251</v>
      </c>
      <c r="M77" s="142"/>
      <c r="N77" s="142"/>
      <c r="O77" s="142"/>
      <c r="Q77" s="142" t="s">
        <v>204</v>
      </c>
      <c r="R77" s="142"/>
      <c r="S77" s="142"/>
      <c r="T77" s="142"/>
    </row>
    <row r="78" spans="7:20" ht="12" thickTop="1" x14ac:dyDescent="0.15">
      <c r="G78" s="134" t="s">
        <v>122</v>
      </c>
      <c r="H78" s="134"/>
      <c r="I78" s="140">
        <v>43248</v>
      </c>
      <c r="J78" s="143"/>
      <c r="L78" s="134" t="s">
        <v>122</v>
      </c>
      <c r="M78" s="134"/>
      <c r="N78" s="140">
        <v>43265</v>
      </c>
      <c r="O78" s="143"/>
      <c r="Q78" s="134" t="s">
        <v>122</v>
      </c>
      <c r="R78" s="134"/>
      <c r="S78" s="140">
        <v>43276</v>
      </c>
      <c r="T78" s="143"/>
    </row>
    <row r="79" spans="7:20" ht="11.25" x14ac:dyDescent="0.15">
      <c r="G79" s="134" t="s">
        <v>124</v>
      </c>
      <c r="H79" s="134"/>
      <c r="I79" s="135" t="s">
        <v>234</v>
      </c>
      <c r="J79" s="136"/>
      <c r="L79" s="134" t="s">
        <v>124</v>
      </c>
      <c r="M79" s="134"/>
      <c r="N79" s="135" t="s">
        <v>234</v>
      </c>
      <c r="O79" s="136"/>
      <c r="Q79" s="134" t="s">
        <v>124</v>
      </c>
      <c r="R79" s="134"/>
      <c r="S79" s="135" t="s">
        <v>202</v>
      </c>
      <c r="T79" s="136"/>
    </row>
    <row r="80" spans="7:20" ht="11.25" x14ac:dyDescent="0.15">
      <c r="G80" s="134" t="s">
        <v>127</v>
      </c>
      <c r="H80" s="134"/>
      <c r="I80" s="135" t="s">
        <v>36</v>
      </c>
      <c r="J80" s="136"/>
      <c r="L80" s="134" t="s">
        <v>127</v>
      </c>
      <c r="M80" s="134"/>
      <c r="N80" s="135" t="s">
        <v>36</v>
      </c>
      <c r="O80" s="136"/>
      <c r="Q80" s="134" t="s">
        <v>127</v>
      </c>
      <c r="R80" s="134"/>
      <c r="S80" s="135" t="s">
        <v>4</v>
      </c>
      <c r="T80" s="136"/>
    </row>
    <row r="81" spans="7:20" ht="11.25" x14ac:dyDescent="0.15">
      <c r="G81" s="134" t="s">
        <v>179</v>
      </c>
      <c r="H81" s="134"/>
      <c r="I81" s="135">
        <f>I86*I88</f>
        <v>244200.00000000003</v>
      </c>
      <c r="J81" s="136"/>
      <c r="L81" s="134" t="s">
        <v>179</v>
      </c>
      <c r="M81" s="134"/>
      <c r="N81" s="144">
        <f>N86*N88</f>
        <v>784480</v>
      </c>
      <c r="O81" s="145"/>
      <c r="Q81" s="134" t="s">
        <v>129</v>
      </c>
      <c r="R81" s="134"/>
      <c r="S81" s="144">
        <f>S86*S88</f>
        <v>1009200</v>
      </c>
      <c r="T81" s="145"/>
    </row>
    <row r="82" spans="7:20" ht="11.25" x14ac:dyDescent="0.15">
      <c r="G82" s="134" t="s">
        <v>131</v>
      </c>
      <c r="H82" s="134"/>
      <c r="I82" s="135" t="s">
        <v>132</v>
      </c>
      <c r="J82" s="136"/>
      <c r="L82" s="134" t="s">
        <v>131</v>
      </c>
      <c r="M82" s="134"/>
      <c r="N82" s="135" t="s">
        <v>252</v>
      </c>
      <c r="O82" s="136"/>
      <c r="Q82" s="134" t="s">
        <v>131</v>
      </c>
      <c r="R82" s="134"/>
      <c r="S82" s="135" t="s">
        <v>206</v>
      </c>
      <c r="T82" s="136"/>
    </row>
    <row r="83" spans="7:20" ht="11.25" x14ac:dyDescent="0.15">
      <c r="G83" s="134" t="s">
        <v>134</v>
      </c>
      <c r="H83" s="134"/>
      <c r="I83" s="140">
        <f>I78+31</f>
        <v>43279</v>
      </c>
      <c r="J83" s="136"/>
      <c r="L83" s="134" t="s">
        <v>134</v>
      </c>
      <c r="M83" s="134"/>
      <c r="N83" s="140">
        <v>43404</v>
      </c>
      <c r="O83" s="136"/>
      <c r="Q83" s="134" t="s">
        <v>134</v>
      </c>
      <c r="R83" s="134"/>
      <c r="S83" s="140">
        <v>43322</v>
      </c>
      <c r="T83" s="136"/>
    </row>
    <row r="84" spans="7:20" ht="11.25" x14ac:dyDescent="0.15">
      <c r="G84" s="134" t="s">
        <v>136</v>
      </c>
      <c r="H84" s="134"/>
      <c r="I84" s="135">
        <v>456.5</v>
      </c>
      <c r="J84" s="136"/>
      <c r="L84" s="134" t="s">
        <v>136</v>
      </c>
      <c r="M84" s="134"/>
      <c r="N84" s="135">
        <v>1817</v>
      </c>
      <c r="O84" s="136"/>
      <c r="P84" s="100">
        <f>N84*3.5/100</f>
        <v>63.594999999999999</v>
      </c>
      <c r="Q84" s="134" t="s">
        <v>136</v>
      </c>
      <c r="R84" s="141"/>
      <c r="S84" s="135">
        <v>466</v>
      </c>
      <c r="T84" s="136"/>
    </row>
    <row r="85" spans="7:20" ht="11.25" x14ac:dyDescent="0.15">
      <c r="G85" s="134" t="s">
        <v>138</v>
      </c>
      <c r="H85" s="134"/>
      <c r="I85" s="135">
        <v>456.5</v>
      </c>
      <c r="J85" s="136"/>
      <c r="L85" s="134" t="s">
        <v>138</v>
      </c>
      <c r="M85" s="134"/>
      <c r="N85" s="135">
        <v>1805</v>
      </c>
      <c r="O85" s="136"/>
      <c r="Q85" s="134" t="s">
        <v>138</v>
      </c>
      <c r="R85" s="134"/>
      <c r="S85" s="135">
        <v>480</v>
      </c>
      <c r="T85" s="136"/>
    </row>
    <row r="86" spans="7:20" ht="11.25" x14ac:dyDescent="0.15">
      <c r="G86" s="134" t="s">
        <v>140</v>
      </c>
      <c r="H86" s="134"/>
      <c r="I86" s="135">
        <v>24.42</v>
      </c>
      <c r="J86" s="136"/>
      <c r="L86" s="134" t="s">
        <v>140</v>
      </c>
      <c r="M86" s="134"/>
      <c r="N86" s="135">
        <v>49.03</v>
      </c>
      <c r="O86" s="136"/>
      <c r="Q86" s="134" t="s">
        <v>140</v>
      </c>
      <c r="R86" s="134"/>
      <c r="S86" s="135">
        <v>25.23</v>
      </c>
      <c r="T86" s="136"/>
    </row>
    <row r="87" spans="7:20" ht="11.25" x14ac:dyDescent="0.15">
      <c r="G87" s="134" t="s">
        <v>142</v>
      </c>
      <c r="H87" s="134"/>
      <c r="I87" s="135" t="s">
        <v>200</v>
      </c>
      <c r="J87" s="136"/>
      <c r="L87" s="134" t="s">
        <v>142</v>
      </c>
      <c r="M87" s="134"/>
      <c r="N87" s="135" t="s">
        <v>253</v>
      </c>
      <c r="O87" s="136"/>
      <c r="Q87" s="134" t="s">
        <v>142</v>
      </c>
      <c r="R87" s="134"/>
      <c r="S87" s="135" t="s">
        <v>200</v>
      </c>
      <c r="T87" s="136"/>
    </row>
    <row r="88" spans="7:20" ht="11.25" x14ac:dyDescent="0.15">
      <c r="G88" s="134" t="s">
        <v>145</v>
      </c>
      <c r="H88" s="134"/>
      <c r="I88" s="135">
        <v>10000</v>
      </c>
      <c r="J88" s="136"/>
      <c r="L88" s="134" t="s">
        <v>145</v>
      </c>
      <c r="M88" s="134"/>
      <c r="N88" s="135">
        <v>16000</v>
      </c>
      <c r="O88" s="136"/>
      <c r="Q88" s="134" t="s">
        <v>145</v>
      </c>
      <c r="R88" s="134"/>
      <c r="S88" s="135">
        <v>40000</v>
      </c>
      <c r="T88" s="136"/>
    </row>
    <row r="89" spans="7:20" ht="12" thickBot="1" x14ac:dyDescent="0.2">
      <c r="G89" s="137" t="s">
        <v>147</v>
      </c>
      <c r="H89" s="137"/>
      <c r="I89" s="138" t="s">
        <v>205</v>
      </c>
      <c r="J89" s="139"/>
      <c r="L89" s="137" t="s">
        <v>147</v>
      </c>
      <c r="M89" s="137"/>
      <c r="N89" s="138" t="s">
        <v>205</v>
      </c>
      <c r="O89" s="139"/>
      <c r="Q89" s="137" t="s">
        <v>147</v>
      </c>
      <c r="R89" s="137"/>
      <c r="S89" s="138" t="s">
        <v>203</v>
      </c>
      <c r="T89" s="139"/>
    </row>
    <row r="90" spans="7:20" ht="11.25" thickTop="1" x14ac:dyDescent="0.15"/>
  </sheetData>
  <mergeCells count="576">
    <mergeCell ref="Q73:R73"/>
    <mergeCell ref="S73:T73"/>
    <mergeCell ref="Q74:R74"/>
    <mergeCell ref="S74:T74"/>
    <mergeCell ref="Q75:R75"/>
    <mergeCell ref="S75:T75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63:T63"/>
    <mergeCell ref="Q64:R64"/>
    <mergeCell ref="S64:T64"/>
    <mergeCell ref="Q65:R65"/>
    <mergeCell ref="S65:T65"/>
    <mergeCell ref="Q66:R66"/>
    <mergeCell ref="S66:T66"/>
    <mergeCell ref="Q67:R67"/>
    <mergeCell ref="S67:T67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Q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7:R87"/>
    <mergeCell ref="S87:T87"/>
    <mergeCell ref="Q88:R88"/>
    <mergeCell ref="S88:T88"/>
    <mergeCell ref="Q89:R89"/>
    <mergeCell ref="S89:T89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69"/>
  <sheetViews>
    <sheetView topLeftCell="C1" zoomScaleNormal="100" workbookViewId="0">
      <pane ySplit="10" topLeftCell="A47" activePane="bottomLeft" state="frozen"/>
      <selection pane="bottomLeft" activeCell="C66" sqref="C65:S66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58" t="s">
        <v>37</v>
      </c>
      <c r="C1" s="158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/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201</v>
      </c>
      <c r="E8" s="8">
        <f t="shared" ref="E8:E9" ca="1" si="0">TODAY()</f>
        <v>43278</v>
      </c>
      <c r="F8" s="8">
        <f t="shared" ref="F8" ca="1" si="1">E8+H8</f>
        <v>43369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-11.466656365867436</v>
      </c>
      <c r="M8" s="15"/>
      <c r="N8" s="13">
        <f t="shared" ref="N8" si="2">M8/10000*I8*P8</f>
        <v>0</v>
      </c>
      <c r="O8" s="13">
        <f>IF(L8&lt;=0,ABS(L8)+N8,L8-N8)</f>
        <v>11.466656365867436</v>
      </c>
      <c r="P8" s="11">
        <f>RTD("wdf.rtq",,D8,"LastPrice")</f>
        <v>14175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8.0893519335925482E-4</v>
      </c>
      <c r="U8" s="13">
        <f>_xll.dnetGBlackScholesNGreeks("delta",$Q8,$P8,$G8,$I8,$C$3,$J8,$K8,$C$4)*R8</f>
        <v>2.023265918467132E-2</v>
      </c>
      <c r="V8" s="13">
        <f>_xll.dnetGBlackScholesNGreeks("vega",$Q8,$P8,$G8,$I8,$C$3,$J8,$K8,$C$4)*R8</f>
        <v>-3.4631464449985288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201</v>
      </c>
      <c r="E9" s="8">
        <f t="shared" ca="1" si="0"/>
        <v>43278</v>
      </c>
      <c r="F9" s="8">
        <f t="shared" ref="F9" ca="1" si="5">E9+H9</f>
        <v>43825.5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5" x14ac:dyDescent="0.15">
      <c r="N10" s="6">
        <f t="shared" si="6"/>
        <v>0</v>
      </c>
    </row>
    <row r="11" spans="1:25" x14ac:dyDescent="0.15">
      <c r="E11" s="117"/>
      <c r="F11" s="117"/>
    </row>
    <row r="15" spans="1:25" ht="10.5" customHeight="1" x14ac:dyDescent="0.15">
      <c r="A15" s="34"/>
      <c r="B15" s="13" t="s">
        <v>172</v>
      </c>
      <c r="C15" s="10" t="s">
        <v>160</v>
      </c>
      <c r="D15" s="10" t="s">
        <v>254</v>
      </c>
      <c r="E15" s="8">
        <f t="shared" ref="E15:E66" ca="1" si="9">TODAY()</f>
        <v>43278</v>
      </c>
      <c r="F15" s="8">
        <f t="shared" ref="F15" ca="1" si="10">E15+H15</f>
        <v>43337</v>
      </c>
      <c r="G15" s="11">
        <v>100</v>
      </c>
      <c r="H15" s="10">
        <v>59</v>
      </c>
      <c r="I15" s="12">
        <f t="shared" ref="I15" si="11">H15/365</f>
        <v>0.16164383561643836</v>
      </c>
      <c r="J15" s="12">
        <v>0</v>
      </c>
      <c r="K15" s="116">
        <v>0.36</v>
      </c>
      <c r="L15" s="13">
        <f>_xll.dnetGBlackScholesNGreeks("price",$Q15,$P15,$G15,$I15,$C$3,$J15,$K15,$C$4)*R15</f>
        <v>-5.750547120668223</v>
      </c>
      <c r="M15" s="15">
        <v>0</v>
      </c>
      <c r="N15" s="13">
        <f t="shared" ref="N15" si="12">M15/10000*I15*P15</f>
        <v>0</v>
      </c>
      <c r="O15" s="13">
        <f t="shared" ref="O15" si="13">IF(L15&lt;=0,ABS(L15)+N15,L15-N15)</f>
        <v>5.750547120668223</v>
      </c>
      <c r="P15" s="13">
        <v>100</v>
      </c>
      <c r="Q15" s="10" t="s">
        <v>24</v>
      </c>
      <c r="R15" s="10">
        <f t="shared" ref="R15" si="14">IF(S15="中金买入",1,-1)</f>
        <v>-1</v>
      </c>
      <c r="S15" s="10" t="s">
        <v>20</v>
      </c>
      <c r="T15" s="14">
        <f t="shared" ref="T15" si="15">O15/P15</f>
        <v>5.7505471206682229E-2</v>
      </c>
      <c r="U15" s="13">
        <f>_xll.dnetGBlackScholesNGreeks("delta",$Q15,$P15,$G15,$I15,$C$3,$J15,$K15,$C$4)*R15</f>
        <v>-0.52713890045659184</v>
      </c>
      <c r="V15" s="13">
        <f>_xll.dnetGBlackScholesNGreeks("vega",$Q15,$P15,$G15,$I15,$C$3,$J15,$K15,$C$4)*R15</f>
        <v>-0.15945864571627411</v>
      </c>
      <c r="W15" s="114"/>
      <c r="X15" s="115">
        <v>400</v>
      </c>
      <c r="Y15" s="6">
        <f t="shared" ref="Y15" si="16">X15*U15</f>
        <v>-210.85556018263674</v>
      </c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256</v>
      </c>
      <c r="E16" s="8">
        <f t="shared" ca="1" si="9"/>
        <v>43278</v>
      </c>
      <c r="F16" s="8">
        <f t="shared" ref="F16" ca="1" si="17">E16+H16</f>
        <v>43337</v>
      </c>
      <c r="G16" s="11">
        <v>100</v>
      </c>
      <c r="H16" s="10">
        <v>59</v>
      </c>
      <c r="I16" s="12">
        <f t="shared" ref="I16" si="18">H16/365</f>
        <v>0.16164383561643836</v>
      </c>
      <c r="J16" s="12">
        <v>0</v>
      </c>
      <c r="K16" s="116">
        <v>0.36</v>
      </c>
      <c r="L16" s="13">
        <f>_xll.dnetGBlackScholesNGreeks("price",$Q16,$P16,$G16,$I16,$C$3,$J16,$K16,$C$4)*R16</f>
        <v>-5.750547120668223</v>
      </c>
      <c r="M16" s="15">
        <v>30</v>
      </c>
      <c r="N16" s="13">
        <f t="shared" ref="N16" si="19">M16/10000*I16*P16</f>
        <v>4.8493150684931506E-2</v>
      </c>
      <c r="O16" s="13">
        <f t="shared" ref="O16" si="20">IF(L16&lt;=0,ABS(L16)+N16,L16-N16)</f>
        <v>5.7990402713531548</v>
      </c>
      <c r="P16" s="13">
        <v>100</v>
      </c>
      <c r="Q16" s="10" t="s">
        <v>24</v>
      </c>
      <c r="R16" s="10">
        <f t="shared" ref="R16" si="21">IF(S16="中金买入",1,-1)</f>
        <v>-1</v>
      </c>
      <c r="S16" s="10" t="s">
        <v>20</v>
      </c>
      <c r="T16" s="14">
        <f t="shared" ref="T16" si="22">O16/P16</f>
        <v>5.799040271353155E-2</v>
      </c>
      <c r="U16" s="13">
        <f>_xll.dnetGBlackScholesNGreeks("delta",$Q16,$P16,$G16,$I16,$C$3,$J16,$K16,$C$4)*R16</f>
        <v>-0.52713890045659184</v>
      </c>
      <c r="V16" s="13">
        <f>_xll.dnetGBlackScholesNGreeks("vega",$Q16,$P16,$G16,$I16,$C$3,$J16,$K16,$C$4)*R16</f>
        <v>-0.15945864571627411</v>
      </c>
      <c r="W16" s="114"/>
      <c r="X16" s="115">
        <v>400</v>
      </c>
      <c r="Y16" s="6">
        <f t="shared" ref="Y16" si="23">X16*U16</f>
        <v>-210.85556018263674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266</v>
      </c>
      <c r="E18" s="8">
        <f t="shared" ca="1" si="9"/>
        <v>43278</v>
      </c>
      <c r="F18" s="8">
        <f t="shared" ref="F18:F23" ca="1" si="24">E18+H18</f>
        <v>43329</v>
      </c>
      <c r="G18" s="11">
        <v>13800</v>
      </c>
      <c r="H18" s="10">
        <v>51</v>
      </c>
      <c r="I18" s="12">
        <f t="shared" ref="I18:I19" si="25">H18/365</f>
        <v>0.13972602739726028</v>
      </c>
      <c r="J18" s="12">
        <v>0</v>
      </c>
      <c r="K18" s="116">
        <v>0.125</v>
      </c>
      <c r="L18" s="13">
        <f>_xll.dnetGBlackScholesNGreeks("price",$Q18,$P18,$G18,$I18,$C$3,$J18,$K18,$C$4)*R18</f>
        <v>97.861082816066755</v>
      </c>
      <c r="M18" s="15">
        <v>30</v>
      </c>
      <c r="N18" s="13">
        <f t="shared" ref="N18:N23" si="26">M18/10000*I18*P18</f>
        <v>5.9690958904109594</v>
      </c>
      <c r="O18" s="13">
        <f t="shared" ref="O18:O23" si="27">IF(L18&lt;=0,ABS(L18)+N18,L18-N18)</f>
        <v>91.8919869256558</v>
      </c>
      <c r="P18" s="13">
        <f>RTD("wdf.rtq",,D18,"LastPrice")</f>
        <v>14240</v>
      </c>
      <c r="Q18" s="10" t="s">
        <v>85</v>
      </c>
      <c r="R18" s="10">
        <f t="shared" ref="R18:R23" si="28">IF(S18="中金买入",1,-1)</f>
        <v>1</v>
      </c>
      <c r="S18" s="10" t="s">
        <v>151</v>
      </c>
      <c r="T18" s="14">
        <f t="shared" ref="T18:T23" si="29">O18/P18</f>
        <v>6.4530889694983003E-3</v>
      </c>
      <c r="U18" s="13">
        <f>_xll.dnetGBlackScholesNGreeks("delta",$Q18,$P18,$G18,$I18,$C$3,$J18,$K18,$C$4)*R18</f>
        <v>-0.24282066447085526</v>
      </c>
      <c r="V18" s="13">
        <f>_xll.dnetGBlackScholesNGreeks("vega",$Q18,$P18,$G18,$I18,$C$3,$J18,$K18,$C$4)*R18</f>
        <v>16.610989188715848</v>
      </c>
      <c r="W18" s="114"/>
      <c r="X18" s="115">
        <v>400</v>
      </c>
      <c r="Y18" s="6">
        <f t="shared" ref="Y18:Y23" si="30">X18*U18</f>
        <v>-97.128265788342105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258</v>
      </c>
      <c r="E19" s="8">
        <f t="shared" ca="1" si="9"/>
        <v>43278</v>
      </c>
      <c r="F19" s="8">
        <f t="shared" ca="1" si="24"/>
        <v>43365</v>
      </c>
      <c r="G19" s="11">
        <v>13800</v>
      </c>
      <c r="H19" s="10">
        <v>87</v>
      </c>
      <c r="I19" s="12">
        <f t="shared" si="25"/>
        <v>0.23835616438356164</v>
      </c>
      <c r="J19" s="12">
        <v>0</v>
      </c>
      <c r="K19" s="116">
        <v>0.1225</v>
      </c>
      <c r="L19" s="13" t="e">
        <f>_xll.dnetGBlackScholesNGreeks("price",$Q19,$P19,$G19,$I19,$C$3,$J19,$K19,$C$4)*R19</f>
        <v>#VALUE!</v>
      </c>
      <c r="M19" s="15">
        <v>30</v>
      </c>
      <c r="N19" s="13" t="e">
        <f t="shared" si="26"/>
        <v>#N/A</v>
      </c>
      <c r="O19" s="13" t="e">
        <f t="shared" si="27"/>
        <v>#VALUE!</v>
      </c>
      <c r="P19" s="13" t="e">
        <f>RTD("wdf.rtq",,D19,"LastPrice")</f>
        <v>#N/A</v>
      </c>
      <c r="Q19" s="10" t="s">
        <v>85</v>
      </c>
      <c r="R19" s="10">
        <f t="shared" si="28"/>
        <v>1</v>
      </c>
      <c r="S19" s="10" t="s">
        <v>151</v>
      </c>
      <c r="T19" s="14" t="e">
        <f t="shared" si="29"/>
        <v>#VALUE!</v>
      </c>
      <c r="U19" s="13" t="e">
        <f>_xll.dnetGBlackScholesNGreeks("delta",$Q19,$P19,$G19,$I19,$C$3,$J19,$K19,$C$4)*R19</f>
        <v>#VALUE!</v>
      </c>
      <c r="V19" s="13" t="e">
        <f>_xll.dnetGBlackScholesNGreeks("vega",$Q19,$P19,$G19,$I19,$C$3,$J19,$K19,$C$4)*R19</f>
        <v>#VALUE!</v>
      </c>
      <c r="W19" s="114"/>
      <c r="X19" s="115">
        <v>400</v>
      </c>
      <c r="Y19" s="6" t="e">
        <f t="shared" si="30"/>
        <v>#VALUE!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260</v>
      </c>
      <c r="E20" s="8">
        <f t="shared" ca="1" si="9"/>
        <v>43278</v>
      </c>
      <c r="F20" s="8">
        <f t="shared" ca="1" si="24"/>
        <v>43393</v>
      </c>
      <c r="G20" s="11">
        <v>13800</v>
      </c>
      <c r="H20" s="10">
        <v>115</v>
      </c>
      <c r="I20" s="12">
        <f>(H20-5)/365</f>
        <v>0.30136986301369861</v>
      </c>
      <c r="J20" s="12">
        <v>0</v>
      </c>
      <c r="K20" s="116">
        <v>0.12</v>
      </c>
      <c r="L20" s="13" t="e">
        <f>_xll.dnetGBlackScholesNGreeks("price",$Q20,$P20,$G20,$I20,$C$3,$J20,$K20,$C$4)*R20</f>
        <v>#VALUE!</v>
      </c>
      <c r="M20" s="15">
        <v>30</v>
      </c>
      <c r="N20" s="13" t="e">
        <f t="shared" si="26"/>
        <v>#N/A</v>
      </c>
      <c r="O20" s="13" t="e">
        <f t="shared" si="27"/>
        <v>#VALUE!</v>
      </c>
      <c r="P20" s="13" t="e">
        <f>RTD("wdf.rtq",,D20,"LastPrice")</f>
        <v>#N/A</v>
      </c>
      <c r="Q20" s="10" t="s">
        <v>85</v>
      </c>
      <c r="R20" s="10">
        <f t="shared" si="28"/>
        <v>1</v>
      </c>
      <c r="S20" s="10" t="s">
        <v>151</v>
      </c>
      <c r="T20" s="14" t="e">
        <f t="shared" si="29"/>
        <v>#VALUE!</v>
      </c>
      <c r="U20" s="13" t="e">
        <f>_xll.dnetGBlackScholesNGreeks("delta",$Q20,$P20,$G20,$I20,$C$3,$J20,$K20,$C$4)*R20</f>
        <v>#VALUE!</v>
      </c>
      <c r="V20" s="13" t="e">
        <f>_xll.dnetGBlackScholesNGreeks("vega",$Q20,$P20,$G20,$I20,$C$3,$J20,$K20,$C$4)*R20</f>
        <v>#VALUE!</v>
      </c>
      <c r="W20" s="114"/>
      <c r="X20" s="115">
        <v>400</v>
      </c>
      <c r="Y20" s="6" t="e">
        <f t="shared" si="30"/>
        <v>#VALUE!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266</v>
      </c>
      <c r="E21" s="8">
        <f t="shared" ca="1" si="9"/>
        <v>43278</v>
      </c>
      <c r="F21" s="8">
        <f t="shared" ca="1" si="24"/>
        <v>43329</v>
      </c>
      <c r="G21" s="11">
        <v>14000</v>
      </c>
      <c r="H21" s="10">
        <v>51</v>
      </c>
      <c r="I21" s="12">
        <f t="shared" ref="I21:I22" si="31">H21/365</f>
        <v>0.13972602739726028</v>
      </c>
      <c r="J21" s="12">
        <v>0</v>
      </c>
      <c r="K21" s="116">
        <v>0.125</v>
      </c>
      <c r="L21" s="13">
        <f>_xll.dnetGBlackScholesNGreeks("price",$Q21,$P21,$G21,$I21,$C$3,$J21,$K21,$C$4)*R21</f>
        <v>159.9539137867705</v>
      </c>
      <c r="M21" s="15">
        <v>30</v>
      </c>
      <c r="N21" s="13">
        <f t="shared" si="26"/>
        <v>5.9690958904109594</v>
      </c>
      <c r="O21" s="13">
        <f t="shared" si="27"/>
        <v>153.98481789635954</v>
      </c>
      <c r="P21" s="13">
        <f>RTD("wdf.rtq",,D21,"LastPrice")</f>
        <v>14240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1.0813540582609518E-2</v>
      </c>
      <c r="U21" s="13">
        <f>_xll.dnetGBlackScholesNGreeks("delta",$Q21,$P21,$G21,$I21,$C$3,$J21,$K21,$C$4)*R21</f>
        <v>-0.34835068672691705</v>
      </c>
      <c r="V21" s="13">
        <f>_xll.dnetGBlackScholesNGreeks("vega",$Q21,$P21,$G21,$I21,$C$3,$J21,$K21,$C$4)*R21</f>
        <v>19.639123951995316</v>
      </c>
      <c r="W21" s="114"/>
      <c r="X21" s="115">
        <v>400</v>
      </c>
      <c r="Y21" s="6">
        <f t="shared" si="30"/>
        <v>-139.34027469076682</v>
      </c>
    </row>
    <row r="22" spans="1:25" ht="10.5" customHeight="1" x14ac:dyDescent="0.15">
      <c r="A22" s="34"/>
      <c r="B22" s="13" t="s">
        <v>172</v>
      </c>
      <c r="C22" s="10" t="s">
        <v>160</v>
      </c>
      <c r="D22" s="10" t="s">
        <v>258</v>
      </c>
      <c r="E22" s="8">
        <f t="shared" ca="1" si="9"/>
        <v>43278</v>
      </c>
      <c r="F22" s="8">
        <f t="shared" ca="1" si="24"/>
        <v>43365</v>
      </c>
      <c r="G22" s="11">
        <v>14000</v>
      </c>
      <c r="H22" s="10">
        <v>87</v>
      </c>
      <c r="I22" s="12">
        <f t="shared" si="31"/>
        <v>0.23835616438356164</v>
      </c>
      <c r="J22" s="12">
        <v>0</v>
      </c>
      <c r="K22" s="116">
        <v>0.1225</v>
      </c>
      <c r="L22" s="13" t="e">
        <f>_xll.dnetGBlackScholesNGreeks("price",$Q22,$P22,$G22,$I22,$C$3,$J22,$K22,$C$4)*R22</f>
        <v>#VALUE!</v>
      </c>
      <c r="M22" s="15">
        <v>30</v>
      </c>
      <c r="N22" s="13" t="e">
        <f t="shared" si="26"/>
        <v>#N/A</v>
      </c>
      <c r="O22" s="13" t="e">
        <f t="shared" si="27"/>
        <v>#VALUE!</v>
      </c>
      <c r="P22" s="13" t="e">
        <f>RTD("wdf.rtq",,D22,"LastPrice")</f>
        <v>#N/A</v>
      </c>
      <c r="Q22" s="10" t="s">
        <v>85</v>
      </c>
      <c r="R22" s="10">
        <f t="shared" si="28"/>
        <v>1</v>
      </c>
      <c r="S22" s="10" t="s">
        <v>151</v>
      </c>
      <c r="T22" s="14" t="e">
        <f t="shared" si="29"/>
        <v>#VALUE!</v>
      </c>
      <c r="U22" s="13" t="e">
        <f>_xll.dnetGBlackScholesNGreeks("delta",$Q22,$P22,$G22,$I22,$C$3,$J22,$K22,$C$4)*R22</f>
        <v>#VALUE!</v>
      </c>
      <c r="V22" s="13" t="e">
        <f>_xll.dnetGBlackScholesNGreeks("vega",$Q22,$P22,$G22,$I22,$C$3,$J22,$K22,$C$4)*R22</f>
        <v>#VALUE!</v>
      </c>
      <c r="W22" s="114"/>
      <c r="X22" s="115">
        <v>400</v>
      </c>
      <c r="Y22" s="6" t="e">
        <f t="shared" si="30"/>
        <v>#VALUE!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43278</v>
      </c>
      <c r="F23" s="8">
        <f t="shared" ca="1" si="24"/>
        <v>43393</v>
      </c>
      <c r="G23" s="11">
        <v>14000</v>
      </c>
      <c r="H23" s="10">
        <v>115</v>
      </c>
      <c r="I23" s="12">
        <f>(H23-5)/365</f>
        <v>0.30136986301369861</v>
      </c>
      <c r="J23" s="12">
        <v>0</v>
      </c>
      <c r="K23" s="116">
        <v>0.12</v>
      </c>
      <c r="L23" s="13">
        <f>_xll.dnetGBlackScholesNGreeks("price",$Q23,$P23,$G23,$I23,$C$3,$J23,$K23,$C$4)*R23</f>
        <v>162.82266221355803</v>
      </c>
      <c r="M23" s="15">
        <v>30</v>
      </c>
      <c r="N23" s="13">
        <f t="shared" si="26"/>
        <v>13.15027397260274</v>
      </c>
      <c r="O23" s="13">
        <f t="shared" si="27"/>
        <v>149.67238824095529</v>
      </c>
      <c r="P23" s="13">
        <v>14545</v>
      </c>
      <c r="Q23" s="10" t="s">
        <v>85</v>
      </c>
      <c r="R23" s="10">
        <f t="shared" si="28"/>
        <v>1</v>
      </c>
      <c r="S23" s="10" t="s">
        <v>151</v>
      </c>
      <c r="T23" s="14">
        <f t="shared" si="29"/>
        <v>1.0290298263386406E-2</v>
      </c>
      <c r="U23" s="13">
        <f>_xll.dnetGBlackScholesNGreeks("delta",$Q23,$P23,$G23,$I23,$C$3,$J23,$K23,$C$4)*R23</f>
        <v>-0.26842843287795404</v>
      </c>
      <c r="V23" s="13">
        <f>_xll.dnetGBlackScholesNGreeks("vega",$Q23,$P23,$G23,$I23,$C$3,$J23,$K23,$C$4)*R23</f>
        <v>26.21781661064324</v>
      </c>
      <c r="W23" s="114"/>
      <c r="X23" s="115">
        <v>400</v>
      </c>
      <c r="Y23" s="6">
        <f t="shared" si="30"/>
        <v>-107.37137315118161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269</v>
      </c>
      <c r="E25" s="8">
        <f t="shared" ca="1" si="9"/>
        <v>43278</v>
      </c>
      <c r="F25" s="8">
        <f t="shared" ref="F25" ca="1" si="32">E25+H25</f>
        <v>43308</v>
      </c>
      <c r="G25" s="11">
        <v>50000</v>
      </c>
      <c r="H25" s="10">
        <v>30</v>
      </c>
      <c r="I25" s="12">
        <f t="shared" ref="I25" si="33">H25/365</f>
        <v>8.2191780821917804E-2</v>
      </c>
      <c r="J25" s="12">
        <v>0</v>
      </c>
      <c r="K25" s="116">
        <v>0.1225</v>
      </c>
      <c r="L25" s="13">
        <f>_xll.dnetGBlackScholesNGreeks("price",$Q25,$P25,$G25,$I25,$C$3,$J25,$K25,$C$4)*R25</f>
        <v>69.862104030476985</v>
      </c>
      <c r="M25" s="15">
        <v>30</v>
      </c>
      <c r="N25" s="13">
        <f t="shared" ref="N25" si="34">M25/10000*I25*P25</f>
        <v>12.937808219178082</v>
      </c>
      <c r="O25" s="13">
        <f t="shared" ref="O25" si="35">IF(L25&lt;=0,ABS(L25)+N25,L25-N25)</f>
        <v>56.924295811298904</v>
      </c>
      <c r="P25" s="13">
        <v>52470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1.0848922395902212E-3</v>
      </c>
      <c r="U25" s="13">
        <f>_xll.dnetGBlackScholesNGreeks("delta",$Q25,$P25,$G25,$I25,$C$3,$J25,$K25,$C$4)*R25</f>
        <v>-8.204759392356209E-2</v>
      </c>
      <c r="V25" s="13">
        <f>_xll.dnetGBlackScholesNGreeks("vega",$Q25,$P25,$G25,$I25,$C$3,$J25,$K25,$C$4)*R25</f>
        <v>22.73198074463312</v>
      </c>
      <c r="W25" s="114"/>
      <c r="X25" s="115">
        <v>400</v>
      </c>
      <c r="Y25" s="6">
        <f t="shared" ref="Y25" si="38">X25*U25</f>
        <v>-32.819037569424836</v>
      </c>
    </row>
    <row r="26" spans="1:25" ht="10.5" customHeight="1" x14ac:dyDescent="0.15"/>
    <row r="27" spans="1:25" ht="10.5" customHeight="1" x14ac:dyDescent="0.15">
      <c r="A27" s="34"/>
      <c r="B27" s="13" t="s">
        <v>172</v>
      </c>
      <c r="C27" s="10" t="s">
        <v>160</v>
      </c>
      <c r="D27" s="10" t="s">
        <v>270</v>
      </c>
      <c r="E27" s="8">
        <f t="shared" ca="1" si="9"/>
        <v>43278</v>
      </c>
      <c r="F27" s="8">
        <f t="shared" ref="F27" ca="1" si="39">E27+H27</f>
        <v>43328</v>
      </c>
      <c r="G27" s="11">
        <v>19000</v>
      </c>
      <c r="H27" s="10">
        <v>50</v>
      </c>
      <c r="I27" s="12">
        <f t="shared" ref="I27" si="40">H27/365</f>
        <v>0.13698630136986301</v>
      </c>
      <c r="J27" s="12">
        <v>0</v>
      </c>
      <c r="K27" s="116">
        <v>0.125</v>
      </c>
      <c r="L27" s="13" t="e">
        <f>_xll.dnetGBlackScholesNGreeks("price",$Q27,$P27,$G27,$I27,$C$3,$J27,$K27,$C$4)*R27</f>
        <v>#VALUE!</v>
      </c>
      <c r="M27" s="15">
        <v>30</v>
      </c>
      <c r="N27" s="13" t="e">
        <f t="shared" ref="N27" si="41">M27/10000*I27*P27</f>
        <v>#N/A</v>
      </c>
      <c r="O27" s="13" t="e">
        <f t="shared" ref="O27" si="42">IF(L27&lt;=0,ABS(L27)+N27,L27-N27)</f>
        <v>#VALUE!</v>
      </c>
      <c r="P27" s="11" t="e">
        <f>RTD("wdf.rtq",,D27,"LastPrice")</f>
        <v>#N/A</v>
      </c>
      <c r="Q27" s="10" t="s">
        <v>85</v>
      </c>
      <c r="R27" s="10">
        <f t="shared" ref="R27" si="43">IF(S27="中金买入",1,-1)</f>
        <v>1</v>
      </c>
      <c r="S27" s="10" t="s">
        <v>151</v>
      </c>
      <c r="T27" s="14" t="e">
        <f t="shared" ref="T27" si="44">O27/P27</f>
        <v>#VALUE!</v>
      </c>
      <c r="U27" s="13" t="e">
        <f>_xll.dnetGBlackScholesNGreeks("delta",$Q27,$P27,$G27,$I27,$C$3,$J27,$K27,$C$4)*R27</f>
        <v>#VALUE!</v>
      </c>
      <c r="V27" s="13" t="e">
        <f>_xll.dnetGBlackScholesNGreeks("vega",$Q27,$P27,$G27,$I27,$C$3,$J27,$K27,$C$4)*R27</f>
        <v>#VALUE!</v>
      </c>
      <c r="W27" s="114"/>
      <c r="X27" s="115">
        <v>400</v>
      </c>
      <c r="Y27" s="6" t="e">
        <f t="shared" ref="Y27" si="45">X27*U27</f>
        <v>#VALUE!</v>
      </c>
    </row>
    <row r="29" spans="1:25" ht="10.5" customHeight="1" x14ac:dyDescent="0.15">
      <c r="A29" s="34"/>
      <c r="B29" s="13" t="s">
        <v>172</v>
      </c>
      <c r="C29" s="10" t="s">
        <v>160</v>
      </c>
      <c r="D29" s="10" t="s">
        <v>260</v>
      </c>
      <c r="E29" s="8">
        <f t="shared" ca="1" si="9"/>
        <v>43278</v>
      </c>
      <c r="F29" s="8">
        <f t="shared" ref="F29" ca="1" si="46">E29+H29</f>
        <v>43369</v>
      </c>
      <c r="G29" s="11">
        <v>11500</v>
      </c>
      <c r="H29" s="10">
        <v>91</v>
      </c>
      <c r="I29" s="12">
        <f t="shared" ref="I29" si="47">H29/365</f>
        <v>0.24931506849315069</v>
      </c>
      <c r="J29" s="12">
        <v>0</v>
      </c>
      <c r="K29" s="116">
        <v>0.24</v>
      </c>
      <c r="L29" s="13" t="e">
        <f>_xll.dnetGBlackScholesNGreeks("price",$Q29,$P29,$G29,$I29,$C$3,$J29,$K29,$C$4)*R29</f>
        <v>#VALUE!</v>
      </c>
      <c r="M29" s="15">
        <v>0</v>
      </c>
      <c r="N29" s="13" t="e">
        <f t="shared" ref="N29" si="48">M29/10000*I29*P29</f>
        <v>#N/A</v>
      </c>
      <c r="O29" s="13" t="e">
        <f t="shared" ref="O29" si="49">IF(L29&lt;=0,ABS(L29)+N29,L29-N29)</f>
        <v>#VALUE!</v>
      </c>
      <c r="P29" s="11" t="e">
        <f>RTD("wdf.rtq",,D29,"LastPrice")</f>
        <v>#N/A</v>
      </c>
      <c r="Q29" s="10" t="s">
        <v>85</v>
      </c>
      <c r="R29" s="10">
        <f t="shared" ref="R29" si="50">IF(S29="中金买入",1,-1)</f>
        <v>-1</v>
      </c>
      <c r="S29" s="10" t="s">
        <v>20</v>
      </c>
      <c r="T29" s="14" t="e">
        <f t="shared" ref="T29" si="51">O29/P29</f>
        <v>#VALUE!</v>
      </c>
      <c r="U29" s="13" t="e">
        <f>_xll.dnetGBlackScholesNGreeks("delta",$Q29,$P29,$G29,$I29,$C$3,$J29,$K29,$C$4)*R29</f>
        <v>#VALUE!</v>
      </c>
      <c r="V29" s="13" t="e">
        <f>_xll.dnetGBlackScholesNGreeks("vega",$Q29,$P29,$G29,$I29,$C$3,$J29,$K29,$C$4)*R29</f>
        <v>#VALUE!</v>
      </c>
      <c r="W29" s="114"/>
      <c r="X29" s="115">
        <v>400</v>
      </c>
      <c r="Y29" s="6" t="e">
        <f t="shared" ref="Y29" si="52">X29*U29</f>
        <v>#VALUE!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260</v>
      </c>
      <c r="E31" s="8">
        <f t="shared" ca="1" si="9"/>
        <v>43278</v>
      </c>
      <c r="F31" s="8">
        <f t="shared" ref="F31:F32" ca="1" si="53">E31+H31</f>
        <v>43369</v>
      </c>
      <c r="G31" s="11">
        <v>14000</v>
      </c>
      <c r="H31" s="10">
        <v>91</v>
      </c>
      <c r="I31" s="12">
        <f t="shared" ref="I31:I32" si="54">H31/365</f>
        <v>0.24931506849315069</v>
      </c>
      <c r="J31" s="12">
        <v>0</v>
      </c>
      <c r="K31" s="116">
        <v>0.19</v>
      </c>
      <c r="L31" s="13" t="e">
        <f>_xll.dnetGBlackScholesNGreeks("price",$Q31,$P31,$G31,$I31,$C$3,$J31,$K31,$C$4)*R31</f>
        <v>#VALUE!</v>
      </c>
      <c r="M31" s="15">
        <v>0</v>
      </c>
      <c r="N31" s="13" t="e">
        <f t="shared" ref="N31:N32" si="55">M31/10000*I31*P31</f>
        <v>#N/A</v>
      </c>
      <c r="O31" s="13" t="e">
        <f t="shared" ref="O31:O32" si="56">IF(L31&lt;=0,ABS(L31)+N31,L31-N31)</f>
        <v>#VALUE!</v>
      </c>
      <c r="P31" s="11" t="e">
        <f>RTD("wdf.rtq",,D31,"LastPrice")</f>
        <v>#N/A</v>
      </c>
      <c r="Q31" s="10" t="s">
        <v>85</v>
      </c>
      <c r="R31" s="10">
        <f t="shared" ref="R31:R32" si="57">IF(S31="中金买入",1,-1)</f>
        <v>-1</v>
      </c>
      <c r="S31" s="10" t="s">
        <v>20</v>
      </c>
      <c r="T31" s="14" t="e">
        <f t="shared" ref="T31:T32" si="58">O31/P31</f>
        <v>#VALUE!</v>
      </c>
      <c r="U31" s="13" t="e">
        <f>_xll.dnetGBlackScholesNGreeks("delta",$Q31,$P31,$G31,$I31,$C$3,$J31,$K31,$C$4)*R31</f>
        <v>#VALUE!</v>
      </c>
      <c r="V31" s="13" t="e">
        <f>_xll.dnetGBlackScholesNGreeks("vega",$Q31,$P31,$G31,$I31,$C$3,$J31,$K31,$C$4)*R31</f>
        <v>#VALUE!</v>
      </c>
      <c r="W31" s="114"/>
      <c r="X31" s="115">
        <v>400</v>
      </c>
      <c r="Y31" s="6" t="e">
        <f t="shared" ref="Y31:Y32" si="59">X31*U31</f>
        <v>#VALUE!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260</v>
      </c>
      <c r="E32" s="8">
        <f t="shared" ca="1" si="9"/>
        <v>43278</v>
      </c>
      <c r="F32" s="8">
        <f t="shared" ca="1" si="53"/>
        <v>43369</v>
      </c>
      <c r="G32" s="11">
        <v>13500</v>
      </c>
      <c r="H32" s="10">
        <v>91</v>
      </c>
      <c r="I32" s="12">
        <f t="shared" si="54"/>
        <v>0.24931506849315069</v>
      </c>
      <c r="J32" s="12">
        <v>0</v>
      </c>
      <c r="K32" s="116">
        <v>0.19500000000000001</v>
      </c>
      <c r="L32" s="13" t="e">
        <f>_xll.dnetGBlackScholesNGreeks("price",$Q32,$P32,$G32,$I32,$C$3,$J32,$K32,$C$4)*R32</f>
        <v>#VALUE!</v>
      </c>
      <c r="M32" s="15">
        <v>0</v>
      </c>
      <c r="N32" s="13" t="e">
        <f t="shared" si="55"/>
        <v>#N/A</v>
      </c>
      <c r="O32" s="13" t="e">
        <f t="shared" si="56"/>
        <v>#VALUE!</v>
      </c>
      <c r="P32" s="11" t="e">
        <f>RTD("wdf.rtq",,D32,"LastPrice")</f>
        <v>#N/A</v>
      </c>
      <c r="Q32" s="10" t="s">
        <v>85</v>
      </c>
      <c r="R32" s="10">
        <f t="shared" si="57"/>
        <v>-1</v>
      </c>
      <c r="S32" s="10" t="s">
        <v>20</v>
      </c>
      <c r="T32" s="14" t="e">
        <f t="shared" si="58"/>
        <v>#VALUE!</v>
      </c>
      <c r="U32" s="13" t="e">
        <f>_xll.dnetGBlackScholesNGreeks("delta",$Q32,$P32,$G32,$I32,$C$3,$J32,$K32,$C$4)*R32</f>
        <v>#VALUE!</v>
      </c>
      <c r="V32" s="13" t="e">
        <f>_xll.dnetGBlackScholesNGreeks("vega",$Q32,$P32,$G32,$I32,$C$3,$J32,$K32,$C$4)*R32</f>
        <v>#VALUE!</v>
      </c>
      <c r="W32" s="114"/>
      <c r="X32" s="115">
        <v>400</v>
      </c>
      <c r="Y32" s="6" t="e">
        <f t="shared" si="59"/>
        <v>#VALUE!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200</v>
      </c>
      <c r="E34" s="8">
        <f t="shared" ca="1" si="9"/>
        <v>43278</v>
      </c>
      <c r="F34" s="8">
        <f t="shared" ref="F34" ca="1" si="60">E34+H34</f>
        <v>43328</v>
      </c>
      <c r="G34" s="11">
        <v>480</v>
      </c>
      <c r="H34" s="10">
        <v>50</v>
      </c>
      <c r="I34" s="12">
        <f t="shared" ref="I34" si="61">H34/365</f>
        <v>0.13698630136986301</v>
      </c>
      <c r="J34" s="12">
        <v>0</v>
      </c>
      <c r="K34" s="116">
        <v>0.28999999999999998</v>
      </c>
      <c r="L34" s="13">
        <f>_xll.dnetGBlackScholesNGreeks("price",$Q34,$P34,$G34,$I34,$C$3,$J34,$K34,$C$4)*R34</f>
        <v>30.95963772146041</v>
      </c>
      <c r="M34" s="15">
        <v>0</v>
      </c>
      <c r="N34" s="13">
        <f t="shared" ref="N34" si="62">M34/10000*I34*P34</f>
        <v>0</v>
      </c>
      <c r="O34" s="13">
        <f t="shared" ref="O34" si="63">IF(L34&lt;=0,ABS(L34)+N34,L34-N34)</f>
        <v>30.95963772146041</v>
      </c>
      <c r="P34" s="11">
        <f>RTD("wdf.rtq",,D34,"LastPrice")</f>
        <v>461</v>
      </c>
      <c r="Q34" s="10" t="s">
        <v>85</v>
      </c>
      <c r="R34" s="10">
        <f t="shared" ref="R34" si="64">IF(S34="中金买入",1,-1)</f>
        <v>1</v>
      </c>
      <c r="S34" s="10" t="s">
        <v>151</v>
      </c>
      <c r="T34" s="14">
        <f t="shared" ref="T34" si="65">O34/P34</f>
        <v>6.7157565556313248E-2</v>
      </c>
      <c r="U34" s="13">
        <f>_xll.dnetGBlackScholesNGreeks("delta",$Q34,$P34,$G34,$I34,$C$3,$J34,$K34,$C$4)*R34</f>
        <v>-0.62479348962085623</v>
      </c>
      <c r="V34" s="13">
        <f>_xll.dnetGBlackScholesNGreeks("vega",$Q34,$P34,$G34,$I34,$C$3,$J34,$K34,$C$4)*R34</f>
        <v>0.64435227919616977</v>
      </c>
      <c r="W34" s="114"/>
      <c r="X34" s="115">
        <v>400</v>
      </c>
      <c r="Y34" s="6">
        <f t="shared" ref="Y34" si="66">X34*U34</f>
        <v>-249.91739584834249</v>
      </c>
    </row>
    <row r="35" spans="1:25" ht="10.5" customHeight="1" x14ac:dyDescent="0.15">
      <c r="A35" s="34"/>
      <c r="B35" s="13" t="s">
        <v>172</v>
      </c>
      <c r="C35" s="10" t="s">
        <v>160</v>
      </c>
      <c r="D35" s="10" t="s">
        <v>272</v>
      </c>
      <c r="E35" s="8">
        <f t="shared" ca="1" si="9"/>
        <v>43278</v>
      </c>
      <c r="F35" s="8">
        <f t="shared" ref="F35:F36" ca="1" si="67">E35+H35</f>
        <v>43460</v>
      </c>
      <c r="G35" s="11" t="e">
        <f>P35</f>
        <v>#N/A</v>
      </c>
      <c r="H35" s="10">
        <v>182</v>
      </c>
      <c r="I35" s="12">
        <f t="shared" ref="I35:I36" si="68">H35/365</f>
        <v>0.49863013698630138</v>
      </c>
      <c r="J35" s="12">
        <v>0</v>
      </c>
      <c r="K35" s="116">
        <v>0.32</v>
      </c>
      <c r="L35" s="13" t="e">
        <f>_xll.dnetGBlackScholesNGreeks("price",$Q35,$P35,$G35,$I35,$C$3,$J35,$K35,$C$4)*R35</f>
        <v>#VALUE!</v>
      </c>
      <c r="M35" s="15">
        <v>0</v>
      </c>
      <c r="N35" s="13" t="e">
        <f t="shared" ref="N35:N36" si="69">M35/10000*I35*P35</f>
        <v>#N/A</v>
      </c>
      <c r="O35" s="13" t="e">
        <f t="shared" ref="O35:O36" si="70">IF(L35&lt;=0,ABS(L35)+N35,L35-N35)</f>
        <v>#VALUE!</v>
      </c>
      <c r="P35" s="11" t="e">
        <f>RTD("wdf.rtq",,D35,"LastPrice")</f>
        <v>#N/A</v>
      </c>
      <c r="Q35" s="10" t="s">
        <v>85</v>
      </c>
      <c r="R35" s="10">
        <f t="shared" ref="R35:R36" si="71">IF(S35="中金买入",1,-1)</f>
        <v>1</v>
      </c>
      <c r="S35" s="10" t="s">
        <v>151</v>
      </c>
      <c r="T35" s="14" t="e">
        <f t="shared" ref="T35:T36" si="72">O35/P35</f>
        <v>#VALUE!</v>
      </c>
      <c r="U35" s="13" t="e">
        <f>_xll.dnetGBlackScholesNGreeks("delta",$Q35,$P35,$G35,$I35,$C$3,$J35,$K35,$C$4)*R35</f>
        <v>#VALUE!</v>
      </c>
      <c r="V35" s="13" t="e">
        <f>_xll.dnetGBlackScholesNGreeks("vega",$Q35,$P35,$G35,$I35,$C$3,$J35,$K35,$C$4)*R35</f>
        <v>#VALUE!</v>
      </c>
      <c r="W35" s="114"/>
      <c r="X35" s="115">
        <v>400</v>
      </c>
      <c r="Y35" s="6" t="e">
        <f t="shared" ref="Y35:Y36" si="73">X35*U35</f>
        <v>#VALUE!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272</v>
      </c>
      <c r="E36" s="8">
        <f t="shared" ca="1" si="9"/>
        <v>43278</v>
      </c>
      <c r="F36" s="8">
        <f t="shared" ca="1" si="67"/>
        <v>43460</v>
      </c>
      <c r="G36" s="11" t="e">
        <f>P36</f>
        <v>#N/A</v>
      </c>
      <c r="H36" s="10">
        <v>182</v>
      </c>
      <c r="I36" s="12">
        <f t="shared" si="68"/>
        <v>0.49863013698630138</v>
      </c>
      <c r="J36" s="12">
        <v>0</v>
      </c>
      <c r="K36" s="116">
        <v>0.24</v>
      </c>
      <c r="L36" s="13" t="e">
        <f>_xll.dnetGBlackScholesNGreeks("price",$Q36,$P36,$G36,$I36,$C$3,$J36,$K36,$C$4)*R36</f>
        <v>#VALUE!</v>
      </c>
      <c r="M36" s="15">
        <v>0</v>
      </c>
      <c r="N36" s="13" t="e">
        <f t="shared" si="69"/>
        <v>#N/A</v>
      </c>
      <c r="O36" s="13" t="e">
        <f t="shared" si="70"/>
        <v>#VALUE!</v>
      </c>
      <c r="P36" s="11" t="e">
        <f>RTD("wdf.rtq",,D36,"LastPrice")</f>
        <v>#N/A</v>
      </c>
      <c r="Q36" s="10" t="s">
        <v>85</v>
      </c>
      <c r="R36" s="10">
        <f t="shared" si="71"/>
        <v>1</v>
      </c>
      <c r="S36" s="10" t="s">
        <v>151</v>
      </c>
      <c r="T36" s="14" t="e">
        <f t="shared" si="72"/>
        <v>#VALUE!</v>
      </c>
      <c r="U36" s="13" t="e">
        <f>_xll.dnetGBlackScholesNGreeks("delta",$Q36,$P36,$G36,$I36,$C$3,$J36,$K36,$C$4)*R36</f>
        <v>#VALUE!</v>
      </c>
      <c r="V36" s="13" t="e">
        <f>_xll.dnetGBlackScholesNGreeks("vega",$Q36,$P36,$G36,$I36,$C$3,$J36,$K36,$C$4)*R36</f>
        <v>#VALUE!</v>
      </c>
      <c r="W36" s="114"/>
      <c r="X36" s="115">
        <v>400</v>
      </c>
      <c r="Y36" s="6" t="e">
        <f t="shared" si="73"/>
        <v>#VALUE!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200</v>
      </c>
      <c r="E38" s="8">
        <f t="shared" ca="1" si="9"/>
        <v>43278</v>
      </c>
      <c r="F38" s="8">
        <f t="shared" ref="F38" ca="1" si="74">E38+H38</f>
        <v>43324</v>
      </c>
      <c r="G38" s="11">
        <v>430</v>
      </c>
      <c r="H38" s="10">
        <v>46</v>
      </c>
      <c r="I38" s="12">
        <f t="shared" ref="I38" si="75">H38/365</f>
        <v>0.12602739726027398</v>
      </c>
      <c r="J38" s="12">
        <v>0</v>
      </c>
      <c r="K38" s="116">
        <v>0.26500000000000001</v>
      </c>
      <c r="L38" s="13">
        <f>_xll.dnetGBlackScholesNGreeks("price",$Q38,$P38,$G38,$I38,$C$3,$J38,$K38,$C$4)*R38</f>
        <v>4.7642644197492814</v>
      </c>
      <c r="M38" s="15">
        <v>0</v>
      </c>
      <c r="N38" s="13">
        <f t="shared" ref="N38" si="76">M38/10000*I38*P38</f>
        <v>0</v>
      </c>
      <c r="O38" s="13">
        <f t="shared" ref="O38" si="77">IF(L38&lt;=0,ABS(L38)+N38,L38-N38)</f>
        <v>4.7642644197492814</v>
      </c>
      <c r="P38" s="11">
        <v>465</v>
      </c>
      <c r="Q38" s="10" t="s">
        <v>85</v>
      </c>
      <c r="R38" s="10">
        <f t="shared" ref="R38" si="78">IF(S38="中金买入",1,-1)</f>
        <v>1</v>
      </c>
      <c r="S38" s="10" t="s">
        <v>151</v>
      </c>
      <c r="T38" s="14">
        <f t="shared" ref="T38" si="79">O38/P38</f>
        <v>1.0245729934944691E-2</v>
      </c>
      <c r="U38" s="13">
        <f>_xll.dnetGBlackScholesNGreeks("delta",$Q38,$P38,$G38,$I38,$C$3,$J38,$K38,$C$4)*R38</f>
        <v>-0.18926729861377112</v>
      </c>
      <c r="V38" s="13">
        <f>_xll.dnetGBlackScholesNGreeks("vega",$Q38,$P38,$G38,$I38,$C$3,$J38,$K38,$C$4)*R38</f>
        <v>0.4462940689384709</v>
      </c>
      <c r="W38" s="114"/>
      <c r="X38" s="115">
        <v>400</v>
      </c>
      <c r="Y38" s="6">
        <f t="shared" ref="Y38" si="80">X38*U38</f>
        <v>-75.706919445508447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200</v>
      </c>
      <c r="E39" s="8">
        <f t="shared" ca="1" si="9"/>
        <v>43278</v>
      </c>
      <c r="F39" s="8">
        <f t="shared" ref="F39" ca="1" si="81">E39+H39</f>
        <v>43324</v>
      </c>
      <c r="G39" s="11">
        <v>480</v>
      </c>
      <c r="H39" s="10">
        <v>46</v>
      </c>
      <c r="I39" s="12">
        <f t="shared" ref="I39" si="82">H39/365</f>
        <v>0.12602739726027398</v>
      </c>
      <c r="J39" s="12">
        <v>0</v>
      </c>
      <c r="K39" s="116">
        <v>0.26</v>
      </c>
      <c r="L39" s="13">
        <f>_xll.dnetGBlackScholesNGreeks("price",$Q39,$P39,$G39,$I39,$C$3,$J39,$K39,$C$4)*R39</f>
        <v>25.234296912877255</v>
      </c>
      <c r="M39" s="15">
        <v>0</v>
      </c>
      <c r="N39" s="13">
        <f t="shared" ref="N39" si="83">M39/10000*I39*P39</f>
        <v>0</v>
      </c>
      <c r="O39" s="13">
        <f t="shared" ref="O39" si="84">IF(L39&lt;=0,ABS(L39)+N39,L39-N39)</f>
        <v>25.234296912877255</v>
      </c>
      <c r="P39" s="120">
        <v>466</v>
      </c>
      <c r="Q39" s="10" t="s">
        <v>85</v>
      </c>
      <c r="R39" s="10">
        <f t="shared" ref="R39" si="85">IF(S39="中金买入",1,-1)</f>
        <v>1</v>
      </c>
      <c r="S39" s="10" t="s">
        <v>151</v>
      </c>
      <c r="T39" s="14">
        <f t="shared" ref="T39" si="86">O39/P39</f>
        <v>5.4150851744371793E-2</v>
      </c>
      <c r="U39" s="13">
        <f>_xll.dnetGBlackScholesNGreeks("delta",$Q39,$P39,$G39,$I39,$C$3,$J39,$K39,$C$4)*R39</f>
        <v>-0.60663609887114944</v>
      </c>
      <c r="V39" s="13">
        <f>_xll.dnetGBlackScholesNGreeks("vega",$Q39,$P39,$G39,$I39,$C$3,$J39,$K39,$C$4)*R39</f>
        <v>0.6339195136931437</v>
      </c>
      <c r="W39" s="114"/>
      <c r="X39" s="115">
        <v>400</v>
      </c>
      <c r="Y39" s="6">
        <f t="shared" ref="Y39" si="87">X39*U39</f>
        <v>-242.65443954845978</v>
      </c>
    </row>
    <row r="41" spans="1:25" ht="10.5" customHeight="1" x14ac:dyDescent="0.15">
      <c r="A41" s="34"/>
      <c r="B41" s="13" t="s">
        <v>172</v>
      </c>
      <c r="C41" s="10" t="s">
        <v>160</v>
      </c>
      <c r="D41" s="10" t="s">
        <v>200</v>
      </c>
      <c r="E41" s="8">
        <f t="shared" ca="1" si="9"/>
        <v>43278</v>
      </c>
      <c r="F41" s="8">
        <f t="shared" ref="F41" ca="1" si="88">E41+H41</f>
        <v>43308</v>
      </c>
      <c r="G41" s="11">
        <v>495</v>
      </c>
      <c r="H41" s="10">
        <v>30</v>
      </c>
      <c r="I41" s="12">
        <f t="shared" ref="I41" si="89">H41/365</f>
        <v>8.2191780821917804E-2</v>
      </c>
      <c r="J41" s="12">
        <v>0</v>
      </c>
      <c r="K41" s="116">
        <v>0.25</v>
      </c>
      <c r="L41" s="13">
        <f>_xll.dnetGBlackScholesNGreeks("price",$Q41,$P41,$G41,$I41,$C$3,$J41,$K41,$C$4)*R41</f>
        <v>3.6248968340770205</v>
      </c>
      <c r="M41" s="15">
        <v>0</v>
      </c>
      <c r="N41" s="13">
        <f t="shared" ref="N41" si="90">M41/10000*I41*P41</f>
        <v>0</v>
      </c>
      <c r="O41" s="13">
        <f t="shared" ref="O41" si="91">IF(L41&lt;=0,ABS(L41)+N41,L41-N41)</f>
        <v>3.6248968340770205</v>
      </c>
      <c r="P41" s="120">
        <v>465</v>
      </c>
      <c r="Q41" s="10" t="s">
        <v>39</v>
      </c>
      <c r="R41" s="10">
        <f t="shared" ref="R41" si="92">IF(S41="中金买入",1,-1)</f>
        <v>1</v>
      </c>
      <c r="S41" s="10" t="s">
        <v>151</v>
      </c>
      <c r="T41" s="14">
        <f t="shared" ref="T41" si="93">O41/P41</f>
        <v>7.795477062531227E-3</v>
      </c>
      <c r="U41" s="13">
        <f>_xll.dnetGBlackScholesNGreeks("delta",$Q41,$P41,$G41,$I41,$C$3,$J41,$K41,$C$4)*R41</f>
        <v>0.2011154244861757</v>
      </c>
      <c r="V41" s="13">
        <f>_xll.dnetGBlackScholesNGreeks("vega",$Q41,$P41,$G41,$I41,$C$3,$J41,$K41,$C$4)*R41</f>
        <v>0.37405267855162094</v>
      </c>
      <c r="W41" s="114"/>
      <c r="X41" s="115">
        <v>400</v>
      </c>
      <c r="Y41" s="6">
        <f t="shared" ref="Y41" si="94">X41*U41</f>
        <v>80.446169794470279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200</v>
      </c>
      <c r="E43" s="8">
        <f t="shared" ca="1" si="9"/>
        <v>43278</v>
      </c>
      <c r="F43" s="8">
        <f t="shared" ref="F43" ca="1" si="95">E43+H43</f>
        <v>43324</v>
      </c>
      <c r="G43" s="11">
        <v>430</v>
      </c>
      <c r="H43" s="10">
        <v>46</v>
      </c>
      <c r="I43" s="12">
        <f t="shared" ref="I43" si="96">H43/365</f>
        <v>0.12602739726027398</v>
      </c>
      <c r="J43" s="12">
        <v>0</v>
      </c>
      <c r="K43" s="116">
        <v>0.26</v>
      </c>
      <c r="L43" s="13">
        <f>_xll.dnetGBlackScholesNGreeks("price",$Q43,$P43,$G43,$I43,$C$3,$J43,$K43,$C$4)*R43</f>
        <v>4.2716086209137814</v>
      </c>
      <c r="M43" s="15">
        <v>0</v>
      </c>
      <c r="N43" s="13">
        <f t="shared" ref="N43" si="97">M43/10000*I43*P43</f>
        <v>0</v>
      </c>
      <c r="O43" s="13">
        <f t="shared" ref="O43:O45" si="98">IF(L43&lt;=0,ABS(L43)+N43,L43-N43)</f>
        <v>4.2716086209137814</v>
      </c>
      <c r="P43" s="120">
        <v>466.5</v>
      </c>
      <c r="Q43" s="10" t="s">
        <v>85</v>
      </c>
      <c r="R43" s="10">
        <f t="shared" ref="R43" si="99">IF(S43="中金买入",1,-1)</f>
        <v>1</v>
      </c>
      <c r="S43" s="10" t="s">
        <v>151</v>
      </c>
      <c r="T43" s="14">
        <f t="shared" ref="T43" si="100">O43/P43</f>
        <v>9.1567173009941723E-3</v>
      </c>
      <c r="U43" s="13">
        <f>_xll.dnetGBlackScholesNGreeks("delta",$Q43,$P43,$G43,$I43,$C$3,$J43,$K43,$C$4)*R43</f>
        <v>-0.17604231424357408</v>
      </c>
      <c r="V43" s="13">
        <f>_xll.dnetGBlackScholesNGreeks("vega",$Q43,$P43,$G43,$I43,$C$3,$J43,$K43,$C$4)*R43</f>
        <v>0.42792933233870656</v>
      </c>
      <c r="W43" s="114"/>
      <c r="X43" s="115">
        <v>500</v>
      </c>
      <c r="Y43" s="6">
        <f>X43*U43</f>
        <v>-88.021157121787041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229</v>
      </c>
      <c r="E45" s="8">
        <f t="shared" ca="1" si="9"/>
        <v>43278</v>
      </c>
      <c r="F45" s="8">
        <f t="shared" ref="F45" ca="1" si="101">E45+H45</f>
        <v>43308</v>
      </c>
      <c r="G45" s="120">
        <v>14170</v>
      </c>
      <c r="H45" s="10">
        <v>30</v>
      </c>
      <c r="I45" s="12">
        <f t="shared" ref="I45" si="102">H45/365</f>
        <v>8.2191780821917804E-2</v>
      </c>
      <c r="J45" s="12">
        <v>0</v>
      </c>
      <c r="K45" s="116">
        <v>0.19</v>
      </c>
      <c r="L45" s="13">
        <f>_xll.dnetGBlackScholesNGreeks("price",$Q45,$P45,$G45,$I45,$C$3,$J45,$K45,$C$4)*R45</f>
        <v>-307.38319058384604</v>
      </c>
      <c r="M45" s="15">
        <v>70</v>
      </c>
      <c r="N45" s="13">
        <f t="shared" ref="N45" si="103">M45/10000*I45*P45</f>
        <v>8.1526027397260261</v>
      </c>
      <c r="O45" s="13">
        <f t="shared" si="98"/>
        <v>315.53579332357208</v>
      </c>
      <c r="P45" s="120">
        <v>14170</v>
      </c>
      <c r="Q45" s="10" t="s">
        <v>85</v>
      </c>
      <c r="R45" s="10">
        <f t="shared" ref="R45" si="104">IF(S45="中金买入",1,-1)</f>
        <v>-1</v>
      </c>
      <c r="S45" s="10" t="s">
        <v>20</v>
      </c>
      <c r="T45" s="14">
        <f t="shared" ref="T45" si="105">O45/P45</f>
        <v>2.2267875322764436E-2</v>
      </c>
      <c r="U45" s="13">
        <f>_xll.dnetGBlackScholesNGreeks("delta",$Q45,$P45,$G45,$I45,$C$3,$J45,$K45,$C$4)*R45</f>
        <v>0.48833249088602315</v>
      </c>
      <c r="V45" s="13">
        <f>_xll.dnetGBlackScholesNGreeks("vega",$Q45,$P45,$G45,$I45,$C$3,$J45,$K45,$C$4)*R45</f>
        <v>-16.174057330770211</v>
      </c>
      <c r="W45" s="114"/>
      <c r="X45" s="115">
        <v>500</v>
      </c>
      <c r="Y45" s="6">
        <f>X45*U45</f>
        <v>244.16624544301158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274</v>
      </c>
      <c r="E47" s="8">
        <f t="shared" ca="1" si="9"/>
        <v>43278</v>
      </c>
      <c r="F47" s="8">
        <f t="shared" ref="F47" ca="1" si="106">E47+H47</f>
        <v>43309</v>
      </c>
      <c r="G47" s="120">
        <v>3078</v>
      </c>
      <c r="H47" s="10">
        <v>31</v>
      </c>
      <c r="I47" s="12">
        <f t="shared" ref="I47" si="107">H47/365</f>
        <v>8.4931506849315067E-2</v>
      </c>
      <c r="J47" s="12">
        <v>0</v>
      </c>
      <c r="K47" s="116">
        <v>0.19470000000000001</v>
      </c>
      <c r="L47" s="13" t="e">
        <f>_xll.dnetGBlackScholesNGreeks("price",$Q47,$P47,$G47,$I47,$C$3,$J47,$K47,$C$4)*R47</f>
        <v>#VALUE!</v>
      </c>
      <c r="M47" s="15">
        <v>30</v>
      </c>
      <c r="N47" s="13" t="e">
        <f t="shared" ref="N47" si="108">M47/10000*I47*P47</f>
        <v>#N/A</v>
      </c>
      <c r="O47" s="13" t="e">
        <f t="shared" ref="O47" si="109">IF(L47&lt;=0,ABS(L47)+N47,L47-N47)</f>
        <v>#VALUE!</v>
      </c>
      <c r="P47" s="120" t="e">
        <f>RTD("wdf.rtq",,D47,"LastPrice")</f>
        <v>#N/A</v>
      </c>
      <c r="Q47" s="10" t="s">
        <v>275</v>
      </c>
      <c r="R47" s="10">
        <f t="shared" ref="R47" si="110">IF(S47="中金买入",1,-1)</f>
        <v>1</v>
      </c>
      <c r="S47" s="10" t="s">
        <v>151</v>
      </c>
      <c r="T47" s="14" t="e">
        <f t="shared" ref="T47" si="111">O47/P47</f>
        <v>#VALUE!</v>
      </c>
      <c r="U47" s="13" t="e">
        <f>_xll.dnetGBlackScholesNGreeks("delta",$Q47,$P47,$G47,$I47,$C$3,$J47,$K47,$C$4)*R47</f>
        <v>#VALUE!</v>
      </c>
      <c r="V47" s="13" t="e">
        <f>_xll.dnetGBlackScholesNGreeks("vega",$Q47,$P47,$G47,$I47,$C$3,$J47,$K47,$C$4)*R47</f>
        <v>#VALUE!</v>
      </c>
      <c r="W47" s="114"/>
      <c r="X47" s="115">
        <v>500</v>
      </c>
      <c r="Y47" s="6" t="e">
        <f>X47*U47</f>
        <v>#VALUE!</v>
      </c>
    </row>
    <row r="48" spans="1:25" ht="10.5" customHeight="1" x14ac:dyDescent="0.15">
      <c r="A48" s="34"/>
      <c r="B48" s="13" t="s">
        <v>172</v>
      </c>
      <c r="C48" s="10" t="s">
        <v>160</v>
      </c>
      <c r="D48" s="10" t="s">
        <v>274</v>
      </c>
      <c r="E48" s="8">
        <f t="shared" ca="1" si="9"/>
        <v>43278</v>
      </c>
      <c r="F48" s="8">
        <f t="shared" ref="F48" ca="1" si="112">E48+H48</f>
        <v>43309</v>
      </c>
      <c r="G48" s="120">
        <v>3150</v>
      </c>
      <c r="H48" s="10">
        <v>31</v>
      </c>
      <c r="I48" s="12">
        <f t="shared" ref="I48" si="113">H48/365</f>
        <v>8.4931506849315067E-2</v>
      </c>
      <c r="J48" s="12">
        <v>0</v>
      </c>
      <c r="K48" s="116">
        <v>0.19470000000000001</v>
      </c>
      <c r="L48" s="13">
        <f>_xll.dnetGBlackScholesNGreeks("price",$Q48,$P48,$G48,$I48,$C$3,$J48,$K48,$C$4)*R48</f>
        <v>40.182982197670071</v>
      </c>
      <c r="M48" s="15">
        <v>30</v>
      </c>
      <c r="N48" s="13">
        <f t="shared" ref="N48" si="114">M48/10000*I48*P48</f>
        <v>0.78425753424657541</v>
      </c>
      <c r="O48" s="13">
        <f t="shared" ref="O48" si="115">IF(L48&lt;=0,ABS(L48)+N48,L48-N48)</f>
        <v>39.398724663423494</v>
      </c>
      <c r="P48" s="120">
        <v>3078</v>
      </c>
      <c r="Q48" s="10" t="s">
        <v>275</v>
      </c>
      <c r="R48" s="10">
        <f t="shared" ref="R48" si="116">IF(S48="中金买入",1,-1)</f>
        <v>1</v>
      </c>
      <c r="S48" s="10" t="s">
        <v>151</v>
      </c>
      <c r="T48" s="14">
        <f t="shared" ref="T48" si="117">O48/P48</f>
        <v>1.2800105478695091E-2</v>
      </c>
      <c r="U48" s="13">
        <f>_xll.dnetGBlackScholesNGreeks("delta",$Q48,$P48,$G48,$I48,$C$3,$J48,$K48,$C$4)*R48</f>
        <v>0.35169619141015573</v>
      </c>
      <c r="V48" s="13">
        <f>_xll.dnetGBlackScholesNGreeks("vega",$Q48,$P48,$G48,$I48,$C$3,$J48,$K48,$C$4)*R48</f>
        <v>3.3240823545364151</v>
      </c>
      <c r="W48" s="114"/>
      <c r="X48" s="115">
        <v>500</v>
      </c>
      <c r="Y48" s="6">
        <f>X48*U48</f>
        <v>175.84809570507787</v>
      </c>
    </row>
    <row r="50" spans="1:25" ht="10.5" customHeight="1" x14ac:dyDescent="0.15">
      <c r="A50" s="34"/>
      <c r="B50" s="13" t="s">
        <v>172</v>
      </c>
      <c r="C50" s="10" t="s">
        <v>160</v>
      </c>
      <c r="D50" s="10" t="s">
        <v>192</v>
      </c>
      <c r="E50" s="8">
        <f t="shared" ca="1" si="9"/>
        <v>43278</v>
      </c>
      <c r="F50" s="8">
        <f t="shared" ref="F50:F52" ca="1" si="118">E50+H50</f>
        <v>43308</v>
      </c>
      <c r="G50" s="120">
        <v>3300</v>
      </c>
      <c r="H50" s="10">
        <v>30</v>
      </c>
      <c r="I50" s="12">
        <f t="shared" ref="I50:I52" si="119">H50/365</f>
        <v>8.2191780821917804E-2</v>
      </c>
      <c r="J50" s="12">
        <v>0</v>
      </c>
      <c r="K50" s="116">
        <v>0.215</v>
      </c>
      <c r="L50" s="13">
        <f>_xll.dnetGBlackScholesNGreeks("price",$Q50,$P50,$G50,$I50,$C$3,$J50,$K50,$C$4)*R50</f>
        <v>3.6127465364462807</v>
      </c>
      <c r="M50" s="15"/>
      <c r="N50" s="13">
        <f t="shared" ref="N50:N52" si="120">M50/10000*I50*P50</f>
        <v>0</v>
      </c>
      <c r="O50" s="13">
        <f t="shared" ref="O50:O52" si="121">IF(L50&lt;=0,ABS(L50)+N50,L50-N50)</f>
        <v>3.6127465364462807</v>
      </c>
      <c r="P50" s="11">
        <f>RTD("wdf.rtq",,D50,"LastPrice")</f>
        <v>3672</v>
      </c>
      <c r="Q50" s="10" t="s">
        <v>85</v>
      </c>
      <c r="R50" s="10">
        <f t="shared" ref="R50:R52" si="122">IF(S50="中金买入",1,-1)</f>
        <v>1</v>
      </c>
      <c r="S50" s="10" t="s">
        <v>151</v>
      </c>
      <c r="T50" s="14">
        <f t="shared" ref="T50:T52" si="123">O50/P50</f>
        <v>9.838634358513836E-4</v>
      </c>
      <c r="U50" s="13">
        <f>_xll.dnetGBlackScholesNGreeks("delta",$Q50,$P50,$G50,$I50,$C$3,$J50,$K50,$C$4)*R50</f>
        <v>-3.8825065824710236E-2</v>
      </c>
      <c r="V50" s="13">
        <f>_xll.dnetGBlackScholesNGreeks("vega",$Q50,$P50,$G50,$I50,$C$3,$J50,$K50,$C$4)*R50</f>
        <v>0.88517165979988732</v>
      </c>
      <c r="W50" s="114"/>
      <c r="X50" s="115">
        <v>500</v>
      </c>
      <c r="Y50" s="6">
        <f t="shared" ref="Y50:Y55" si="124">X50*U50</f>
        <v>-19.412532912355118</v>
      </c>
    </row>
    <row r="51" spans="1:25" ht="10.5" customHeight="1" x14ac:dyDescent="0.15">
      <c r="A51" s="34"/>
      <c r="B51" s="13" t="s">
        <v>172</v>
      </c>
      <c r="C51" s="10" t="s">
        <v>160</v>
      </c>
      <c r="D51" s="10" t="s">
        <v>192</v>
      </c>
      <c r="E51" s="8">
        <f t="shared" ca="1" si="9"/>
        <v>43278</v>
      </c>
      <c r="F51" s="8">
        <f t="shared" ca="1" si="118"/>
        <v>43308</v>
      </c>
      <c r="G51" s="120">
        <v>3400</v>
      </c>
      <c r="H51" s="10">
        <v>30</v>
      </c>
      <c r="I51" s="12">
        <f t="shared" si="119"/>
        <v>8.2191780821917804E-2</v>
      </c>
      <c r="J51" s="12">
        <v>0</v>
      </c>
      <c r="K51" s="116">
        <v>0.215</v>
      </c>
      <c r="L51" s="13">
        <f>_xll.dnetGBlackScholesNGreeks("price",$Q51,$P51,$G51,$I51,$C$3,$J51,$K51,$C$4)*R51</f>
        <v>11.028317193379223</v>
      </c>
      <c r="M51" s="15"/>
      <c r="N51" s="13">
        <f t="shared" si="120"/>
        <v>0</v>
      </c>
      <c r="O51" s="13">
        <f t="shared" si="121"/>
        <v>11.028317193379223</v>
      </c>
      <c r="P51" s="11">
        <f>RTD("wdf.rtq",,D51,"LastPrice")</f>
        <v>3672</v>
      </c>
      <c r="Q51" s="10" t="s">
        <v>85</v>
      </c>
      <c r="R51" s="10">
        <f t="shared" si="122"/>
        <v>1</v>
      </c>
      <c r="S51" s="10" t="s">
        <v>151</v>
      </c>
      <c r="T51" s="14">
        <f t="shared" si="123"/>
        <v>3.003354355495431E-3</v>
      </c>
      <c r="U51" s="13">
        <f>_xll.dnetGBlackScholesNGreeks("delta",$Q51,$P51,$G51,$I51,$C$3,$J51,$K51,$C$4)*R51</f>
        <v>-0.10021240948105969</v>
      </c>
      <c r="V51" s="13">
        <f>_xll.dnetGBlackScholesNGreeks("vega",$Q51,$P51,$G51,$I51,$C$3,$J51,$K51,$C$4)*R51</f>
        <v>1.8480670038055962</v>
      </c>
      <c r="W51" s="114"/>
      <c r="X51" s="115">
        <v>500</v>
      </c>
      <c r="Y51" s="6">
        <f t="shared" si="124"/>
        <v>-50.106204740529847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192</v>
      </c>
      <c r="E52" s="8">
        <f t="shared" ca="1" si="9"/>
        <v>43278</v>
      </c>
      <c r="F52" s="8">
        <f t="shared" ca="1" si="118"/>
        <v>43308</v>
      </c>
      <c r="G52" s="120">
        <v>3500</v>
      </c>
      <c r="H52" s="10">
        <v>30</v>
      </c>
      <c r="I52" s="12">
        <f t="shared" si="119"/>
        <v>8.2191780821917804E-2</v>
      </c>
      <c r="J52" s="12">
        <v>0</v>
      </c>
      <c r="K52" s="116">
        <v>0.215</v>
      </c>
      <c r="L52" s="13">
        <f>_xll.dnetGBlackScholesNGreeks("price",$Q52,$P52,$G52,$I52,$C$3,$J52,$K52,$C$4)*R52</f>
        <v>27.540384171325172</v>
      </c>
      <c r="M52" s="15"/>
      <c r="N52" s="13">
        <f t="shared" si="120"/>
        <v>0</v>
      </c>
      <c r="O52" s="13">
        <f t="shared" si="121"/>
        <v>27.540384171325172</v>
      </c>
      <c r="P52" s="11">
        <f>RTD("wdf.rtq",,D52,"LastPrice")</f>
        <v>3672</v>
      </c>
      <c r="Q52" s="10" t="s">
        <v>85</v>
      </c>
      <c r="R52" s="10">
        <f t="shared" si="122"/>
        <v>1</v>
      </c>
      <c r="S52" s="10" t="s">
        <v>151</v>
      </c>
      <c r="T52" s="14">
        <f t="shared" si="123"/>
        <v>7.5001046218205808E-3</v>
      </c>
      <c r="U52" s="13">
        <f>_xll.dnetGBlackScholesNGreeks("delta",$Q52,$P52,$G52,$I52,$C$3,$J52,$K52,$C$4)*R52</f>
        <v>-0.20887871586410256</v>
      </c>
      <c r="V52" s="13">
        <f>_xll.dnetGBlackScholesNGreeks("vega",$Q52,$P52,$G52,$I52,$C$3,$J52,$K52,$C$4)*R52</f>
        <v>3.0208109910621488</v>
      </c>
      <c r="W52" s="114"/>
      <c r="X52" s="115">
        <v>500</v>
      </c>
      <c r="Y52" s="6">
        <f t="shared" si="124"/>
        <v>-104.43935793205128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192</v>
      </c>
      <c r="E53" s="8">
        <f t="shared" ca="1" si="9"/>
        <v>43278</v>
      </c>
      <c r="F53" s="8">
        <f t="shared" ref="F53:F55" ca="1" si="125">E53+H53</f>
        <v>43368</v>
      </c>
      <c r="G53" s="120">
        <v>3100</v>
      </c>
      <c r="H53" s="10">
        <v>90</v>
      </c>
      <c r="I53" s="12">
        <f t="shared" ref="I53:I55" si="126">H53/365</f>
        <v>0.24657534246575341</v>
      </c>
      <c r="J53" s="12">
        <v>0</v>
      </c>
      <c r="K53" s="116">
        <v>0.22</v>
      </c>
      <c r="L53" s="13">
        <f>_xll.dnetGBlackScholesNGreeks("price",$Q53,$P53,$G53,$I53,$C$3,$J53,$K53,$C$4)*R53</f>
        <v>9.5697970504738805</v>
      </c>
      <c r="M53" s="15"/>
      <c r="N53" s="13">
        <f t="shared" ref="N53:N55" si="127">M53/10000*I53*P53</f>
        <v>0</v>
      </c>
      <c r="O53" s="13">
        <f t="shared" ref="O53:O55" si="128">IF(L53&lt;=0,ABS(L53)+N53,L53-N53)</f>
        <v>9.5697970504738805</v>
      </c>
      <c r="P53" s="11">
        <f>RTD("wdf.rtq",,D53,"LastPrice")</f>
        <v>3672</v>
      </c>
      <c r="Q53" s="10" t="s">
        <v>85</v>
      </c>
      <c r="R53" s="10">
        <f t="shared" ref="R53:R55" si="129">IF(S53="中金买入",1,-1)</f>
        <v>1</v>
      </c>
      <c r="S53" s="10" t="s">
        <v>151</v>
      </c>
      <c r="T53" s="14">
        <f t="shared" ref="T53:T55" si="130">O53/P53</f>
        <v>2.6061538808480069E-3</v>
      </c>
      <c r="U53" s="13">
        <f>_xll.dnetGBlackScholesNGreeks("delta",$Q53,$P53,$G53,$I53,$C$3,$J53,$K53,$C$4)*R53</f>
        <v>-5.401523043957468E-2</v>
      </c>
      <c r="V53" s="13">
        <f>_xll.dnetGBlackScholesNGreeks("vega",$Q53,$P53,$G53,$I53,$C$3,$J53,$K53,$C$4)*R53</f>
        <v>1.9965348328936443</v>
      </c>
      <c r="W53" s="114"/>
      <c r="X53" s="115">
        <v>500</v>
      </c>
      <c r="Y53" s="6">
        <f t="shared" si="124"/>
        <v>-27.00761521978734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192</v>
      </c>
      <c r="E54" s="8">
        <f t="shared" ca="1" si="9"/>
        <v>43278</v>
      </c>
      <c r="F54" s="8">
        <f t="shared" ca="1" si="125"/>
        <v>43368</v>
      </c>
      <c r="G54" s="120">
        <v>3300</v>
      </c>
      <c r="H54" s="10">
        <v>90</v>
      </c>
      <c r="I54" s="12">
        <f t="shared" si="126"/>
        <v>0.24657534246575341</v>
      </c>
      <c r="J54" s="12">
        <v>0</v>
      </c>
      <c r="K54" s="116">
        <v>0.22</v>
      </c>
      <c r="L54" s="13">
        <f>_xll.dnetGBlackScholesNGreeks("price",$Q54,$P54,$G54,$I54,$C$3,$J54,$K54,$C$4)*R54</f>
        <v>32.854874427668165</v>
      </c>
      <c r="M54" s="15"/>
      <c r="N54" s="13">
        <f t="shared" si="127"/>
        <v>0</v>
      </c>
      <c r="O54" s="13">
        <f t="shared" si="128"/>
        <v>32.854874427668165</v>
      </c>
      <c r="P54" s="11">
        <f>RTD("wdf.rtq",,D54,"LastPrice")</f>
        <v>3672</v>
      </c>
      <c r="Q54" s="10" t="s">
        <v>85</v>
      </c>
      <c r="R54" s="10">
        <f t="shared" si="129"/>
        <v>1</v>
      </c>
      <c r="S54" s="10" t="s">
        <v>151</v>
      </c>
      <c r="T54" s="14">
        <f t="shared" si="130"/>
        <v>8.9474058898878443E-3</v>
      </c>
      <c r="U54" s="13">
        <f>_xll.dnetGBlackScholesNGreeks("delta",$Q54,$P54,$G54,$I54,$C$3,$J54,$K54,$C$4)*R54</f>
        <v>-0.15020486664525379</v>
      </c>
      <c r="V54" s="13">
        <f>_xll.dnetGBlackScholesNGreeks("vega",$Q54,$P54,$G54,$I54,$C$3,$J54,$K54,$C$4)*R54</f>
        <v>4.2453693213590782</v>
      </c>
      <c r="W54" s="114"/>
      <c r="X54" s="115">
        <v>500</v>
      </c>
      <c r="Y54" s="6">
        <f t="shared" si="124"/>
        <v>-75.102433322626894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192</v>
      </c>
      <c r="E55" s="8">
        <f t="shared" ca="1" si="9"/>
        <v>43278</v>
      </c>
      <c r="F55" s="8">
        <f t="shared" ca="1" si="125"/>
        <v>43368</v>
      </c>
      <c r="G55" s="120">
        <v>3500</v>
      </c>
      <c r="H55" s="10">
        <v>90</v>
      </c>
      <c r="I55" s="12">
        <f t="shared" si="126"/>
        <v>0.24657534246575341</v>
      </c>
      <c r="J55" s="12">
        <v>0</v>
      </c>
      <c r="K55" s="116">
        <v>0.22</v>
      </c>
      <c r="L55" s="13">
        <f>_xll.dnetGBlackScholesNGreeks("price",$Q55,$P55,$G55,$I55,$C$3,$J55,$K55,$C$4)*R55</f>
        <v>84.595467345664929</v>
      </c>
      <c r="M55" s="15"/>
      <c r="N55" s="13">
        <f t="shared" si="127"/>
        <v>0</v>
      </c>
      <c r="O55" s="13">
        <f t="shared" si="128"/>
        <v>84.595467345664929</v>
      </c>
      <c r="P55" s="11">
        <f>RTD("wdf.rtq",,D55,"LastPrice")</f>
        <v>3672</v>
      </c>
      <c r="Q55" s="10" t="s">
        <v>85</v>
      </c>
      <c r="R55" s="10">
        <f t="shared" si="129"/>
        <v>1</v>
      </c>
      <c r="S55" s="10" t="s">
        <v>151</v>
      </c>
      <c r="T55" s="14">
        <f t="shared" si="130"/>
        <v>2.3037981303285656E-2</v>
      </c>
      <c r="U55" s="13">
        <f>_xll.dnetGBlackScholesNGreeks("delta",$Q55,$P55,$G55,$I55,$C$3,$J55,$K55,$C$4)*R55</f>
        <v>-0.30920817569040082</v>
      </c>
      <c r="V55" s="13">
        <f>_xll.dnetGBlackScholesNGreeks("vega",$Q55,$P55,$G55,$I55,$C$3,$J55,$K55,$C$4)*R55</f>
        <v>6.406535191939156</v>
      </c>
      <c r="W55" s="114"/>
      <c r="X55" s="115">
        <v>500</v>
      </c>
      <c r="Y55" s="6">
        <f t="shared" si="124"/>
        <v>-154.60408784520041</v>
      </c>
    </row>
    <row r="56" spans="1:25" x14ac:dyDescent="0.15">
      <c r="K56" s="6" t="s">
        <v>281</v>
      </c>
    </row>
    <row r="57" spans="1:25" x14ac:dyDescent="0.15">
      <c r="A57" s="131">
        <v>43278</v>
      </c>
      <c r="B57" s="13" t="s">
        <v>172</v>
      </c>
      <c r="C57" s="10" t="s">
        <v>160</v>
      </c>
      <c r="D57" s="10" t="s">
        <v>282</v>
      </c>
      <c r="E57" s="8">
        <f t="shared" ca="1" si="9"/>
        <v>43278</v>
      </c>
      <c r="F57" s="8">
        <f t="shared" ref="F57" ca="1" si="131">E57+H57</f>
        <v>43309</v>
      </c>
      <c r="G57" s="120">
        <v>49500</v>
      </c>
      <c r="H57" s="10">
        <v>31</v>
      </c>
      <c r="I57" s="12">
        <f t="shared" ref="I57" si="132">H57/365</f>
        <v>8.4931506849315067E-2</v>
      </c>
      <c r="J57" s="12">
        <v>0</v>
      </c>
      <c r="K57" s="116">
        <v>0.1225</v>
      </c>
      <c r="L57" s="13">
        <f>_xll.dnetGBlackScholesNGreeks("price",$Q57,$P57,$G57,$I57,$C$3,$J57,$K57,$C$4)*R57</f>
        <v>87.132866616341744</v>
      </c>
      <c r="M57" s="15"/>
      <c r="N57" s="13">
        <f t="shared" ref="N57" si="133">M57/10000*I57*P57</f>
        <v>0</v>
      </c>
      <c r="O57" s="13">
        <f t="shared" ref="O57" si="134">IF(L57&lt;=0,ABS(L57)+N57,L57-N57)</f>
        <v>87.132866616341744</v>
      </c>
      <c r="P57" s="120">
        <v>51800</v>
      </c>
      <c r="Q57" s="10" t="s">
        <v>85</v>
      </c>
      <c r="R57" s="10">
        <f t="shared" ref="R57" si="135">IF(S57="中金买入",1,-1)</f>
        <v>1</v>
      </c>
      <c r="S57" s="10" t="s">
        <v>151</v>
      </c>
      <c r="T57" s="14">
        <f t="shared" ref="T57" si="136">O57/P57</f>
        <v>1.6821016721301496E-3</v>
      </c>
      <c r="U57" s="13">
        <f>_xll.dnetGBlackScholesNGreeks("delta",$Q57,$P57,$G57,$I57,$C$3,$J57,$K57,$C$4)*R57</f>
        <v>-9.8350885491527151E-2</v>
      </c>
      <c r="V57" s="13">
        <f>_xll.dnetGBlackScholesNGreeks("vega",$Q57,$P57,$G57,$I57,$C$3,$J57,$K57,$C$4)*R57</f>
        <v>26.09653209976841</v>
      </c>
      <c r="W57" s="114"/>
      <c r="X57" s="115">
        <v>500</v>
      </c>
      <c r="Y57" s="6">
        <f>X57*U57</f>
        <v>-49.175442745763576</v>
      </c>
    </row>
    <row r="58" spans="1:25" x14ac:dyDescent="0.15">
      <c r="A58" s="131">
        <v>43278</v>
      </c>
      <c r="B58" s="13" t="s">
        <v>172</v>
      </c>
      <c r="C58" s="10" t="s">
        <v>160</v>
      </c>
      <c r="D58" s="10" t="s">
        <v>287</v>
      </c>
      <c r="E58" s="8">
        <f t="shared" ca="1" si="9"/>
        <v>43278</v>
      </c>
      <c r="F58" s="8">
        <f t="shared" ref="F58:F59" ca="1" si="137">E58+H58</f>
        <v>43339</v>
      </c>
      <c r="G58" s="120">
        <f>P58</f>
        <v>9295</v>
      </c>
      <c r="H58" s="10">
        <v>61</v>
      </c>
      <c r="I58" s="12">
        <f t="shared" ref="I58:I59" si="138">H58/365</f>
        <v>0.16712328767123288</v>
      </c>
      <c r="J58" s="12">
        <v>0</v>
      </c>
      <c r="K58" s="116">
        <v>0.38</v>
      </c>
      <c r="L58" s="13">
        <f>_xll.dnetGBlackScholesNGreeks("price",$Q58,$P58,$G58,$I58,$C$3,$J58,$K58,$C$4)*R58</f>
        <v>-573.55280624049465</v>
      </c>
      <c r="M58" s="15"/>
      <c r="N58" s="13">
        <f t="shared" ref="N58:N59" si="139">M58/10000*I58*P58</f>
        <v>0</v>
      </c>
      <c r="O58" s="13">
        <f t="shared" ref="O58:O59" si="140">IF(L58&lt;=0,ABS(L58)+N58,L58-N58)</f>
        <v>573.55280624049465</v>
      </c>
      <c r="P58" s="11">
        <f>RTD("wdf.rtq",,D58,"LastPrice")</f>
        <v>9295</v>
      </c>
      <c r="Q58" s="10" t="s">
        <v>283</v>
      </c>
      <c r="R58" s="10">
        <f t="shared" ref="R58:R59" si="141">IF(S58="中金买入",1,-1)</f>
        <v>-1</v>
      </c>
      <c r="S58" s="10" t="s">
        <v>20</v>
      </c>
      <c r="T58" s="14">
        <f t="shared" ref="T58:T59" si="142">O58/P58</f>
        <v>6.1705519767670212E-2</v>
      </c>
      <c r="U58" s="13">
        <f>_xll.dnetGBlackScholesNGreeks("delta",$Q58,$P58,$G58,$I58,$C$3,$J58,$K58,$C$4)*R58</f>
        <v>-0.5291843169288768</v>
      </c>
      <c r="V58" s="13">
        <f>_xll.dnetGBlackScholesNGreeks("vega",$Q58,$P58,$G58,$I58,$C$3,$J58,$K58,$C$4)*R58</f>
        <v>-15.063155108967749</v>
      </c>
      <c r="W58" s="114"/>
      <c r="X58" s="115">
        <v>500</v>
      </c>
      <c r="Y58" s="6">
        <f>X58*U58</f>
        <v>-264.5921584644384</v>
      </c>
    </row>
    <row r="59" spans="1:25" x14ac:dyDescent="0.15">
      <c r="A59" s="131">
        <v>43278</v>
      </c>
      <c r="B59" s="13" t="s">
        <v>172</v>
      </c>
      <c r="C59" s="10" t="s">
        <v>160</v>
      </c>
      <c r="D59" s="10" t="s">
        <v>285</v>
      </c>
      <c r="E59" s="8">
        <f t="shared" ca="1" si="9"/>
        <v>43278</v>
      </c>
      <c r="F59" s="8">
        <f t="shared" ca="1" si="137"/>
        <v>43339</v>
      </c>
      <c r="G59" s="120">
        <f>P59</f>
        <v>9998</v>
      </c>
      <c r="H59" s="10">
        <v>61</v>
      </c>
      <c r="I59" s="12">
        <f t="shared" si="138"/>
        <v>0.16712328767123288</v>
      </c>
      <c r="J59" s="12">
        <v>0</v>
      </c>
      <c r="K59" s="116">
        <v>0.38</v>
      </c>
      <c r="L59" s="13">
        <f>_xll.dnetGBlackScholesNGreeks("price",$Q59,$P59,$G59,$I59,$C$3,$J59,$K59,$C$4)*R59</f>
        <v>-616.93178663716662</v>
      </c>
      <c r="M59" s="15"/>
      <c r="N59" s="13">
        <f t="shared" si="139"/>
        <v>0</v>
      </c>
      <c r="O59" s="13">
        <f t="shared" si="140"/>
        <v>616.93178663716662</v>
      </c>
      <c r="P59" s="11">
        <f>RTD("wdf.rtq",,D59,"LastPrice")</f>
        <v>9998</v>
      </c>
      <c r="Q59" s="10" t="s">
        <v>283</v>
      </c>
      <c r="R59" s="10">
        <f t="shared" si="141"/>
        <v>-1</v>
      </c>
      <c r="S59" s="10" t="s">
        <v>20</v>
      </c>
      <c r="T59" s="14">
        <f t="shared" si="142"/>
        <v>6.1705519767670199E-2</v>
      </c>
      <c r="U59" s="13">
        <f>_xll.dnetGBlackScholesNGreeks("delta",$Q59,$P59,$G59,$I59,$C$3,$J59,$K59,$C$4)*R59</f>
        <v>-0.52918431688340206</v>
      </c>
      <c r="V59" s="13">
        <f>_xll.dnetGBlackScholesNGreeks("vega",$Q59,$P59,$G59,$I59,$C$3,$J59,$K59,$C$4)*R59</f>
        <v>-16.202412563685812</v>
      </c>
      <c r="W59" s="114"/>
      <c r="X59" s="115">
        <v>500</v>
      </c>
      <c r="Y59" s="6">
        <f>X59*U59</f>
        <v>-264.59215844170103</v>
      </c>
    </row>
    <row r="61" spans="1:25" x14ac:dyDescent="0.15">
      <c r="A61" s="131">
        <v>43278</v>
      </c>
      <c r="B61" s="13" t="s">
        <v>172</v>
      </c>
      <c r="C61" s="10" t="s">
        <v>160</v>
      </c>
      <c r="D61" s="10" t="s">
        <v>288</v>
      </c>
      <c r="E61" s="8">
        <f t="shared" ca="1" si="9"/>
        <v>43278</v>
      </c>
      <c r="F61" s="8">
        <f t="shared" ref="F61" ca="1" si="143">E61+H61</f>
        <v>43360</v>
      </c>
      <c r="G61" s="120">
        <v>14280</v>
      </c>
      <c r="H61" s="10">
        <v>82</v>
      </c>
      <c r="I61" s="12">
        <f t="shared" ref="I61" si="144">H61/365</f>
        <v>0.22465753424657534</v>
      </c>
      <c r="J61" s="12">
        <v>0</v>
      </c>
      <c r="K61" s="116">
        <v>0.18</v>
      </c>
      <c r="L61" s="13" t="e">
        <f>_xll.dnetGBlackScholesNGreeks("price",$Q61,$P61,$G61,$I61,$C$3,$J61,$K61,$C$4)*R61</f>
        <v>#VALUE!</v>
      </c>
      <c r="M61" s="15"/>
      <c r="N61" s="13" t="e">
        <f t="shared" ref="N61" si="145">M61/10000*I61*P61</f>
        <v>#N/A</v>
      </c>
      <c r="O61" s="13" t="e">
        <f t="shared" ref="O61" si="146">IF(L61&lt;=0,ABS(L61)+N61,L61-N61)</f>
        <v>#VALUE!</v>
      </c>
      <c r="P61" s="11" t="e">
        <f>RTD("wdf.rtq",,D61,"LastPrice")</f>
        <v>#N/A</v>
      </c>
      <c r="Q61" s="10" t="s">
        <v>85</v>
      </c>
      <c r="R61" s="10">
        <f t="shared" ref="R61" si="147">IF(S61="中金买入",1,-1)</f>
        <v>-1</v>
      </c>
      <c r="S61" s="10" t="s">
        <v>20</v>
      </c>
      <c r="T61" s="14" t="e">
        <f t="shared" ref="T61" si="148">O61/P61</f>
        <v>#VALUE!</v>
      </c>
      <c r="U61" s="13" t="e">
        <f>_xll.dnetGBlackScholesNGreeks("delta",$Q61,$P61,$G61,$I61,$C$3,$J61,$K61,$C$4)*R61</f>
        <v>#VALUE!</v>
      </c>
      <c r="V61" s="13" t="e">
        <f>_xll.dnetGBlackScholesNGreeks("vega",$Q61,$P61,$G61,$I61,$C$3,$J61,$K61,$C$4)*R61</f>
        <v>#VALUE!</v>
      </c>
      <c r="W61" s="114"/>
      <c r="X61" s="115">
        <v>500</v>
      </c>
      <c r="Y61" s="6" t="e">
        <f>X61*U61</f>
        <v>#VALUE!</v>
      </c>
    </row>
    <row r="63" spans="1:25" x14ac:dyDescent="0.15">
      <c r="A63" s="131">
        <v>43278</v>
      </c>
      <c r="B63" s="13" t="s">
        <v>172</v>
      </c>
      <c r="C63" s="10" t="s">
        <v>160</v>
      </c>
      <c r="D63" s="10" t="s">
        <v>289</v>
      </c>
      <c r="E63" s="8">
        <f t="shared" ca="1" si="9"/>
        <v>43278</v>
      </c>
      <c r="F63" s="8">
        <f t="shared" ref="F63" ca="1" si="149">E63+H63</f>
        <v>43340</v>
      </c>
      <c r="G63" s="120">
        <v>62.9</v>
      </c>
      <c r="H63" s="10">
        <v>62</v>
      </c>
      <c r="I63" s="12">
        <f t="shared" ref="I63" si="150">H63/365</f>
        <v>0.16986301369863013</v>
      </c>
      <c r="J63" s="12">
        <v>0</v>
      </c>
      <c r="K63" s="116">
        <v>0.25</v>
      </c>
      <c r="L63" s="13">
        <f>_xll.dnetGBlackScholesNGreeks("price",$Q63,$P63,$G63,$I63,$C$3,$J63,$K63,$C$4)*R63</f>
        <v>13.176992449037428</v>
      </c>
      <c r="M63" s="15"/>
      <c r="N63" s="13">
        <f t="shared" ref="N63" si="151">M63/10000*I63*P63</f>
        <v>0</v>
      </c>
      <c r="O63" s="13">
        <f>IF(L63&lt;=0,ABS(L63)+N63,L63-N63)</f>
        <v>13.176992449037428</v>
      </c>
      <c r="P63" s="11">
        <v>76.03</v>
      </c>
      <c r="Q63" s="10" t="s">
        <v>39</v>
      </c>
      <c r="R63" s="10">
        <f t="shared" ref="R63" si="152">IF(S63="中金买入",1,-1)</f>
        <v>1</v>
      </c>
      <c r="S63" s="10" t="s">
        <v>151</v>
      </c>
      <c r="T63" s="14">
        <f t="shared" ref="T63" si="153">O63/P63</f>
        <v>0.17331306654001616</v>
      </c>
      <c r="U63" s="13">
        <f>_xll.dnetGBlackScholesNGreeks("delta",$Q63,$P63,$G63,$I63,$C$3,$J63,$K63,$C$4)*R63</f>
        <v>0.96742718888727097</v>
      </c>
      <c r="V63" s="13">
        <f>_xll.dnetGBlackScholesNGreeks("vega",$Q63,$P63,$G63,$I63,$C$3,$J63,$K63,$C$4)*R63</f>
        <v>2.0832289634750367E-2</v>
      </c>
      <c r="W63" s="114"/>
      <c r="X63" s="115">
        <v>-150338.07269999999</v>
      </c>
      <c r="Y63" s="6">
        <f>X63*U63</f>
        <v>-145441.13905489116</v>
      </c>
    </row>
    <row r="65" spans="1:25" x14ac:dyDescent="0.15">
      <c r="A65" s="131">
        <v>43278</v>
      </c>
      <c r="B65" s="13" t="s">
        <v>172</v>
      </c>
      <c r="C65" s="10" t="s">
        <v>160</v>
      </c>
      <c r="D65" s="10" t="s">
        <v>290</v>
      </c>
      <c r="E65" s="8">
        <f t="shared" ca="1" si="9"/>
        <v>43278</v>
      </c>
      <c r="F65" s="8">
        <f t="shared" ref="F65" ca="1" si="154">E65+H65</f>
        <v>43308</v>
      </c>
      <c r="G65" s="120">
        <v>9295</v>
      </c>
      <c r="H65" s="10">
        <v>30</v>
      </c>
      <c r="I65" s="12">
        <f t="shared" ref="I65" si="155">H65/365</f>
        <v>8.2191780821917804E-2</v>
      </c>
      <c r="J65" s="12">
        <v>0</v>
      </c>
      <c r="K65" s="116">
        <v>0.21</v>
      </c>
      <c r="L65" s="13">
        <f>_xll.dnetGBlackScholesNGreeks("price",$Q65,$P65,$G65,$I65,$C$3,$J65,$K65,$C$4)*R65</f>
        <v>222.85041883431404</v>
      </c>
      <c r="M65" s="15">
        <v>30</v>
      </c>
      <c r="N65" s="13">
        <f t="shared" ref="N65" si="156">M65/10000*I65*P65</f>
        <v>2.291917808219178</v>
      </c>
      <c r="O65" s="13">
        <f>IF(L65&lt;=0,ABS(L65)+N65,L65-N65)</f>
        <v>220.55850102609486</v>
      </c>
      <c r="P65" s="11">
        <v>9295</v>
      </c>
      <c r="Q65" s="10" t="s">
        <v>85</v>
      </c>
      <c r="R65" s="10">
        <f t="shared" ref="R65" si="157">IF(S65="中金买入",1,-1)</f>
        <v>1</v>
      </c>
      <c r="S65" s="10" t="s">
        <v>151</v>
      </c>
      <c r="T65" s="14">
        <f t="shared" ref="T65" si="158">O65/P65</f>
        <v>2.3728725231424944E-2</v>
      </c>
      <c r="U65" s="13">
        <f>_xll.dnetGBlackScholesNGreeks("delta",$Q65,$P65,$G65,$I65,$C$3,$J65,$K65,$C$4)*R65</f>
        <v>-0.48719110700403689</v>
      </c>
      <c r="V65" s="13">
        <f>_xll.dnetGBlackScholesNGreeks("vega",$Q65,$P65,$G65,$I65,$C$3,$J65,$K65,$C$4)*R65</f>
        <v>10.608716081093462</v>
      </c>
      <c r="W65" s="114"/>
      <c r="X65" s="115">
        <v>-150338.07269999999</v>
      </c>
      <c r="Y65" s="6">
        <f>X65*U65</f>
        <v>73243.372063566378</v>
      </c>
    </row>
    <row r="66" spans="1:25" x14ac:dyDescent="0.15">
      <c r="A66" s="131">
        <v>43278</v>
      </c>
      <c r="B66" s="13" t="s">
        <v>172</v>
      </c>
      <c r="C66" s="10" t="s">
        <v>160</v>
      </c>
      <c r="D66" s="10" t="s">
        <v>287</v>
      </c>
      <c r="E66" s="8">
        <f t="shared" ca="1" si="9"/>
        <v>43278</v>
      </c>
      <c r="F66" s="8">
        <f t="shared" ref="F66" ca="1" si="159">E66+H66</f>
        <v>43308</v>
      </c>
      <c r="G66" s="120">
        <v>9295</v>
      </c>
      <c r="H66" s="10">
        <v>30</v>
      </c>
      <c r="I66" s="12">
        <f t="shared" ref="I66" si="160">H66/365</f>
        <v>8.2191780821917804E-2</v>
      </c>
      <c r="J66" s="12">
        <v>0</v>
      </c>
      <c r="K66" s="116">
        <v>0.34</v>
      </c>
      <c r="L66" s="13">
        <f>_xll.dnetGBlackScholesNGreeks("price",$Q66,$P66,$G66,$I66,$C$3,$J66,$K66,$C$4)*R66</f>
        <v>-360.7171222470206</v>
      </c>
      <c r="M66" s="15">
        <v>70</v>
      </c>
      <c r="N66" s="13">
        <f t="shared" ref="N66" si="161">M66/10000*I66*P66</f>
        <v>5.3478082191780816</v>
      </c>
      <c r="O66" s="13">
        <f>IF(L66&lt;=0,ABS(L66)+N66,L66-N66)</f>
        <v>366.06493046619869</v>
      </c>
      <c r="P66" s="11">
        <v>9295</v>
      </c>
      <c r="Q66" s="10" t="s">
        <v>85</v>
      </c>
      <c r="R66" s="10">
        <f t="shared" ref="R66" si="162">IF(S66="中金买入",1,-1)</f>
        <v>-1</v>
      </c>
      <c r="S66" s="10" t="s">
        <v>20</v>
      </c>
      <c r="T66" s="14">
        <f t="shared" ref="T66" si="163">O66/P66</f>
        <v>3.9382994132996091E-2</v>
      </c>
      <c r="U66" s="13">
        <f>_xll.dnetGBlackScholesNGreeks("delta",$Q66,$P66,$G66,$I66,$C$3,$J66,$K66,$C$4)*R66</f>
        <v>0.47977493154576223</v>
      </c>
      <c r="V66" s="13">
        <f>_xll.dnetGBlackScholesNGreeks("vega",$Q66,$P66,$G66,$I66,$C$3,$J66,$K66,$C$4)*R66</f>
        <v>-10.600925901496339</v>
      </c>
      <c r="W66" s="114"/>
      <c r="X66" s="115">
        <v>-150338.07269999999</v>
      </c>
      <c r="Y66" s="6">
        <f>X66*U66</f>
        <v>-72128.438538364324</v>
      </c>
    </row>
    <row r="67" spans="1:25" x14ac:dyDescent="0.15">
      <c r="O67" s="6">
        <v>14</v>
      </c>
      <c r="P67" s="132">
        <f>P65-G65</f>
        <v>0</v>
      </c>
    </row>
    <row r="68" spans="1:25" x14ac:dyDescent="0.15">
      <c r="O68" s="6">
        <f>O67/I63</f>
        <v>82.41935483870968</v>
      </c>
      <c r="X68" s="6">
        <v>150</v>
      </c>
    </row>
    <row r="69" spans="1:25" x14ac:dyDescent="0.15">
      <c r="X69" s="6">
        <f>X68*0.9</f>
        <v>135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S15:S16 S18:S23 S25 S27 S29 S31:S32 S34:S36 S38:S39 S41 S43 S45 S47:S48 S50:S55 S57:S59 S61 S63 S65:S66</xm:sqref>
        </x14:dataValidation>
        <x14:dataValidation type="list" allowBlank="1" showInputMessage="1" showErrorMessage="1">
          <x14:formula1>
            <xm:f>configs!$C$1:$C$2</xm:f>
          </x14:formula1>
          <xm:sqref>Q8:Q9 Q15:Q16 Q18:Q23 Q25 Q27 Q29 Q31:Q32 Q34:Q36 Q38:Q39 Q41 Q43 Q45 Q47:Q48 Q50:Q55 Q57:Q59 Q61 Q63 Q65:Q66</xm:sqref>
        </x14:dataValidation>
        <x14:dataValidation type="list" allowBlank="1" showInputMessage="1">
          <x14:formula1>
            <xm:f>configs!$A$1:$A$36</xm:f>
          </x14:formula1>
          <xm:sqref>C8:C9 C15:C16 C18:C23 C25 C27 C29 C31:C32 C34:C36 C38:C39 C41 C43 C45 C47:C48 C50:C55 C57:C59 C61 C63 C65:C66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4"/>
  <sheetViews>
    <sheetView topLeftCell="A10" zoomScale="85" zoomScaleNormal="85" workbookViewId="0">
      <selection activeCell="G42" sqref="G4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59" t="s">
        <v>37</v>
      </c>
      <c r="C1" s="158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43278</v>
      </c>
      <c r="F8" s="46">
        <f ca="1">E8+H8</f>
        <v>43308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43278</v>
      </c>
      <c r="F9" s="54">
        <f ca="1">F8</f>
        <v>43308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43278</v>
      </c>
      <c r="F10" s="62">
        <f ca="1">F9</f>
        <v>43308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200</v>
      </c>
      <c r="E11" s="46">
        <f ca="1">TODAY()</f>
        <v>43278</v>
      </c>
      <c r="F11" s="46">
        <f ca="1">E11+H11</f>
        <v>43293</v>
      </c>
      <c r="G11" s="113">
        <f>P11-20</f>
        <v>441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-3.7231764763545243</v>
      </c>
      <c r="M11" s="49"/>
      <c r="N11" s="43"/>
      <c r="O11" s="43">
        <f t="shared" ref="O11:O13" si="1">IF(L11&lt;=0,ABS(L11)+N11,L11-N11)</f>
        <v>3.7231764763545243</v>
      </c>
      <c r="P11" s="110">
        <f>RTD("wdf.rtq",,D11,"LastPrice")</f>
        <v>461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0.22353173970230955</v>
      </c>
      <c r="V11" s="43">
        <f>_xll.dnetGBlackScholesNGreeks("vega",$Q11,$P11,$G11,$I11,$C$3,$J11,$K11,$C$4)*R11</f>
        <v>-0.27907479048685957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200</v>
      </c>
      <c r="E12" s="54">
        <f t="shared" ref="E12:F12" ca="1" si="2">E11</f>
        <v>43278</v>
      </c>
      <c r="F12" s="54">
        <f t="shared" ca="1" si="2"/>
        <v>43293</v>
      </c>
      <c r="G12" s="52">
        <f>G11+50</f>
        <v>491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2.0240703383708052</v>
      </c>
      <c r="M12" s="57"/>
      <c r="N12" s="51"/>
      <c r="O12" s="51">
        <f t="shared" si="1"/>
        <v>2.0240703383708052</v>
      </c>
      <c r="P12" s="94">
        <f>P11</f>
        <v>461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0.14834855844370054</v>
      </c>
      <c r="V12" s="51">
        <f>_xll.dnetGBlackScholesNGreeks("vega",$Q12,$P12,$G12,$I12,$C$3,$J12,$K12,$C$4)*R12</f>
        <v>0.21614210983615578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43278</v>
      </c>
      <c r="F13" s="62">
        <f t="shared" ca="1" si="3"/>
        <v>43293</v>
      </c>
      <c r="G13" s="60" t="str">
        <f>G11 &amp; "|" &amp; G12</f>
        <v>441|491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-1.6991061379837191</v>
      </c>
      <c r="M13" s="60">
        <v>0</v>
      </c>
      <c r="N13" s="59">
        <f>M13/10000*I13*P13</f>
        <v>0</v>
      </c>
      <c r="O13" s="59">
        <f t="shared" si="1"/>
        <v>1.6991061379837191</v>
      </c>
      <c r="P13" s="111">
        <f>P12</f>
        <v>461</v>
      </c>
      <c r="Q13" s="60"/>
      <c r="R13" s="60"/>
      <c r="S13" s="56" t="s">
        <v>151</v>
      </c>
      <c r="T13" s="64">
        <f>O13/P13</f>
        <v>3.6856966116783495E-3</v>
      </c>
      <c r="U13" s="64">
        <f>U12+U11</f>
        <v>0.37188029814601009</v>
      </c>
      <c r="V13" s="64">
        <f>V12+V11</f>
        <v>-6.2932680650703787E-2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209</v>
      </c>
      <c r="E14" s="46">
        <f ca="1">TODAY()</f>
        <v>43278</v>
      </c>
      <c r="F14" s="46">
        <f ca="1">E14+H14</f>
        <v>43369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-321.43954599000062</v>
      </c>
      <c r="M14" s="49"/>
      <c r="N14" s="43"/>
      <c r="O14" s="43">
        <f t="shared" ref="O14:O16" si="4">IF(L14&lt;=0,ABS(L14)+N14,L14-N14)</f>
        <v>321.43954599000062</v>
      </c>
      <c r="P14" s="110">
        <f>RTD("wdf.rtq",,D14,"LastPrice")</f>
        <v>3672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-0.6643231077987366</v>
      </c>
      <c r="V14" s="43">
        <f>_xll.dnetGBlackScholesNGreeks("vega",$Q14,$P14,$G14,$I14,$C$3,$J14,$K14,$C$4)*R14</f>
        <v>-6.6252171816793179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43278</v>
      </c>
      <c r="F15" s="54">
        <f t="shared" ca="1" si="5"/>
        <v>43369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57.189932407722495</v>
      </c>
      <c r="M15" s="57"/>
      <c r="N15" s="51"/>
      <c r="O15" s="51">
        <f t="shared" si="4"/>
        <v>57.189932407722495</v>
      </c>
      <c r="P15" s="94">
        <f>P14</f>
        <v>3672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-0.18919173153335578</v>
      </c>
      <c r="V15" s="51">
        <f>_xll.dnetGBlackScholesNGreeks("vega",$Q15,$P15,$G15,$I15,$C$3,$J15,$K15,$C$4)*R15</f>
        <v>4.9512657179858479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43278</v>
      </c>
      <c r="F16" s="62">
        <f t="shared" ca="1" si="6"/>
        <v>43369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-264.24961358227813</v>
      </c>
      <c r="M16" s="60">
        <v>0</v>
      </c>
      <c r="N16" s="59">
        <f>M16/10000*I16*P16</f>
        <v>0</v>
      </c>
      <c r="O16" s="59">
        <f t="shared" si="4"/>
        <v>264.24961358227813</v>
      </c>
      <c r="P16" s="111">
        <f>P15</f>
        <v>3672</v>
      </c>
      <c r="Q16" s="60"/>
      <c r="R16" s="60"/>
      <c r="S16" s="56" t="s">
        <v>151</v>
      </c>
      <c r="T16" s="64">
        <f>O16/P16</f>
        <v>7.1963402391687942E-2</v>
      </c>
      <c r="U16" s="64">
        <f>U15+U14</f>
        <v>-0.85351483933209238</v>
      </c>
      <c r="V16" s="64">
        <f>V15+V14</f>
        <v>-1.67395146369347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226</v>
      </c>
      <c r="E18" s="46">
        <f ca="1">TODAY()</f>
        <v>43278</v>
      </c>
      <c r="F18" s="46">
        <f ca="1">E18+H18</f>
        <v>43309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14.783776241230157</v>
      </c>
      <c r="M18" s="49"/>
      <c r="N18" s="43"/>
      <c r="O18" s="43">
        <f t="shared" ref="O18:O20" si="7">IF(L18&lt;=0,ABS(L18)+N18,L18-N18)</f>
        <v>14.783776241230157</v>
      </c>
      <c r="P18" s="110">
        <f>RTD("wdf.rtq",,D18,"LastPrice")</f>
        <v>3126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-0.18225255028028187</v>
      </c>
      <c r="V18" s="43">
        <f>_xll.dnetGBlackScholesNGreeks("vega",$Q18,$P18,$G18,$I18,$C$3,$J18,$K18,$C$4)*R18</f>
        <v>2.4049369839433439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43278</v>
      </c>
      <c r="F19" s="54">
        <f t="shared" ca="1" si="8"/>
        <v>43309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-16.32748459354616</v>
      </c>
      <c r="M19" s="57"/>
      <c r="N19" s="51"/>
      <c r="O19" s="51">
        <f t="shared" si="7"/>
        <v>16.32748459354616</v>
      </c>
      <c r="P19" s="94">
        <f>P18</f>
        <v>3126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-0.18628220330469958</v>
      </c>
      <c r="V19" s="51">
        <f>_xll.dnetGBlackScholesNGreeks("vega",$Q19,$P19,$G19,$I19,$C$3,$J19,$K19,$C$4)*R19</f>
        <v>-2.4383386186909775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43278</v>
      </c>
      <c r="F20" s="62">
        <f t="shared" ca="1" si="9"/>
        <v>43309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-1.5437083523160027</v>
      </c>
      <c r="M20" s="60">
        <v>0</v>
      </c>
      <c r="N20" s="59">
        <f>M20/10000*I20*P20</f>
        <v>0</v>
      </c>
      <c r="O20" s="59">
        <f t="shared" si="7"/>
        <v>1.5437083523160027</v>
      </c>
      <c r="P20" s="111">
        <f>P19</f>
        <v>3126</v>
      </c>
      <c r="Q20" s="60"/>
      <c r="R20" s="60"/>
      <c r="S20" s="56"/>
      <c r="T20" s="64">
        <f>O20/P20</f>
        <v>4.9382864757389726E-4</v>
      </c>
      <c r="U20" s="64">
        <f>U19+U18</f>
        <v>-0.36853475358498144</v>
      </c>
      <c r="V20" s="64">
        <f>V19+V18</f>
        <v>-3.340163474763358E-2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226</v>
      </c>
      <c r="E21" s="46">
        <f ca="1">TODAY()</f>
        <v>43278</v>
      </c>
      <c r="F21" s="46">
        <f ca="1">E21+H21</f>
        <v>43370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47.479266743779249</v>
      </c>
      <c r="M21" s="49"/>
      <c r="N21" s="43"/>
      <c r="O21" s="43">
        <f t="shared" ref="O21:O23" si="10">IF(L21&lt;=0,ABS(L21)+N21,L21-N21)</f>
        <v>47.479266743779249</v>
      </c>
      <c r="P21" s="110">
        <f>RTD("wdf.rtq",,D21,"LastPrice")</f>
        <v>3126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-0.28889841933619209</v>
      </c>
      <c r="V21" s="43">
        <f>_xll.dnetGBlackScholesNGreeks("vega",$Q21,$P21,$G21,$I21,$C$3,$J21,$K21,$C$4)*R21</f>
        <v>5.3457193777013572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43278</v>
      </c>
      <c r="F22" s="54">
        <f t="shared" ca="1" si="11"/>
        <v>43370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-54.116447844655909</v>
      </c>
      <c r="M22" s="57"/>
      <c r="N22" s="51"/>
      <c r="O22" s="51">
        <f t="shared" si="10"/>
        <v>54.116447844655909</v>
      </c>
      <c r="P22" s="94">
        <f>P21</f>
        <v>3126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-0.31156965089280675</v>
      </c>
      <c r="V22" s="51">
        <f>_xll.dnetGBlackScholesNGreeks("vega",$Q22,$P22,$G22,$I22,$C$3,$J22,$K22,$C$4)*R22</f>
        <v>-5.5308592727726023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43278</v>
      </c>
      <c r="F23" s="62">
        <f t="shared" ca="1" si="12"/>
        <v>43370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-6.6371811008766599</v>
      </c>
      <c r="M23" s="60">
        <v>0</v>
      </c>
      <c r="N23" s="59">
        <f>M23/10000*I23*P23</f>
        <v>0</v>
      </c>
      <c r="O23" s="59">
        <f t="shared" si="10"/>
        <v>6.6371811008766599</v>
      </c>
      <c r="P23" s="111">
        <f>P22</f>
        <v>3126</v>
      </c>
      <c r="Q23" s="60"/>
      <c r="R23" s="60"/>
      <c r="S23" s="56"/>
      <c r="T23" s="64">
        <f>O23/P23</f>
        <v>2.1232185223533781E-3</v>
      </c>
      <c r="U23" s="64">
        <f>U22+U21</f>
        <v>-0.60046807022899884</v>
      </c>
      <c r="V23" s="64">
        <f>V22+V21</f>
        <v>-0.18513989507124506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192</v>
      </c>
      <c r="E26" s="46">
        <f ca="1">TODAY()</f>
        <v>43278</v>
      </c>
      <c r="F26" s="46">
        <f ca="1">E26+H26</f>
        <v>43308</v>
      </c>
      <c r="G26" s="118">
        <v>3500</v>
      </c>
      <c r="H26" s="44">
        <v>30</v>
      </c>
      <c r="I26" s="47">
        <f>H26/365</f>
        <v>8.2191780821917804E-2</v>
      </c>
      <c r="J26" s="47">
        <v>0</v>
      </c>
      <c r="K26" s="48">
        <f>K27-0.03</f>
        <v>0.255</v>
      </c>
      <c r="L26" s="43">
        <f>_xll.dnetGBlackScholesNGreeks("price",$Q26,$P26,$G26,$I26,$C$3,$J26,$K26,$C$4)*R26</f>
        <v>40.221015480234541</v>
      </c>
      <c r="M26" s="49"/>
      <c r="N26" s="43"/>
      <c r="O26" s="43">
        <f t="shared" ref="O26:O31" si="13">IF(L26&lt;=0,ABS(L26)+N26,L26-N26)</f>
        <v>40.221015480234541</v>
      </c>
      <c r="P26" s="110">
        <f>RTD("wdf.rtq",,D26,"LastPrice")</f>
        <v>3672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-0.24382597004546369</v>
      </c>
      <c r="V26" s="43">
        <f>_xll.dnetGBlackScholesNGreeks("vega",$Q26,$P26,$G26,$I26,$C$3,$J26,$K26,$C$4)*R26</f>
        <v>3.297418514061917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rb1810</v>
      </c>
      <c r="E27" s="54">
        <f t="shared" ref="E27:F27" ca="1" si="14">E26</f>
        <v>43278</v>
      </c>
      <c r="F27" s="54">
        <f t="shared" ca="1" si="14"/>
        <v>43308</v>
      </c>
      <c r="G27" s="119">
        <v>3900</v>
      </c>
      <c r="H27" s="52">
        <f>H26</f>
        <v>30</v>
      </c>
      <c r="I27" s="55">
        <f>H27/365</f>
        <v>8.2191780821917804E-2</v>
      </c>
      <c r="J27" s="55">
        <f>J26</f>
        <v>0</v>
      </c>
      <c r="K27" s="56">
        <v>0.28499999999999998</v>
      </c>
      <c r="L27" s="51">
        <f>_xll.dnetGBlackScholesNGreeks("price",$Q27,$P27,$G27,$I27,$C$3,$J27,$K27,$C$4)*R27</f>
        <v>-41.368793862319762</v>
      </c>
      <c r="M27" s="57"/>
      <c r="N27" s="51"/>
      <c r="O27" s="51">
        <f t="shared" si="13"/>
        <v>41.368793862319762</v>
      </c>
      <c r="P27" s="94">
        <f>RTD("wdf.rtq",,D27,"LastPrice")</f>
        <v>3672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-0.24268478815656636</v>
      </c>
      <c r="V27" s="51">
        <f>_xll.dnetGBlackScholesNGreeks("vega",$Q27,$P27,$G27,$I27,$C$3,$J27,$K27,$C$4)*R27</f>
        <v>-3.2891080439506482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rb1810</v>
      </c>
      <c r="E28" s="62">
        <f t="shared" ref="E28:F28" ca="1" si="15">E27</f>
        <v>43278</v>
      </c>
      <c r="F28" s="62">
        <f t="shared" ca="1" si="15"/>
        <v>43308</v>
      </c>
      <c r="G28" s="60" t="str">
        <f>G26 &amp; "|" &amp; G27</f>
        <v>3500|3900</v>
      </c>
      <c r="H28" s="60">
        <f>H27</f>
        <v>30</v>
      </c>
      <c r="I28" s="63">
        <f>I27</f>
        <v>8.2191780821917804E-2</v>
      </c>
      <c r="J28" s="63"/>
      <c r="K28" s="60"/>
      <c r="L28" s="59">
        <f>L27+L26</f>
        <v>-1.147778382085221</v>
      </c>
      <c r="M28" s="60">
        <v>0</v>
      </c>
      <c r="N28" s="59">
        <f>M28/10000*I28*P28</f>
        <v>0</v>
      </c>
      <c r="O28" s="59">
        <f t="shared" si="13"/>
        <v>1.147778382085221</v>
      </c>
      <c r="P28" s="111">
        <f>RTD("wdf.rtq",,D28,"LastPrice")</f>
        <v>3672</v>
      </c>
      <c r="Q28" s="60"/>
      <c r="R28" s="60"/>
      <c r="S28" s="56"/>
      <c r="T28" s="64">
        <f>O28/P28</f>
        <v>3.1257581211471157E-4</v>
      </c>
      <c r="U28" s="64">
        <f>U27+U26</f>
        <v>-0.48651075820203005</v>
      </c>
      <c r="V28" s="64">
        <f>V27+V26</f>
        <v>8.3104701112688417E-3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192</v>
      </c>
      <c r="E29" s="46">
        <f ca="1">TODAY()</f>
        <v>43278</v>
      </c>
      <c r="F29" s="46">
        <f ca="1">E29+H29</f>
        <v>43308</v>
      </c>
      <c r="G29" s="118">
        <v>3400</v>
      </c>
      <c r="H29" s="44">
        <v>30</v>
      </c>
      <c r="I29" s="47">
        <f>H29/365</f>
        <v>8.2191780821917804E-2</v>
      </c>
      <c r="J29" s="47">
        <v>0</v>
      </c>
      <c r="K29" s="48">
        <f>K30-0.03</f>
        <v>0.255</v>
      </c>
      <c r="L29" s="43">
        <f>_xll.dnetGBlackScholesNGreeks("price",$Q29,$P29,$G29,$I29,$C$3,$J29,$K29,$C$4)*R29</f>
        <v>19.405499833956924</v>
      </c>
      <c r="M29" s="49"/>
      <c r="N29" s="43"/>
      <c r="O29" s="43">
        <f t="shared" si="13"/>
        <v>19.405499833956924</v>
      </c>
      <c r="P29" s="110">
        <f>RTD("wdf.rtq",,D29,"LastPrice")</f>
        <v>3672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-0.13778807672792937</v>
      </c>
      <c r="V29" s="43">
        <f>_xll.dnetGBlackScholesNGreeks("vega",$Q29,$P29,$G29,$I29,$C$3,$J29,$K29,$C$4)*R29</f>
        <v>2.3154011758692548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rb1810</v>
      </c>
      <c r="E30" s="54">
        <f t="shared" ref="E30:F30" ca="1" si="16">E29</f>
        <v>43278</v>
      </c>
      <c r="F30" s="54">
        <f t="shared" ca="1" si="16"/>
        <v>43308</v>
      </c>
      <c r="G30" s="119">
        <v>3800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0.28499999999999998</v>
      </c>
      <c r="L30" s="51">
        <f>_xll.dnetGBlackScholesNGreeks("price",$Q30,$P30,$G30,$I30,$C$3,$J30,$K30,$C$4)*R30</f>
        <v>-68.177931155938268</v>
      </c>
      <c r="M30" s="57"/>
      <c r="N30" s="51"/>
      <c r="O30" s="51">
        <f t="shared" si="13"/>
        <v>68.177931155938268</v>
      </c>
      <c r="P30" s="94">
        <f>RTD("wdf.rtq",,D30,"LastPrice")</f>
        <v>3672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-0.35194832285014854</v>
      </c>
      <c r="V30" s="51">
        <f>_xll.dnetGBlackScholesNGreeks("vega",$Q30,$P30,$G30,$I30,$C$3,$J30,$K30,$C$4)*R30</f>
        <v>-3.9026402306925547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rb1810</v>
      </c>
      <c r="E31" s="62">
        <f t="shared" ref="E31:F31" ca="1" si="17">E30</f>
        <v>43278</v>
      </c>
      <c r="F31" s="62">
        <f t="shared" ca="1" si="17"/>
        <v>43308</v>
      </c>
      <c r="G31" s="60" t="str">
        <f>G29 &amp; "|" &amp; G30</f>
        <v>3400|3800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-48.772431321981344</v>
      </c>
      <c r="M31" s="60">
        <v>0</v>
      </c>
      <c r="N31" s="59">
        <f>M31/10000*I31*P31</f>
        <v>0</v>
      </c>
      <c r="O31" s="59">
        <f t="shared" si="13"/>
        <v>48.772431321981344</v>
      </c>
      <c r="P31" s="111">
        <f>RTD("wdf.rtq",,D31,"LastPrice")</f>
        <v>3672</v>
      </c>
      <c r="Q31" s="60"/>
      <c r="R31" s="60"/>
      <c r="S31" s="56"/>
      <c r="T31" s="64">
        <f>O31/P31</f>
        <v>1.3282252538665943E-2</v>
      </c>
      <c r="U31" s="64">
        <f>U30+U29</f>
        <v>-0.48973639957807791</v>
      </c>
      <c r="V31" s="64">
        <f>V30+V29</f>
        <v>-1.5872390548233</v>
      </c>
    </row>
    <row r="32" spans="1:22" s="95" customFormat="1" ht="14.25" thickTop="1" x14ac:dyDescent="0.15">
      <c r="A32" s="96"/>
      <c r="B32" s="43" t="s">
        <v>173</v>
      </c>
      <c r="C32" s="44" t="s">
        <v>160</v>
      </c>
      <c r="D32" s="44" t="s">
        <v>192</v>
      </c>
      <c r="E32" s="46">
        <f ca="1">TODAY()</f>
        <v>43278</v>
      </c>
      <c r="F32" s="46">
        <f ca="1">E32+H32</f>
        <v>43308</v>
      </c>
      <c r="G32" s="118">
        <v>3300</v>
      </c>
      <c r="H32" s="44">
        <v>30</v>
      </c>
      <c r="I32" s="47">
        <f>H32/365</f>
        <v>8.2191780821917804E-2</v>
      </c>
      <c r="J32" s="47">
        <v>0</v>
      </c>
      <c r="K32" s="48">
        <f>K33-0.03</f>
        <v>0.255</v>
      </c>
      <c r="L32" s="43">
        <f>_xll.dnetGBlackScholesNGreeks("price",$Q32,$P32,$G32,$I32,$C$3,$J32,$K32,$C$4)*R32</f>
        <v>8.1280341594033985</v>
      </c>
      <c r="M32" s="49"/>
      <c r="N32" s="43"/>
      <c r="O32" s="43">
        <f t="shared" ref="O32:O34" si="18">IF(L32&lt;=0,ABS(L32)+N32,L32-N32)</f>
        <v>8.1280341594033985</v>
      </c>
      <c r="P32" s="110">
        <f>RTD("wdf.rtq",,D32,"LastPrice")</f>
        <v>3672</v>
      </c>
      <c r="Q32" s="44" t="s">
        <v>85</v>
      </c>
      <c r="R32" s="44">
        <f>IF(S32="中金买入",1,-1)</f>
        <v>1</v>
      </c>
      <c r="S32" s="48" t="s">
        <v>151</v>
      </c>
      <c r="T32" s="50"/>
      <c r="U32" s="43">
        <f>_xll.dnetGBlackScholesNGreeks("delta",$Q32,$P32,$G32,$I32,$C$3,$J32,$K32,$C$4)*R32</f>
        <v>-6.7004141462234657E-2</v>
      </c>
      <c r="V32" s="43">
        <f>_xll.dnetGBlackScholesNGreeks("vega",$Q32,$P32,$G32,$I32,$C$3,$J32,$K32,$C$4)*R32</f>
        <v>1.3654218740240509</v>
      </c>
    </row>
    <row r="33" spans="1:22" s="95" customFormat="1" ht="13.5" x14ac:dyDescent="0.15">
      <c r="A33" s="96"/>
      <c r="B33" s="51" t="s">
        <v>174</v>
      </c>
      <c r="C33" s="52" t="s">
        <v>160</v>
      </c>
      <c r="D33" s="52" t="str">
        <f>D32</f>
        <v>rb1810</v>
      </c>
      <c r="E33" s="54">
        <f t="shared" ref="E33:F33" ca="1" si="19">E32</f>
        <v>43278</v>
      </c>
      <c r="F33" s="54">
        <f t="shared" ca="1" si="19"/>
        <v>43308</v>
      </c>
      <c r="G33" s="119">
        <v>4000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0.28499999999999998</v>
      </c>
      <c r="L33" s="51">
        <f>_xll.dnetGBlackScholesNGreeks("price",$Q33,$P33,$G33,$I33,$C$3,$J33,$K33,$C$4)*R33</f>
        <v>-23.778880796778481</v>
      </c>
      <c r="M33" s="57"/>
      <c r="N33" s="51"/>
      <c r="O33" s="51">
        <f t="shared" si="18"/>
        <v>23.778880796778481</v>
      </c>
      <c r="P33" s="94">
        <f>RTD("wdf.rtq",,D33,"LastPrice")</f>
        <v>3672</v>
      </c>
      <c r="Q33" s="52" t="s">
        <v>39</v>
      </c>
      <c r="R33" s="52">
        <f>IF(S33="中金买入",1,-1)</f>
        <v>-1</v>
      </c>
      <c r="S33" s="56" t="s">
        <v>20</v>
      </c>
      <c r="T33" s="58"/>
      <c r="U33" s="51">
        <f>_xll.dnetGBlackScholesNGreeks("delta",$Q33,$P33,$G33,$I33,$C$3,$J33,$K33,$C$4)*R33</f>
        <v>-0.15688295236486738</v>
      </c>
      <c r="V33" s="51">
        <f>_xll.dnetGBlackScholesNGreeks("vega",$Q33,$P33,$G33,$I33,$C$3,$J33,$K33,$C$4)*R33</f>
        <v>-2.5260645937908066</v>
      </c>
    </row>
    <row r="34" spans="1:22" s="98" customFormat="1" ht="14.25" thickBot="1" x14ac:dyDescent="0.2">
      <c r="A34" s="97"/>
      <c r="B34" s="59" t="s">
        <v>175</v>
      </c>
      <c r="C34" s="60" t="s">
        <v>160</v>
      </c>
      <c r="D34" s="60" t="str">
        <f>D33</f>
        <v>rb1810</v>
      </c>
      <c r="E34" s="62">
        <f t="shared" ref="E34:F34" ca="1" si="20">E33</f>
        <v>43278</v>
      </c>
      <c r="F34" s="62">
        <f t="shared" ca="1" si="20"/>
        <v>43308</v>
      </c>
      <c r="G34" s="60" t="str">
        <f>G32 &amp; "|" &amp; G33</f>
        <v>3300|4000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-15.650846637375082</v>
      </c>
      <c r="M34" s="60">
        <v>50</v>
      </c>
      <c r="N34" s="59">
        <f>M34/10000*I34*P34</f>
        <v>1.5090410958904108</v>
      </c>
      <c r="O34" s="59">
        <f t="shared" si="18"/>
        <v>17.159887733265492</v>
      </c>
      <c r="P34" s="111">
        <f>RTD("wdf.rtq",,D34,"LastPrice")</f>
        <v>3672</v>
      </c>
      <c r="Q34" s="60"/>
      <c r="R34" s="60"/>
      <c r="S34" s="56"/>
      <c r="T34" s="64">
        <f>O34/P34</f>
        <v>4.673172040649644E-3</v>
      </c>
      <c r="U34" s="64">
        <f>U33+U32</f>
        <v>-0.22388709382710203</v>
      </c>
      <c r="V34" s="64">
        <f>V33+V32</f>
        <v>-1.1606427197667557</v>
      </c>
    </row>
    <row r="35" spans="1:22" ht="12" thickBot="1" x14ac:dyDescent="0.2"/>
    <row r="36" spans="1:22" s="95" customFormat="1" ht="14.25" thickTop="1" x14ac:dyDescent="0.15">
      <c r="A36" s="96"/>
      <c r="B36" s="43" t="s">
        <v>173</v>
      </c>
      <c r="C36" s="44" t="s">
        <v>160</v>
      </c>
      <c r="D36" s="44" t="s">
        <v>192</v>
      </c>
      <c r="E36" s="46">
        <f ca="1">TODAY()</f>
        <v>43278</v>
      </c>
      <c r="F36" s="46">
        <f ca="1">E36+H36</f>
        <v>43368</v>
      </c>
      <c r="G36" s="118">
        <v>3500</v>
      </c>
      <c r="H36" s="44">
        <v>90</v>
      </c>
      <c r="I36" s="47">
        <f>H36/365</f>
        <v>0.24657534246575341</v>
      </c>
      <c r="J36" s="47">
        <v>0</v>
      </c>
      <c r="K36" s="48">
        <f>K37-0.03</f>
        <v>0.25</v>
      </c>
      <c r="L36" s="43">
        <f>_xll.dnetGBlackScholesNGreeks("price",$Q36,$P36,$G36,$I36,$C$3,$J36,$K36,$C$4)*R36</f>
        <v>104.03863869086581</v>
      </c>
      <c r="M36" s="49"/>
      <c r="N36" s="43"/>
      <c r="O36" s="43">
        <f t="shared" ref="O36:O44" si="21">IF(L36&lt;=0,ABS(L36)+N36,L36-N36)</f>
        <v>104.03863869086581</v>
      </c>
      <c r="P36" s="110">
        <f>RTD("wdf.rtq",,D36,"LastPrice")</f>
        <v>3672</v>
      </c>
      <c r="Q36" s="44" t="s">
        <v>85</v>
      </c>
      <c r="R36" s="44">
        <f>IF(S36="中金买入",1,-1)</f>
        <v>1</v>
      </c>
      <c r="S36" s="48" t="s">
        <v>151</v>
      </c>
      <c r="T36" s="50"/>
      <c r="U36" s="43">
        <f>_xll.dnetGBlackScholesNGreeks("delta",$Q36,$P36,$G36,$I36,$C$3,$J36,$K36,$C$4)*R36</f>
        <v>-0.32528287256354815</v>
      </c>
      <c r="V36" s="43">
        <f>_xll.dnetGBlackScholesNGreeks("vega",$Q36,$P36,$G36,$I36,$C$3,$J36,$K36,$C$4)*R36</f>
        <v>6.545056596171662</v>
      </c>
    </row>
    <row r="37" spans="1:22" s="95" customFormat="1" ht="13.5" x14ac:dyDescent="0.15">
      <c r="A37" s="96"/>
      <c r="B37" s="51" t="s">
        <v>174</v>
      </c>
      <c r="C37" s="52" t="s">
        <v>160</v>
      </c>
      <c r="D37" s="52" t="str">
        <f>D36</f>
        <v>rb1810</v>
      </c>
      <c r="E37" s="54">
        <f t="shared" ref="E37:F37" ca="1" si="22">E36</f>
        <v>43278</v>
      </c>
      <c r="F37" s="54">
        <f t="shared" ca="1" si="22"/>
        <v>43368</v>
      </c>
      <c r="G37" s="119">
        <v>3900</v>
      </c>
      <c r="H37" s="52">
        <f>H36</f>
        <v>90</v>
      </c>
      <c r="I37" s="55">
        <f>H37/365</f>
        <v>0.24657534246575341</v>
      </c>
      <c r="J37" s="55">
        <f>J36</f>
        <v>0</v>
      </c>
      <c r="K37" s="56">
        <v>0.28000000000000003</v>
      </c>
      <c r="L37" s="51">
        <f>_xll.dnetGBlackScholesNGreeks("price",$Q37,$P37,$G37,$I37,$C$3,$J37,$K37,$C$4)*R37</f>
        <v>-114.62014288293449</v>
      </c>
      <c r="M37" s="57"/>
      <c r="N37" s="51"/>
      <c r="O37" s="51">
        <f t="shared" si="21"/>
        <v>114.62014288293449</v>
      </c>
      <c r="P37" s="94">
        <f>RTD("wdf.rtq",,D37,"LastPrice")</f>
        <v>3672</v>
      </c>
      <c r="Q37" s="52" t="s">
        <v>39</v>
      </c>
      <c r="R37" s="52">
        <f>IF(S37="中金买入",1,-1)</f>
        <v>-1</v>
      </c>
      <c r="S37" s="56" t="s">
        <v>20</v>
      </c>
      <c r="T37" s="58"/>
      <c r="U37" s="51">
        <f>_xll.dnetGBlackScholesNGreeks("delta",$Q37,$P37,$G37,$I37,$C$3,$J37,$K37,$C$4)*R37</f>
        <v>-0.35626289560468649</v>
      </c>
      <c r="V37" s="51">
        <f>_xll.dnetGBlackScholesNGreeks("vega",$Q37,$P37,$G37,$I37,$C$3,$J37,$K37,$C$4)*R37</f>
        <v>-6.7743176266343426</v>
      </c>
    </row>
    <row r="38" spans="1:22" s="98" customFormat="1" ht="14.25" thickBot="1" x14ac:dyDescent="0.2">
      <c r="A38" s="97"/>
      <c r="B38" s="59" t="s">
        <v>175</v>
      </c>
      <c r="C38" s="60" t="s">
        <v>160</v>
      </c>
      <c r="D38" s="60" t="str">
        <f>D37</f>
        <v>rb1810</v>
      </c>
      <c r="E38" s="62">
        <f t="shared" ref="E38:F38" ca="1" si="23">E37</f>
        <v>43278</v>
      </c>
      <c r="F38" s="62">
        <f t="shared" ca="1" si="23"/>
        <v>43368</v>
      </c>
      <c r="G38" s="60" t="str">
        <f>G36 &amp; "|" &amp; G37</f>
        <v>3500|3900</v>
      </c>
      <c r="H38" s="60">
        <f>H37</f>
        <v>90</v>
      </c>
      <c r="I38" s="63">
        <f>I37</f>
        <v>0.24657534246575341</v>
      </c>
      <c r="J38" s="63"/>
      <c r="K38" s="60"/>
      <c r="L38" s="59">
        <f>L37+L36</f>
        <v>-10.581504192068678</v>
      </c>
      <c r="M38" s="60">
        <v>0</v>
      </c>
      <c r="N38" s="59">
        <f>M38/10000*I38*P38</f>
        <v>0</v>
      </c>
      <c r="O38" s="59">
        <f t="shared" si="21"/>
        <v>10.581504192068678</v>
      </c>
      <c r="P38" s="111">
        <f>RTD("wdf.rtq",,D38,"LastPrice")</f>
        <v>3672</v>
      </c>
      <c r="Q38" s="60"/>
      <c r="R38" s="60"/>
      <c r="S38" s="56"/>
      <c r="T38" s="64">
        <f>O38/P38</f>
        <v>2.881673254920664E-3</v>
      </c>
      <c r="U38" s="64">
        <f>U37+U36</f>
        <v>-0.68154576816823464</v>
      </c>
      <c r="V38" s="64">
        <f>V37+V36</f>
        <v>-0.22926103046268054</v>
      </c>
    </row>
    <row r="39" spans="1:22" s="95" customFormat="1" ht="14.25" thickTop="1" x14ac:dyDescent="0.15">
      <c r="A39" s="96"/>
      <c r="B39" s="43" t="s">
        <v>173</v>
      </c>
      <c r="C39" s="44" t="s">
        <v>160</v>
      </c>
      <c r="D39" s="44" t="s">
        <v>192</v>
      </c>
      <c r="E39" s="46">
        <f ca="1">TODAY()</f>
        <v>43278</v>
      </c>
      <c r="F39" s="46">
        <f ca="1">E39+H39</f>
        <v>43368</v>
      </c>
      <c r="G39" s="118">
        <v>3400</v>
      </c>
      <c r="H39" s="44">
        <v>90</v>
      </c>
      <c r="I39" s="47">
        <f>H39/365</f>
        <v>0.24657534246575341</v>
      </c>
      <c r="J39" s="47">
        <v>0</v>
      </c>
      <c r="K39" s="48">
        <f>K40-0.03</f>
        <v>0.255</v>
      </c>
      <c r="L39" s="43">
        <f>_xll.dnetGBlackScholesNGreeks("price",$Q39,$P39,$G39,$I39,$C$3,$J39,$K39,$C$4)*R39</f>
        <v>74.067281562184235</v>
      </c>
      <c r="M39" s="49"/>
      <c r="N39" s="43"/>
      <c r="O39" s="43">
        <f t="shared" si="21"/>
        <v>74.067281562184235</v>
      </c>
      <c r="P39" s="110">
        <f>RTD("wdf.rtq",,D39,"LastPrice")</f>
        <v>3672</v>
      </c>
      <c r="Q39" s="44" t="s">
        <v>85</v>
      </c>
      <c r="R39" s="44">
        <f>IF(S39="中金买入",1,-1)</f>
        <v>1</v>
      </c>
      <c r="S39" s="48" t="s">
        <v>151</v>
      </c>
      <c r="T39" s="50"/>
      <c r="U39" s="43">
        <f>_xll.dnetGBlackScholesNGreeks("delta",$Q39,$P39,$G39,$I39,$C$3,$J39,$K39,$C$4)*R39</f>
        <v>-0.24984162407690746</v>
      </c>
      <c r="V39" s="43">
        <f>_xll.dnetGBlackScholesNGreeks("vega",$Q39,$P39,$G39,$I39,$C$3,$J39,$K39,$C$4)*R39</f>
        <v>5.7774676110756786</v>
      </c>
    </row>
    <row r="40" spans="1:22" s="95" customFormat="1" ht="13.5" x14ac:dyDescent="0.15">
      <c r="A40" s="96"/>
      <c r="B40" s="51" t="s">
        <v>174</v>
      </c>
      <c r="C40" s="52" t="s">
        <v>160</v>
      </c>
      <c r="D40" s="52" t="str">
        <f>D39</f>
        <v>rb1810</v>
      </c>
      <c r="E40" s="54">
        <f t="shared" ref="E40:F40" ca="1" si="24">E39</f>
        <v>43278</v>
      </c>
      <c r="F40" s="54">
        <f t="shared" ca="1" si="24"/>
        <v>43368</v>
      </c>
      <c r="G40" s="119">
        <v>3800</v>
      </c>
      <c r="H40" s="52">
        <f>H39</f>
        <v>90</v>
      </c>
      <c r="I40" s="55">
        <f>H40/365</f>
        <v>0.24657534246575341</v>
      </c>
      <c r="J40" s="55">
        <f>J39</f>
        <v>0</v>
      </c>
      <c r="K40" s="56">
        <v>0.28499999999999998</v>
      </c>
      <c r="L40" s="51">
        <f>_xll.dnetGBlackScholesNGreeks("price",$Q40,$P40,$G40,$I40,$C$3,$J40,$K40,$C$4)*R40</f>
        <v>-152.13740806199849</v>
      </c>
      <c r="M40" s="57"/>
      <c r="N40" s="51"/>
      <c r="O40" s="51">
        <f t="shared" si="21"/>
        <v>152.13740806199849</v>
      </c>
      <c r="P40" s="94">
        <f>RTD("wdf.rtq",,D40,"LastPrice")</f>
        <v>3672</v>
      </c>
      <c r="Q40" s="52" t="s">
        <v>39</v>
      </c>
      <c r="R40" s="52">
        <f>IF(S40="中金买入",1,-1)</f>
        <v>-1</v>
      </c>
      <c r="S40" s="56" t="s">
        <v>20</v>
      </c>
      <c r="T40" s="58"/>
      <c r="U40" s="51">
        <f>_xll.dnetGBlackScholesNGreeks("delta",$Q40,$P40,$G40,$I40,$C$3,$J40,$K40,$C$4)*R40</f>
        <v>-0.42984648814581305</v>
      </c>
      <c r="V40" s="51">
        <f>_xll.dnetGBlackScholesNGreeks("vega",$Q40,$P40,$G40,$I40,$C$3,$J40,$K40,$C$4)*R40</f>
        <v>-7.1326975489045026</v>
      </c>
    </row>
    <row r="41" spans="1:22" s="98" customFormat="1" ht="14.25" thickBot="1" x14ac:dyDescent="0.2">
      <c r="A41" s="97"/>
      <c r="B41" s="59" t="s">
        <v>175</v>
      </c>
      <c r="C41" s="60" t="s">
        <v>160</v>
      </c>
      <c r="D41" s="60" t="str">
        <f>D40</f>
        <v>rb1810</v>
      </c>
      <c r="E41" s="62">
        <f t="shared" ref="E41:F41" ca="1" si="25">E40</f>
        <v>43278</v>
      </c>
      <c r="F41" s="62">
        <f t="shared" ca="1" si="25"/>
        <v>43368</v>
      </c>
      <c r="G41" s="60" t="str">
        <f>G39 &amp; "|" &amp; G40</f>
        <v>3400|3800</v>
      </c>
      <c r="H41" s="60">
        <f>H40</f>
        <v>90</v>
      </c>
      <c r="I41" s="63">
        <f>I40</f>
        <v>0.24657534246575341</v>
      </c>
      <c r="J41" s="63"/>
      <c r="K41" s="60"/>
      <c r="L41" s="59">
        <f>L40+L39</f>
        <v>-78.070126499814251</v>
      </c>
      <c r="M41" s="60">
        <v>0</v>
      </c>
      <c r="N41" s="59">
        <f>M41/10000*I41*P41</f>
        <v>0</v>
      </c>
      <c r="O41" s="59">
        <f t="shared" si="21"/>
        <v>78.070126499814251</v>
      </c>
      <c r="P41" s="111">
        <f>RTD("wdf.rtq",,D41,"LastPrice")</f>
        <v>3672</v>
      </c>
      <c r="Q41" s="60"/>
      <c r="R41" s="60"/>
      <c r="S41" s="56"/>
      <c r="T41" s="64">
        <f>O41/P41</f>
        <v>2.1260927696027845E-2</v>
      </c>
      <c r="U41" s="64">
        <f>U40+U39</f>
        <v>-0.67968811222272052</v>
      </c>
      <c r="V41" s="64">
        <f>V40+V39</f>
        <v>-1.3552299378288239</v>
      </c>
    </row>
    <row r="42" spans="1:22" s="95" customFormat="1" ht="14.25" thickTop="1" x14ac:dyDescent="0.15">
      <c r="A42" s="96"/>
      <c r="B42" s="43" t="s">
        <v>173</v>
      </c>
      <c r="C42" s="44" t="s">
        <v>160</v>
      </c>
      <c r="D42" s="44" t="s">
        <v>192</v>
      </c>
      <c r="E42" s="46">
        <f ca="1">TODAY()</f>
        <v>43278</v>
      </c>
      <c r="F42" s="46">
        <f ca="1">E42+H42</f>
        <v>43368</v>
      </c>
      <c r="G42" s="118">
        <v>3300</v>
      </c>
      <c r="H42" s="44">
        <v>90</v>
      </c>
      <c r="I42" s="47">
        <f>H42/365</f>
        <v>0.24657534246575341</v>
      </c>
      <c r="J42" s="47">
        <v>0</v>
      </c>
      <c r="K42" s="48">
        <f>K43-0.03</f>
        <v>0.25</v>
      </c>
      <c r="L42" s="43">
        <f>_xll.dnetGBlackScholesNGreeks("price",$Q42,$P42,$G42,$I42,$C$3,$J42,$K42,$C$4)*R42</f>
        <v>46.355595734693907</v>
      </c>
      <c r="M42" s="49"/>
      <c r="N42" s="43"/>
      <c r="O42" s="43">
        <f t="shared" si="21"/>
        <v>46.355595734693907</v>
      </c>
      <c r="P42" s="110">
        <f>RTD("wdf.rtq",,D42,"LastPrice")</f>
        <v>3672</v>
      </c>
      <c r="Q42" s="44" t="s">
        <v>85</v>
      </c>
      <c r="R42" s="44">
        <f>IF(S42="中金买入",1,-1)</f>
        <v>1</v>
      </c>
      <c r="S42" s="48" t="s">
        <v>151</v>
      </c>
      <c r="T42" s="50"/>
      <c r="U42" s="43">
        <f>_xll.dnetGBlackScholesNGreeks("delta",$Q42,$P42,$G42,$I42,$C$3,$J42,$K42,$C$4)*R42</f>
        <v>-0.17725861439430446</v>
      </c>
      <c r="V42" s="43">
        <f>_xll.dnetGBlackScholesNGreeks("vega",$Q42,$P42,$G42,$I42,$C$3,$J42,$K42,$C$4)*R42</f>
        <v>4.7277961338647287</v>
      </c>
    </row>
    <row r="43" spans="1:22" s="95" customFormat="1" ht="13.5" x14ac:dyDescent="0.15">
      <c r="A43" s="96"/>
      <c r="B43" s="51" t="s">
        <v>174</v>
      </c>
      <c r="C43" s="52" t="s">
        <v>160</v>
      </c>
      <c r="D43" s="52" t="str">
        <f>D42</f>
        <v>rb1810</v>
      </c>
      <c r="E43" s="54">
        <f t="shared" ref="E43:F43" ca="1" si="26">E42</f>
        <v>43278</v>
      </c>
      <c r="F43" s="54">
        <f t="shared" ca="1" si="26"/>
        <v>43368</v>
      </c>
      <c r="G43" s="119">
        <v>4000</v>
      </c>
      <c r="H43" s="52">
        <f>H42</f>
        <v>90</v>
      </c>
      <c r="I43" s="55">
        <f>H43/365</f>
        <v>0.24657534246575341</v>
      </c>
      <c r="J43" s="55">
        <f>J42</f>
        <v>0</v>
      </c>
      <c r="K43" s="56">
        <v>0.28000000000000003</v>
      </c>
      <c r="L43" s="51">
        <f>_xll.dnetGBlackScholesNGreeks("price",$Q43,$P43,$G43,$I43,$C$3,$J43,$K43,$C$4)*R43</f>
        <v>-87.110266829832767</v>
      </c>
      <c r="M43" s="57"/>
      <c r="N43" s="51"/>
      <c r="O43" s="51">
        <f t="shared" si="21"/>
        <v>87.110266829832767</v>
      </c>
      <c r="P43" s="94">
        <f>RTD("wdf.rtq",,D43,"LastPrice")</f>
        <v>3672</v>
      </c>
      <c r="Q43" s="52" t="s">
        <v>39</v>
      </c>
      <c r="R43" s="52">
        <f>IF(S43="中金买入",1,-1)</f>
        <v>-1</v>
      </c>
      <c r="S43" s="56" t="s">
        <v>20</v>
      </c>
      <c r="T43" s="58"/>
      <c r="U43" s="51">
        <f>_xll.dnetGBlackScholesNGreeks("delta",$Q43,$P43,$G43,$I43,$C$3,$J43,$K43,$C$4)*R43</f>
        <v>-0.29114923473798626</v>
      </c>
      <c r="V43" s="51">
        <f>_xll.dnetGBlackScholesNGreeks("vega",$Q43,$P43,$G43,$I43,$C$3,$J43,$K43,$C$4)*R43</f>
        <v>-6.2352894921659185</v>
      </c>
    </row>
    <row r="44" spans="1:22" s="98" customFormat="1" ht="14.25" thickBot="1" x14ac:dyDescent="0.2">
      <c r="A44" s="97"/>
      <c r="B44" s="59" t="s">
        <v>175</v>
      </c>
      <c r="C44" s="60" t="s">
        <v>160</v>
      </c>
      <c r="D44" s="60" t="str">
        <f>D43</f>
        <v>rb1810</v>
      </c>
      <c r="E44" s="62">
        <f t="shared" ref="E44:F44" ca="1" si="27">E43</f>
        <v>43278</v>
      </c>
      <c r="F44" s="62">
        <f t="shared" ca="1" si="27"/>
        <v>43368</v>
      </c>
      <c r="G44" s="60" t="str">
        <f>G42 &amp; "|" &amp; G43</f>
        <v>3300|4000</v>
      </c>
      <c r="H44" s="60">
        <f>H43</f>
        <v>90</v>
      </c>
      <c r="I44" s="63">
        <f>I43</f>
        <v>0.24657534246575341</v>
      </c>
      <c r="J44" s="63"/>
      <c r="K44" s="60"/>
      <c r="L44" s="59">
        <f>L43+L42</f>
        <v>-40.75467109513886</v>
      </c>
      <c r="M44" s="60">
        <v>50</v>
      </c>
      <c r="N44" s="59">
        <f>M44/10000*I44*P44</f>
        <v>4.5271232876712331</v>
      </c>
      <c r="O44" s="59">
        <f t="shared" si="21"/>
        <v>45.281794382810091</v>
      </c>
      <c r="P44" s="111">
        <f>RTD("wdf.rtq",,D44,"LastPrice")</f>
        <v>3672</v>
      </c>
      <c r="Q44" s="60"/>
      <c r="R44" s="60"/>
      <c r="S44" s="56"/>
      <c r="T44" s="64">
        <f>O44/P44</f>
        <v>1.2331643350438478E-2</v>
      </c>
      <c r="U44" s="64">
        <f>U43+U42</f>
        <v>-0.46840784913229072</v>
      </c>
      <c r="V44" s="64">
        <f>V43+V42</f>
        <v>-1.5074933583011898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C26:C34 C36:C44</xm:sqref>
        </x14:dataValidation>
        <x14:dataValidation type="list" allowBlank="1" showInputMessage="1" showErrorMessage="1">
          <x14:formula1>
            <xm:f>configs!$C$1:$C$2</xm:f>
          </x14:formula1>
          <xm:sqref>Q8:Q16 Q18:Q23 Q26:Q34 Q36:Q44</xm:sqref>
        </x14:dataValidation>
        <x14:dataValidation type="list" allowBlank="1" showInputMessage="1" showErrorMessage="1">
          <x14:formula1>
            <xm:f>configs!$B$1:$B$2</xm:f>
          </x14:formula1>
          <xm:sqref>S8:S16 S18:S23 S26:S34 S36:S44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topLeftCell="B1" workbookViewId="0">
      <selection activeCell="F25" sqref="F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33" t="s">
        <v>158</v>
      </c>
      <c r="C1" s="133"/>
      <c r="D1" s="133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213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43278</v>
      </c>
      <c r="L10" s="38">
        <f ca="1">pricer_sf!N11</f>
        <v>43369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214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43278</v>
      </c>
      <c r="L11" s="38">
        <f ca="1">pricer_sf!N12</f>
        <v>43369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215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43278</v>
      </c>
      <c r="L12" s="38">
        <f ca="1">pricer_sf!N13</f>
        <v>43369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213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43278</v>
      </c>
      <c r="L13" s="38">
        <f ca="1">pricer_sf!N14</f>
        <v>43461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214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43278</v>
      </c>
      <c r="L14" s="38">
        <f ca="1">pricer_sf!N15</f>
        <v>43461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273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v>119</v>
      </c>
      <c r="I15" s="10">
        <f>pricer_sf!K16</f>
        <v>119.94725557967286</v>
      </c>
      <c r="J15" s="10">
        <v>5</v>
      </c>
      <c r="K15" s="38">
        <f ca="1">pricer_sf!M16</f>
        <v>43278</v>
      </c>
      <c r="L15" s="38">
        <f ca="1">pricer_sf!N16</f>
        <v>43308</v>
      </c>
      <c r="M15" s="10">
        <v>30</v>
      </c>
      <c r="N15" s="10">
        <f>pricer_sf!P16</f>
        <v>8.2191780821917804E-2</v>
      </c>
      <c r="O15" s="10">
        <f>pricer_sf!Q16</f>
        <v>0</v>
      </c>
      <c r="P15" s="10">
        <f>pricer_sf!R16</f>
        <v>0.26</v>
      </c>
      <c r="Q15" s="10">
        <f>pricer_sf!S16</f>
        <v>-2.7681807157093039</v>
      </c>
      <c r="R15" s="10">
        <f>pricer_sf!T16</f>
        <v>0</v>
      </c>
      <c r="S15" s="10">
        <f>pricer_sf!U16</f>
        <v>0</v>
      </c>
      <c r="T15" s="13">
        <f>pricer_sf!V16</f>
        <v>2.7681807157093039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G31" sqref="G31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58" t="s">
        <v>38</v>
      </c>
      <c r="C1" s="158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43278</v>
      </c>
      <c r="N8" s="21">
        <f ca="1">M8+O8</f>
        <v>43308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>
        <f>T8/10000*P8*H8</f>
        <v>0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43278</v>
      </c>
      <c r="N9" s="8">
        <f ca="1">M9+O9</f>
        <v>43458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210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43278</v>
      </c>
      <c r="N11" s="8">
        <f t="shared" ref="N11:N16" ca="1" si="2">M11+O11</f>
        <v>43369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211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43278</v>
      </c>
      <c r="N12" s="8">
        <f t="shared" ca="1" si="2"/>
        <v>43369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5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212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43278</v>
      </c>
      <c r="N13" s="8">
        <f t="shared" ca="1" si="2"/>
        <v>43369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210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43278</v>
      </c>
      <c r="N14" s="8">
        <f t="shared" ca="1" si="2"/>
        <v>43461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211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43278</v>
      </c>
      <c r="N15" s="8">
        <f t="shared" ca="1" si="2"/>
        <v>43461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212</v>
      </c>
      <c r="G16" s="10" t="s">
        <v>48</v>
      </c>
      <c r="H16" s="11">
        <v>100</v>
      </c>
      <c r="I16" s="10">
        <v>100</v>
      </c>
      <c r="J16" s="10">
        <v>119</v>
      </c>
      <c r="K16" s="10">
        <f>_xll.dnetDiscreteAdjustedBarrier($H16,$J16,$R16,1/365)</f>
        <v>119.94725557967286</v>
      </c>
      <c r="L16" s="37">
        <v>0.05</v>
      </c>
      <c r="M16" s="8">
        <f t="shared" ca="1" si="1"/>
        <v>43278</v>
      </c>
      <c r="N16" s="8">
        <f t="shared" ca="1" si="2"/>
        <v>43308</v>
      </c>
      <c r="O16" s="10">
        <v>30</v>
      </c>
      <c r="P16" s="12">
        <f t="shared" si="3"/>
        <v>8.2191780821917804E-2</v>
      </c>
      <c r="Q16" s="12">
        <v>0</v>
      </c>
      <c r="R16" s="9">
        <v>0.26</v>
      </c>
      <c r="S16" s="13">
        <f>_xll.dnetStandardBarrierNGreeks("price",G16,H16,I16,K16,L16*H16,P16,$C$3,Q16,R16,$C$4)*E16</f>
        <v>-2.7681807157093039</v>
      </c>
      <c r="T16" s="15">
        <v>0</v>
      </c>
      <c r="U16" s="13">
        <f t="shared" si="4"/>
        <v>0</v>
      </c>
      <c r="V16" s="13">
        <f t="shared" si="5"/>
        <v>2.7681807157093039</v>
      </c>
      <c r="W16" s="14">
        <f t="shared" si="6"/>
        <v>2.7681807157093039E-2</v>
      </c>
      <c r="X16" s="13">
        <f>_xll.dnetStandardBarrierNGreeks("delta",G16,H16,I16,K16,L16*H16,P16,$C$3,Q16,R16,$C$4)</f>
        <v>0.43876192984053652</v>
      </c>
      <c r="Y16" s="13">
        <f>_xll.dnetStandardBarrierNGreeks("vega",G16,H16,I16,K16,L16*H16,P16,$C$3,Q16,R16,$C$4)</f>
        <v>6.2170358668116155E-2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2018-06-27T07:36:13Z</dcterms:modified>
</cp:coreProperties>
</file>