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1"/>
  </bookViews>
  <sheets>
    <sheet name="quate_van" sheetId="6" r:id="rId1"/>
    <sheet name="recap" sheetId="2" r:id="rId2"/>
    <sheet name="pricer_van" sheetId="1" r:id="rId3"/>
    <sheet name="pricer_combo" sheetId="9" r:id="rId4"/>
    <sheet name="quote_sf" sheetId="10" r:id="rId5"/>
    <sheet name="ref_vol_table" sheetId="4" r:id="rId6"/>
    <sheet name="pricer_sf" sheetId="8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I13" i="1" l="1"/>
  <c r="R13" i="1"/>
  <c r="E13" i="1"/>
  <c r="F13" i="1" s="1"/>
  <c r="P13" i="1"/>
  <c r="G13" i="1" l="1"/>
  <c r="X13" i="1" s="1"/>
  <c r="N13" i="1"/>
  <c r="X11" i="1"/>
  <c r="I11" i="1"/>
  <c r="R11" i="1"/>
  <c r="E11" i="1"/>
  <c r="F11" i="1" s="1"/>
  <c r="R8" i="1"/>
  <c r="I8" i="1"/>
  <c r="E8" i="1"/>
  <c r="F8" i="1" s="1"/>
  <c r="V13" i="1"/>
  <c r="L13" i="1"/>
  <c r="U13" i="1"/>
  <c r="P8" i="1"/>
  <c r="L11" i="1"/>
  <c r="L8" i="1"/>
  <c r="Y13" i="1" l="1"/>
  <c r="O13" i="1"/>
  <c r="T13" i="1" s="1"/>
  <c r="N8" i="1"/>
  <c r="O8" i="1" s="1"/>
  <c r="T8" i="1" s="1"/>
  <c r="N11" i="1"/>
  <c r="O11" i="1" s="1"/>
  <c r="T11" i="1" s="1"/>
  <c r="D22" i="9"/>
  <c r="D23" i="9" s="1"/>
  <c r="U11" i="1"/>
  <c r="V8" i="1"/>
  <c r="U8" i="1"/>
  <c r="V11" i="1"/>
  <c r="Y11" i="1" l="1"/>
  <c r="F27" i="2"/>
  <c r="S40" i="2" l="1"/>
  <c r="K18" i="9" l="1"/>
  <c r="R22" i="9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18" i="9"/>
  <c r="P21" i="9"/>
  <c r="E22" i="9" l="1"/>
  <c r="E23" i="9" s="1"/>
  <c r="G18" i="9"/>
  <c r="G29" i="9"/>
  <c r="P22" i="9"/>
  <c r="I22" i="9"/>
  <c r="I23" i="9" s="1"/>
  <c r="I19" i="9"/>
  <c r="I20" i="9" s="1"/>
  <c r="E19" i="9"/>
  <c r="E20" i="9" s="1"/>
  <c r="P19" i="9"/>
  <c r="V21" i="9"/>
  <c r="U19" i="9"/>
  <c r="U18" i="9"/>
  <c r="L21" i="9"/>
  <c r="U22" i="9"/>
  <c r="V22" i="9"/>
  <c r="V18" i="9"/>
  <c r="U21" i="9"/>
  <c r="L22" i="9"/>
  <c r="L19" i="9"/>
  <c r="L18" i="9"/>
  <c r="V19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5" i="8"/>
  <c r="K16" i="8"/>
  <c r="P14" i="9"/>
  <c r="K11" i="8"/>
  <c r="K12" i="8"/>
  <c r="K13" i="8"/>
  <c r="K14" i="8"/>
  <c r="S14" i="8"/>
  <c r="I12" i="10" l="1"/>
  <c r="I15" i="10"/>
  <c r="I10" i="10"/>
  <c r="Q13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X14" i="8"/>
  <c r="Y14" i="8"/>
  <c r="S15" i="8"/>
  <c r="Y11" i="8"/>
  <c r="S11" i="8"/>
  <c r="X15" i="8"/>
  <c r="S16" i="8"/>
  <c r="Y12" i="8"/>
  <c r="L14" i="9"/>
  <c r="X11" i="8"/>
  <c r="Y15" i="8"/>
  <c r="U14" i="9"/>
  <c r="Y13" i="8"/>
  <c r="X13" i="8"/>
  <c r="V14" i="9"/>
  <c r="X16" i="8"/>
  <c r="Y16" i="8"/>
  <c r="S13" i="8"/>
  <c r="S12" i="8"/>
  <c r="X12" i="8"/>
  <c r="Q10" i="10" l="1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L15" i="9"/>
  <c r="U15" i="9"/>
  <c r="V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P9" i="1"/>
  <c r="N9" i="1" l="1"/>
  <c r="V9" i="1"/>
  <c r="U9" i="1"/>
  <c r="L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9" i="9"/>
  <c r="L8" i="9"/>
  <c r="U8" i="9"/>
  <c r="V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7"/>
  <c r="U10" i="7"/>
  <c r="T10" i="7"/>
  <c r="O9" i="7"/>
  <c r="T9" i="7"/>
  <c r="K9" i="8"/>
  <c r="H8" i="8"/>
  <c r="O10" i="7"/>
  <c r="U9" i="7"/>
  <c r="U8" i="8" l="1"/>
  <c r="Q9" i="7"/>
  <c r="R9" i="7" s="1"/>
  <c r="S9" i="7" s="1"/>
  <c r="Q10" i="7"/>
  <c r="R10" i="7" s="1"/>
  <c r="S10" i="7" s="1"/>
  <c r="Q8" i="7"/>
  <c r="K8" i="8"/>
  <c r="U8" i="7"/>
  <c r="Y9" i="8"/>
  <c r="O8" i="7"/>
  <c r="X9" i="8"/>
  <c r="S9" i="8"/>
  <c r="T8" i="7"/>
  <c r="V9" i="8" l="1"/>
  <c r="W9" i="8" s="1"/>
  <c r="R8" i="7"/>
  <c r="S8" i="7" s="1"/>
  <c r="S8" i="8"/>
  <c r="Y8" i="8"/>
  <c r="X8" i="8"/>
  <c r="V8" i="8" l="1"/>
  <c r="W8" i="8" s="1"/>
  <c r="G12" i="9" l="1"/>
  <c r="G13" i="9" s="1"/>
  <c r="V11" i="9"/>
  <c r="L11" i="9"/>
  <c r="V12" i="9"/>
  <c r="U11" i="9"/>
  <c r="L12" i="9"/>
  <c r="U12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<sst xmlns="http://schemas.openxmlformats.org/spreadsheetml/2006/main" count="718" uniqueCount="231">
  <si>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</si>
  <si>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</si>
  <si>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</si>
  <si>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</si>
  <si>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</si>
  <si>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</si>
  <si>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</si>
  <si>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</si>
  <si>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</si>
  <si>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</si>
  <si>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</si>
  <si>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</si>
  <si>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</si>
  <si>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</si>
  <si>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</si>
  <si>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</si>
  <si>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</si>
  <si>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</si>
  <si>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</si>
  <si>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</si>
  <si>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</si>
  <si>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</si>
  <si>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</si>
  <si>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</si>
  <si>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</si>
  <si>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</si>
  <si>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</si>
  <si>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</si>
  <si>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</si>
  <si>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</si>
  <si>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</si>
  <si>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</si>
  <si>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</si>
  <si>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</si>
  <si>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</si>
  <si>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</si>
  <si>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</si>
  <si>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</si>
  <si>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</si>
  <si>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</si>
  <si>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</si>
  <si>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</si>
  <si>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</si>
  <si>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</si>
  <si>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</si>
  <si>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</si>
  <si>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</si>
  <si>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</si>
  <si>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</si>
  <si>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</si>
  <si>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</si>
  <si>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</si>
  <si>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</si>
  <si>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</si>
  <si>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</si>
  <si>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</si>
  <si>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</si>
  <si>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</si>
  <si>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</si>
  <si>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</si>
  <si>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</si>
  <si>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</si>
  <si>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</si>
  <si>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</si>
  <si>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</si>
  <si>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</si>
  <si>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</si>
  <si>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</si>
  <si>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</si>
  <si>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</si>
  <si>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</si>
  <si>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</si>
  <si>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</si>
  <si>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</si>
  <si>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</si>
  <si>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</si>
  <si>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</si>
  <si>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</si>
  <si>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</si>
  <si>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</si>
  <si>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</si>
  <si>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</si>
  <si>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</si>
  <si>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</si>
  <si>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</si>
  <si>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</si>
  <si>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</si>
  <si>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</si>
  <si>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</si>
  <si>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</si>
  <si>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</si>
  <si>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</si>
  <si>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</si>
  <si>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</si>
  <si>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</si>
  <si>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</si>
  <si>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</si>
  <si>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</si>
  <si>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</si>
  <si>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</si>
  <si>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</si>
  <si>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</si>
  <si>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</si>
  <si>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</si>
  <si>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</si>
  <si>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</si>
  <si>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</si>
  <si>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</si>
  <si>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</si>
  <si>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</si>
  <si>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</si>
  <si>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</si>
  <si>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</si>
  <si>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</si>
  <si>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</si>
  <si>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</si>
  <si>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</si>
  <si>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</si>
  <si>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</si>
  <si>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</si>
  <si>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</si>
  <si>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</si>
  <si>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</si>
  <si>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</si>
  <si>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</si>
  <si>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</si>
  <si>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</si>
  <si>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</si>
  <si>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</si>
  <si>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</si>
  <si>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</si>
  <si>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</si>
  <si>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</si>
  <si>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</si>
  <si>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</si>
  <si>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</si>
  <si>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</si>
  <si>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</si>
  <si>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</si>
  <si>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</si>
  <si>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</si>
  <si>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</si>
  <si>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</si>
  <si>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</si>
  <si>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</si>
  <si>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</si>
  <si>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</si>
  <si>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</si>
  <si>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</si>
  <si>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</si>
  <si>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</si>
  <si>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</si>
  <si>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</si>
  <si>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</si>
  <si>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</si>
  <si>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</si>
  <si>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</si>
  <si>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</si>
  <si>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</si>
  <si>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</si>
  <si>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</si>
  <si>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</si>
  <si>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</si>
  <si>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</si>
  <si>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</si>
  <si>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</si>
  <si>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</si>
  <si>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</si>
  <si>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</si>
  <si>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</si>
  <si>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</si>
  <si>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</si>
  <si>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</si>
  <si>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</si>
  <si>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</si>
  <si>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</si>
  <si>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</si>
  <si>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</si>
  <si>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</si>
  <si>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</si>
  <si>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</si>
  <si>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</si>
  <si>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</si>
  <si>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</si>
  <si>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</si>
  <si>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</si>
  <si>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</si>
  <si>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</si>
  <si>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</si>
  <si>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</si>
  <si>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</si>
  <si>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</si>
  <si>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</si>
  <si>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</si>
  <si>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</si>
  <si>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</si>
  <si>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</si>
  <si>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</si>
  <si>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</si>
  <si>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</si>
  <si>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</si>
  <si>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last_trd_date</t>
    <phoneticPr fontId="7" type="noConversion"/>
  </si>
  <si>
    <t>i1809</t>
    <phoneticPr fontId="1" type="noConversion"/>
  </si>
  <si>
    <t>al1808</t>
    <phoneticPr fontId="1" type="noConversion"/>
  </si>
  <si>
    <t>成交回报 - rr1</t>
    <phoneticPr fontId="1" type="noConversion"/>
  </si>
  <si>
    <t>中金公司</t>
  </si>
  <si>
    <t>RMB</t>
    <phoneticPr fontId="1" type="noConversion"/>
  </si>
  <si>
    <t>成交回报(平仓交易)</t>
    <phoneticPr fontId="1" type="noConversion"/>
  </si>
  <si>
    <t>RMB</t>
  </si>
  <si>
    <t xml:space="preserve">    看跌期权 </t>
    <phoneticPr fontId="1" type="noConversion"/>
  </si>
  <si>
    <t>ni1809</t>
    <phoneticPr fontId="1" type="noConversion"/>
  </si>
  <si>
    <t>al1807</t>
    <phoneticPr fontId="1" type="noConversion"/>
  </si>
  <si>
    <t>rb1810</t>
    <phoneticPr fontId="1" type="noConversion"/>
  </si>
  <si>
    <t>i1809</t>
    <phoneticPr fontId="1" type="noConversion"/>
  </si>
  <si>
    <t>ru1809</t>
    <phoneticPr fontId="1" type="noConversion"/>
  </si>
  <si>
    <t>sc1809</t>
    <phoneticPr fontId="1" type="noConversion"/>
  </si>
  <si>
    <t>i</t>
    <phoneticPr fontId="1" type="noConversion"/>
  </si>
  <si>
    <t>ru</t>
    <phoneticPr fontId="1" type="noConversion"/>
  </si>
  <si>
    <t>sc</t>
    <phoneticPr fontId="1" type="noConversion"/>
  </si>
  <si>
    <t>中信寰球</t>
    <phoneticPr fontId="1" type="noConversion"/>
  </si>
  <si>
    <t>看跌期权</t>
    <phoneticPr fontId="1" type="noConversion"/>
  </si>
  <si>
    <t>cu1808</t>
  </si>
  <si>
    <t>cu1808</t>
    <phoneticPr fontId="1" type="noConversion"/>
  </si>
  <si>
    <t>al1807</t>
    <phoneticPr fontId="1" type="noConversion"/>
  </si>
  <si>
    <t xml:space="preserve">成交回报(平仓) </t>
    <phoneticPr fontId="1" type="noConversion"/>
  </si>
  <si>
    <t>江铜国贸</t>
    <phoneticPr fontId="1" type="noConversion"/>
  </si>
  <si>
    <t>p1809</t>
  </si>
  <si>
    <t>RB1810</t>
  </si>
  <si>
    <t>RB1810</t>
    <phoneticPr fontId="1" type="noConversion"/>
  </si>
  <si>
    <t>cu1807</t>
    <phoneticPr fontId="1" type="noConversion"/>
  </si>
  <si>
    <t>中天科技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</si>
</sst>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"/>
    <numFmt numFmtId="177" formatCode="0.0000"/>
    <numFmt numFmtId="178" formatCode="###,###,##0"/>
    <numFmt numFmtId="179" formatCode="###,###,##0.0"/>
    <numFmt numFmtId="180" formatCode="#,##0.0_ 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2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180" fontId="12" fillId="9" borderId="6" xfId="0" applyNumberFormat="1" applyFont="1" applyFill="1" applyBorder="1"/>
    <xf numFmtId="180" fontId="5" fillId="6" borderId="0" xfId="0" applyNumberFormat="1" applyFont="1" applyFill="1"/>
    <xf numFmtId="178" fontId="5" fillId="6" borderId="0" xfId="0" applyNumberFormat="1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31" fillId="10" borderId="16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 t="e">
        <v>#N/A</v>
        <stp/>
        <stp>cu1808</stp>
        <stp>LastPrice</stp>
        <tr r="P18" s="9"/>
      </tp>
      <tp>
        <v>51760</v>
        <stp/>
        <stp>cu1807</stp>
        <stp>LastPrice</stp>
        <tr r="P13" s="1"/>
      </tp>
      <tp>
        <v>14520</v>
        <stp/>
        <stp>al1808</stp>
        <stp>LastPrice</stp>
        <tr r="P9" s="1"/>
        <tr r="P8" s="1"/>
      </tp>
      <tp>
        <v>465.5</v>
        <stp/>
        <stp>i1809</stp>
        <stp>LastPrice</stp>
        <tr r="P11" s="9"/>
        <tr r="P21" s="9"/>
      </tp>
      <tp>
        <v>3558</v>
        <stp/>
        <stp>rb1810</stp>
        <stp>LastPrice</stp>
        <tr r="P14" s="9"/>
      </tp>
      <tp>
        <v>3922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16"/>
  <sheetViews>
    <sheetView zoomScaleNormal="100" workbookViewId="0">
      <selection activeCell="W2" sqref="W2:W3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16" t="s">
        <v>158</v>
      </c>
      <c r="C1" s="116"/>
      <c r="D1" s="116"/>
    </row>
    <row r="2" spans="2:18" ht="12" thickTop="1" x14ac:dyDescent="0.15"/>
    <row r="3" spans="2:18" ht="13.5" x14ac:dyDescent="0.15">
      <c r="I3" s="112" t="s">
        <v>201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185</v>
      </c>
      <c r="D9" s="93">
        <v>43215</v>
      </c>
      <c r="E9" s="93">
        <v>43245</v>
      </c>
      <c r="F9" s="92">
        <v>3400</v>
      </c>
      <c r="G9" s="92">
        <v>30</v>
      </c>
      <c r="H9" s="92">
        <v>7.6712328767123292E-2</v>
      </c>
      <c r="I9" s="92">
        <v>0</v>
      </c>
      <c r="J9" s="92">
        <v>0.20499999999999999</v>
      </c>
      <c r="K9" s="92">
        <v>24.313302977530157</v>
      </c>
      <c r="L9" s="92">
        <v>0</v>
      </c>
      <c r="M9" s="92">
        <v>0</v>
      </c>
      <c r="N9" s="99">
        <v>24.313302977530157</v>
      </c>
      <c r="O9" s="92">
        <v>3555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185</v>
      </c>
      <c r="D10" s="93">
        <v>43215</v>
      </c>
      <c r="E10" s="93">
        <v>43245</v>
      </c>
      <c r="F10" s="92">
        <v>3350</v>
      </c>
      <c r="G10" s="92">
        <v>30</v>
      </c>
      <c r="H10" s="92">
        <v>7.6712328767123292E-2</v>
      </c>
      <c r="I10" s="92">
        <v>0</v>
      </c>
      <c r="J10" s="92">
        <v>0.2</v>
      </c>
      <c r="K10" s="92">
        <v>13.829456332751647</v>
      </c>
      <c r="L10" s="92">
        <v>0</v>
      </c>
      <c r="M10" s="92">
        <v>0</v>
      </c>
      <c r="N10" s="99">
        <v>13.829456332751647</v>
      </c>
      <c r="O10" s="92">
        <v>3555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185</v>
      </c>
      <c r="D11" s="93">
        <v>43215</v>
      </c>
      <c r="E11" s="93">
        <v>43245</v>
      </c>
      <c r="F11" s="92">
        <v>3300</v>
      </c>
      <c r="G11" s="92">
        <v>30</v>
      </c>
      <c r="H11" s="92">
        <v>7.6712328767123292E-2</v>
      </c>
      <c r="I11" s="92">
        <v>0</v>
      </c>
      <c r="J11" s="92">
        <v>0.19</v>
      </c>
      <c r="K11" s="92">
        <v>6.390814376368553</v>
      </c>
      <c r="L11" s="92">
        <v>0</v>
      </c>
      <c r="M11" s="92">
        <v>0</v>
      </c>
      <c r="N11" s="99">
        <v>6.390814376368553</v>
      </c>
      <c r="O11" s="92">
        <v>3555</v>
      </c>
      <c r="P11" s="92" t="s">
        <v>85</v>
      </c>
      <c r="Q11" s="92">
        <v>1</v>
      </c>
      <c r="R11" s="92" t="s">
        <v>151</v>
      </c>
    </row>
    <row r="12" spans="2:18" x14ac:dyDescent="0.15">
      <c r="B12" s="91" t="s">
        <v>2</v>
      </c>
      <c r="C12" s="33" t="s">
        <v>181</v>
      </c>
      <c r="D12" s="33" t="s">
        <v>180</v>
      </c>
      <c r="E12" s="33" t="s">
        <v>10</v>
      </c>
      <c r="F12" s="33" t="s">
        <v>184</v>
      </c>
      <c r="G12" s="33" t="s">
        <v>11</v>
      </c>
      <c r="H12" s="33" t="s">
        <v>12</v>
      </c>
      <c r="I12" s="33" t="s">
        <v>47</v>
      </c>
      <c r="J12" s="33" t="s">
        <v>13</v>
      </c>
      <c r="K12" s="33" t="s">
        <v>14</v>
      </c>
      <c r="L12" s="33" t="s">
        <v>26</v>
      </c>
      <c r="M12" s="33" t="s">
        <v>28</v>
      </c>
      <c r="N12" s="33" t="s">
        <v>182</v>
      </c>
      <c r="O12" s="33" t="s">
        <v>8</v>
      </c>
      <c r="P12" s="33" t="s">
        <v>23</v>
      </c>
      <c r="Q12" s="33"/>
      <c r="R12" s="33" t="s">
        <v>30</v>
      </c>
    </row>
    <row r="13" spans="2:18" x14ac:dyDescent="0.15">
      <c r="B13" s="92" t="s">
        <v>160</v>
      </c>
      <c r="C13" s="92" t="s">
        <v>226</v>
      </c>
      <c r="D13" s="93">
        <v>43215</v>
      </c>
      <c r="E13" s="93">
        <v>43306</v>
      </c>
      <c r="F13" s="92">
        <v>4500</v>
      </c>
      <c r="G13" s="92">
        <v>91</v>
      </c>
      <c r="H13" s="92">
        <v>0.24383561643835616</v>
      </c>
      <c r="I13" s="92">
        <v>0</v>
      </c>
      <c r="J13" s="92">
        <v>0.1</v>
      </c>
      <c r="K13" s="92">
        <v>1.4038573266967802</v>
      </c>
      <c r="L13" s="92">
        <v>0</v>
      </c>
      <c r="M13" s="92">
        <v>0</v>
      </c>
      <c r="N13" s="99">
        <v>1.4038573266967802</v>
      </c>
      <c r="O13" s="92">
        <v>4998</v>
      </c>
      <c r="P13" s="92" t="s">
        <v>85</v>
      </c>
      <c r="Q13" s="92">
        <v>1</v>
      </c>
      <c r="R13" s="92" t="s">
        <v>151</v>
      </c>
    </row>
    <row r="14" spans="2:18" x14ac:dyDescent="0.15">
      <c r="B14" s="92" t="s">
        <v>160</v>
      </c>
      <c r="C14" s="92" t="s">
        <v>226</v>
      </c>
      <c r="D14" s="93">
        <v>43215</v>
      </c>
      <c r="E14" s="93">
        <v>43306</v>
      </c>
      <c r="F14" s="92">
        <v>5300</v>
      </c>
      <c r="G14" s="92">
        <v>91</v>
      </c>
      <c r="H14" s="92">
        <v>0.24383561643835616</v>
      </c>
      <c r="I14" s="92">
        <v>0</v>
      </c>
      <c r="J14" s="92">
        <v>0.1</v>
      </c>
      <c r="K14" s="92">
        <v>14.535158539548092</v>
      </c>
      <c r="L14" s="92">
        <v>0</v>
      </c>
      <c r="M14" s="92">
        <v>0</v>
      </c>
      <c r="N14" s="99">
        <v>14.535158539548092</v>
      </c>
      <c r="O14" s="92">
        <v>4998</v>
      </c>
      <c r="P14" s="92" t="s">
        <v>39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227</v>
      </c>
      <c r="D16" s="93">
        <v>43215</v>
      </c>
      <c r="E16" s="93">
        <v>43222</v>
      </c>
      <c r="F16" s="92">
        <v>3700</v>
      </c>
      <c r="G16" s="92">
        <v>7</v>
      </c>
      <c r="H16" s="92">
        <v>1.9178082191780823E-2</v>
      </c>
      <c r="I16" s="92">
        <v>0</v>
      </c>
      <c r="J16" s="92">
        <v>0.24</v>
      </c>
      <c r="K16" s="92">
        <v>-77.722369716806043</v>
      </c>
      <c r="L16" s="92"/>
      <c r="M16" s="92">
        <v>0</v>
      </c>
      <c r="N16" s="99">
        <v>80</v>
      </c>
      <c r="O16" s="92">
        <v>3650</v>
      </c>
      <c r="P16" s="92" t="s">
        <v>85</v>
      </c>
      <c r="Q16" s="92">
        <v>-1</v>
      </c>
      <c r="R16" s="92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tabSelected="1" zoomScale="115" zoomScaleNormal="115" workbookViewId="0">
      <pane ySplit="17" topLeftCell="A24" activePane="bottomLeft" state="frozen"/>
      <selection pane="bottomLeft" activeCell="L41" sqref="L41:M41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32" t="s">
        <v>118</v>
      </c>
      <c r="C1" s="132"/>
    </row>
    <row r="2" spans="2:20" ht="11.25" thickTop="1" x14ac:dyDescent="0.15"/>
    <row r="3" spans="2:20" ht="11.25" thickBot="1" x14ac:dyDescent="0.2">
      <c r="B3" s="133" t="s">
        <v>119</v>
      </c>
      <c r="C3" s="133"/>
      <c r="D3" s="133"/>
      <c r="E3" s="133"/>
      <c r="G3" s="137" t="s">
        <v>120</v>
      </c>
      <c r="H3" s="137"/>
      <c r="I3" s="137"/>
      <c r="J3" s="137"/>
      <c r="L3" s="133" t="s">
        <v>165</v>
      </c>
      <c r="M3" s="133"/>
      <c r="N3" s="133"/>
      <c r="O3" s="133"/>
      <c r="Q3" s="137" t="s">
        <v>166</v>
      </c>
      <c r="R3" s="137"/>
      <c r="S3" s="137"/>
      <c r="T3" s="137"/>
    </row>
    <row r="4" spans="2:20" ht="12" thickTop="1" thickBot="1" x14ac:dyDescent="0.2">
      <c r="B4" s="134" t="s">
        <v>121</v>
      </c>
      <c r="C4" s="134"/>
      <c r="D4" s="134"/>
      <c r="E4" s="134"/>
      <c r="G4" s="134" t="s">
        <v>34</v>
      </c>
      <c r="H4" s="134"/>
      <c r="I4" s="134"/>
      <c r="J4" s="134"/>
      <c r="L4" s="134" t="s">
        <v>121</v>
      </c>
      <c r="M4" s="134"/>
      <c r="N4" s="134"/>
      <c r="O4" s="134"/>
      <c r="Q4" s="134" t="s">
        <v>34</v>
      </c>
      <c r="R4" s="134"/>
      <c r="S4" s="134"/>
      <c r="T4" s="134"/>
    </row>
    <row r="5" spans="2:20" ht="15" customHeight="1" thickTop="1" x14ac:dyDescent="0.15">
      <c r="B5" s="131" t="s">
        <v>122</v>
      </c>
      <c r="C5" s="131"/>
      <c r="D5" s="135"/>
      <c r="E5" s="136"/>
      <c r="G5" s="131" t="s">
        <v>123</v>
      </c>
      <c r="H5" s="131"/>
      <c r="I5" s="103"/>
      <c r="J5" s="104"/>
      <c r="L5" s="101" t="s">
        <v>122</v>
      </c>
      <c r="M5" s="102"/>
      <c r="N5" s="103"/>
      <c r="O5" s="104"/>
      <c r="Q5" s="131" t="s">
        <v>123</v>
      </c>
      <c r="R5" s="131"/>
      <c r="S5" s="103"/>
      <c r="T5" s="104"/>
    </row>
    <row r="6" spans="2:20" x14ac:dyDescent="0.15">
      <c r="B6" s="131" t="s">
        <v>124</v>
      </c>
      <c r="C6" s="131"/>
      <c r="D6" s="129" t="s">
        <v>125</v>
      </c>
      <c r="E6" s="130"/>
      <c r="G6" s="131" t="s">
        <v>126</v>
      </c>
      <c r="H6" s="131"/>
      <c r="I6" s="129"/>
      <c r="J6" s="130"/>
      <c r="L6" s="131" t="s">
        <v>124</v>
      </c>
      <c r="M6" s="131"/>
      <c r="N6" s="129" t="s">
        <v>125</v>
      </c>
      <c r="O6" s="130"/>
      <c r="Q6" s="131" t="s">
        <v>126</v>
      </c>
      <c r="R6" s="131"/>
      <c r="S6" s="129"/>
      <c r="T6" s="130"/>
    </row>
    <row r="7" spans="2:20" ht="2.25" customHeight="1" x14ac:dyDescent="0.15">
      <c r="B7" s="131" t="s">
        <v>127</v>
      </c>
      <c r="C7" s="131"/>
      <c r="D7" s="129" t="s">
        <v>125</v>
      </c>
      <c r="E7" s="130"/>
      <c r="G7" s="131" t="s">
        <v>128</v>
      </c>
      <c r="H7" s="131"/>
      <c r="I7" s="129"/>
      <c r="J7" s="130"/>
      <c r="L7" s="131" t="s">
        <v>127</v>
      </c>
      <c r="M7" s="131"/>
      <c r="N7" s="129" t="s">
        <v>125</v>
      </c>
      <c r="O7" s="130"/>
      <c r="Q7" s="131" t="s">
        <v>128</v>
      </c>
      <c r="R7" s="131"/>
      <c r="S7" s="129"/>
      <c r="T7" s="130"/>
    </row>
    <row r="8" spans="2:20" hidden="1" x14ac:dyDescent="0.15">
      <c r="B8" s="131" t="s">
        <v>129</v>
      </c>
      <c r="C8" s="131"/>
      <c r="D8" s="129">
        <f>D13*D15</f>
        <v>305000</v>
      </c>
      <c r="E8" s="130"/>
      <c r="G8" s="131" t="s">
        <v>130</v>
      </c>
      <c r="H8" s="131"/>
      <c r="I8" s="129"/>
      <c r="J8" s="130"/>
      <c r="L8" s="131" t="s">
        <v>129</v>
      </c>
      <c r="M8" s="131"/>
      <c r="N8" s="129">
        <f>N14*N16</f>
        <v>305000</v>
      </c>
      <c r="O8" s="130"/>
      <c r="Q8" s="131" t="s">
        <v>130</v>
      </c>
      <c r="R8" s="131"/>
      <c r="S8" s="129"/>
      <c r="T8" s="130"/>
    </row>
    <row r="9" spans="2:20" hidden="1" x14ac:dyDescent="0.15">
      <c r="B9" s="131" t="s">
        <v>131</v>
      </c>
      <c r="C9" s="131"/>
      <c r="D9" s="129" t="s">
        <v>132</v>
      </c>
      <c r="E9" s="130"/>
      <c r="G9" s="131" t="s">
        <v>133</v>
      </c>
      <c r="H9" s="131"/>
      <c r="I9" s="129"/>
      <c r="J9" s="130"/>
      <c r="L9" s="131" t="s">
        <v>131</v>
      </c>
      <c r="M9" s="131"/>
      <c r="N9" s="129" t="s">
        <v>132</v>
      </c>
      <c r="O9" s="130"/>
      <c r="Q9" s="131" t="s">
        <v>133</v>
      </c>
      <c r="R9" s="131"/>
      <c r="S9" s="129"/>
      <c r="T9" s="130"/>
    </row>
    <row r="10" spans="2:20" hidden="1" x14ac:dyDescent="0.15">
      <c r="B10" s="131" t="s">
        <v>134</v>
      </c>
      <c r="C10" s="131"/>
      <c r="D10" s="129">
        <v>43084</v>
      </c>
      <c r="E10" s="130"/>
      <c r="G10" s="105" t="s">
        <v>135</v>
      </c>
      <c r="H10" s="105"/>
      <c r="I10" s="129"/>
      <c r="J10" s="130"/>
      <c r="L10" s="131" t="s">
        <v>134</v>
      </c>
      <c r="M10" s="131"/>
      <c r="N10" s="129">
        <v>43084</v>
      </c>
      <c r="O10" s="130"/>
      <c r="Q10" s="105" t="s">
        <v>135</v>
      </c>
      <c r="R10" s="105"/>
      <c r="S10" s="129"/>
      <c r="T10" s="130"/>
    </row>
    <row r="11" spans="2:20" hidden="1" x14ac:dyDescent="0.15">
      <c r="B11" s="131" t="s">
        <v>136</v>
      </c>
      <c r="C11" s="131"/>
      <c r="D11" s="129">
        <v>3935</v>
      </c>
      <c r="E11" s="130"/>
      <c r="G11" s="131" t="s">
        <v>137</v>
      </c>
      <c r="H11" s="131"/>
      <c r="I11" s="129"/>
      <c r="J11" s="130"/>
      <c r="L11" s="131" t="s">
        <v>136</v>
      </c>
      <c r="M11" s="131"/>
      <c r="N11" s="129">
        <v>3935</v>
      </c>
      <c r="O11" s="130"/>
      <c r="Q11" s="131" t="s">
        <v>137</v>
      </c>
      <c r="R11" s="131"/>
      <c r="S11" s="129"/>
      <c r="T11" s="130"/>
    </row>
    <row r="12" spans="2:20" hidden="1" x14ac:dyDescent="0.15">
      <c r="B12" s="131" t="s">
        <v>138</v>
      </c>
      <c r="C12" s="131"/>
      <c r="D12" s="129">
        <v>3800</v>
      </c>
      <c r="E12" s="130"/>
      <c r="G12" s="131" t="s">
        <v>139</v>
      </c>
      <c r="H12" s="131"/>
      <c r="I12" s="129"/>
      <c r="J12" s="130"/>
      <c r="L12" s="131" t="s">
        <v>163</v>
      </c>
      <c r="M12" s="131"/>
      <c r="N12" s="129">
        <v>3800</v>
      </c>
      <c r="O12" s="130"/>
      <c r="Q12" s="131" t="s">
        <v>167</v>
      </c>
      <c r="R12" s="131"/>
      <c r="S12" s="129"/>
      <c r="T12" s="130"/>
    </row>
    <row r="13" spans="2:20" hidden="1" x14ac:dyDescent="0.15">
      <c r="B13" s="131" t="s">
        <v>140</v>
      </c>
      <c r="C13" s="131"/>
      <c r="D13" s="129">
        <v>61</v>
      </c>
      <c r="E13" s="130"/>
      <c r="G13" s="131" t="s">
        <v>141</v>
      </c>
      <c r="H13" s="131"/>
      <c r="I13" s="129"/>
      <c r="J13" s="130"/>
      <c r="L13" s="131" t="s">
        <v>164</v>
      </c>
      <c r="M13" s="131"/>
      <c r="N13" s="129">
        <v>3800</v>
      </c>
      <c r="O13" s="130"/>
      <c r="Q13" s="131" t="s">
        <v>168</v>
      </c>
      <c r="R13" s="131"/>
      <c r="S13" s="129"/>
      <c r="T13" s="130"/>
    </row>
    <row r="14" spans="2:20" hidden="1" x14ac:dyDescent="0.15">
      <c r="B14" s="131" t="s">
        <v>142</v>
      </c>
      <c r="C14" s="131"/>
      <c r="D14" s="129" t="s">
        <v>143</v>
      </c>
      <c r="E14" s="130"/>
      <c r="G14" s="131" t="s">
        <v>144</v>
      </c>
      <c r="H14" s="131"/>
      <c r="I14" s="106"/>
      <c r="J14" s="107"/>
      <c r="L14" s="131" t="s">
        <v>140</v>
      </c>
      <c r="M14" s="131"/>
      <c r="N14" s="129">
        <v>61</v>
      </c>
      <c r="O14" s="130"/>
      <c r="Q14" s="131" t="s">
        <v>141</v>
      </c>
      <c r="R14" s="131"/>
      <c r="S14" s="129"/>
      <c r="T14" s="130"/>
    </row>
    <row r="15" spans="2:20" hidden="1" x14ac:dyDescent="0.15">
      <c r="B15" s="131" t="s">
        <v>145</v>
      </c>
      <c r="C15" s="131"/>
      <c r="D15" s="129">
        <v>5000</v>
      </c>
      <c r="E15" s="130"/>
      <c r="G15" s="131" t="s">
        <v>146</v>
      </c>
      <c r="H15" s="131"/>
      <c r="I15" s="129"/>
      <c r="J15" s="130"/>
      <c r="L15" s="131" t="s">
        <v>142</v>
      </c>
      <c r="M15" s="131"/>
      <c r="N15" s="129" t="s">
        <v>143</v>
      </c>
      <c r="O15" s="130"/>
      <c r="Q15" s="131" t="s">
        <v>144</v>
      </c>
      <c r="R15" s="131"/>
      <c r="S15" s="106"/>
      <c r="T15" s="107"/>
    </row>
    <row r="16" spans="2:20" ht="11.25" hidden="1" thickBot="1" x14ac:dyDescent="0.2">
      <c r="B16" s="126" t="s">
        <v>147</v>
      </c>
      <c r="C16" s="126"/>
      <c r="D16" s="127" t="s">
        <v>148</v>
      </c>
      <c r="E16" s="128"/>
      <c r="G16" s="126" t="s">
        <v>149</v>
      </c>
      <c r="H16" s="126"/>
      <c r="I16" s="127"/>
      <c r="J16" s="128"/>
      <c r="L16" s="131" t="s">
        <v>145</v>
      </c>
      <c r="M16" s="131"/>
      <c r="N16" s="129">
        <v>5000</v>
      </c>
      <c r="O16" s="130"/>
      <c r="Q16" s="131" t="s">
        <v>146</v>
      </c>
      <c r="R16" s="131"/>
      <c r="S16" s="129"/>
      <c r="T16" s="130"/>
    </row>
    <row r="17" spans="2:25" ht="12" hidden="1" thickTop="1" thickBot="1" x14ac:dyDescent="0.2">
      <c r="L17" s="126" t="s">
        <v>147</v>
      </c>
      <c r="M17" s="126"/>
      <c r="N17" s="127" t="s">
        <v>148</v>
      </c>
      <c r="O17" s="128"/>
      <c r="Q17" s="126" t="s">
        <v>149</v>
      </c>
      <c r="R17" s="126"/>
      <c r="S17" s="127"/>
      <c r="T17" s="128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24" t="s">
        <v>224</v>
      </c>
      <c r="C22" s="124"/>
      <c r="D22" s="124"/>
      <c r="E22" s="124"/>
      <c r="G22" s="124" t="s">
        <v>189</v>
      </c>
      <c r="H22" s="124"/>
      <c r="I22" s="124"/>
      <c r="J22" s="124"/>
      <c r="L22" s="134" t="s">
        <v>189</v>
      </c>
      <c r="M22" s="134"/>
      <c r="N22" s="134"/>
      <c r="O22" s="134"/>
      <c r="Q22" s="124" t="s">
        <v>188</v>
      </c>
      <c r="R22" s="124"/>
      <c r="S22" s="124"/>
      <c r="T22" s="124"/>
      <c r="V22" s="134" t="s">
        <v>189</v>
      </c>
      <c r="W22" s="134"/>
      <c r="X22" s="134"/>
      <c r="Y22" s="134"/>
    </row>
    <row r="23" spans="2:25" ht="12" thickTop="1" x14ac:dyDescent="0.15">
      <c r="B23" s="117" t="s">
        <v>122</v>
      </c>
      <c r="C23" s="117"/>
      <c r="D23" s="123">
        <v>43209</v>
      </c>
      <c r="E23" s="125"/>
      <c r="G23" s="117" t="s">
        <v>122</v>
      </c>
      <c r="H23" s="117"/>
      <c r="I23" s="123">
        <f ca="1">TODAY()</f>
        <v>43216</v>
      </c>
      <c r="J23" s="125"/>
      <c r="L23" s="117" t="s">
        <v>122</v>
      </c>
      <c r="M23" s="117"/>
      <c r="N23" s="123">
        <f ca="1">TODAY()</f>
        <v>43216</v>
      </c>
      <c r="O23" s="125"/>
      <c r="Q23" s="117" t="s">
        <v>122</v>
      </c>
      <c r="R23" s="117"/>
      <c r="S23" s="123">
        <f ca="1">TODAY()-1</f>
        <v>43215</v>
      </c>
      <c r="T23" s="125"/>
      <c r="V23" s="117" t="s">
        <v>122</v>
      </c>
      <c r="W23" s="117"/>
      <c r="X23" s="123">
        <f ca="1">TODAY()-1</f>
        <v>43215</v>
      </c>
      <c r="Y23" s="125"/>
    </row>
    <row r="24" spans="2:25" ht="11.25" x14ac:dyDescent="0.15">
      <c r="B24" s="117" t="s">
        <v>124</v>
      </c>
      <c r="C24" s="117"/>
      <c r="D24" s="118" t="s">
        <v>186</v>
      </c>
      <c r="E24" s="119"/>
      <c r="G24" s="117" t="s">
        <v>124</v>
      </c>
      <c r="H24" s="117"/>
      <c r="I24" s="118" t="s">
        <v>186</v>
      </c>
      <c r="J24" s="119"/>
      <c r="L24" s="117" t="s">
        <v>124</v>
      </c>
      <c r="M24" s="117"/>
      <c r="N24" s="118" t="s">
        <v>36</v>
      </c>
      <c r="O24" s="119"/>
      <c r="Q24" s="117" t="s">
        <v>124</v>
      </c>
      <c r="R24" s="117"/>
      <c r="S24" s="118" t="s">
        <v>36</v>
      </c>
      <c r="T24" s="119"/>
      <c r="V24" s="117" t="s">
        <v>124</v>
      </c>
      <c r="W24" s="117"/>
      <c r="X24" s="118" t="s">
        <v>36</v>
      </c>
      <c r="Y24" s="119"/>
    </row>
    <row r="25" spans="2:25" ht="11.25" x14ac:dyDescent="0.15">
      <c r="B25" s="117" t="s">
        <v>127</v>
      </c>
      <c r="C25" s="117"/>
      <c r="D25" s="118" t="s">
        <v>225</v>
      </c>
      <c r="E25" s="119"/>
      <c r="G25" s="117" t="s">
        <v>127</v>
      </c>
      <c r="H25" s="117"/>
      <c r="I25" s="118" t="s">
        <v>5</v>
      </c>
      <c r="J25" s="119"/>
      <c r="L25" s="117" t="s">
        <v>127</v>
      </c>
      <c r="M25" s="117"/>
      <c r="N25" s="118" t="s">
        <v>195</v>
      </c>
      <c r="O25" s="119"/>
      <c r="Q25" s="117" t="s">
        <v>127</v>
      </c>
      <c r="R25" s="117"/>
      <c r="S25" s="118" t="s">
        <v>187</v>
      </c>
      <c r="T25" s="119"/>
      <c r="V25" s="117" t="s">
        <v>127</v>
      </c>
      <c r="W25" s="117"/>
      <c r="X25" s="118" t="s">
        <v>187</v>
      </c>
      <c r="Y25" s="119"/>
    </row>
    <row r="26" spans="2:25" ht="11.25" x14ac:dyDescent="0.15">
      <c r="B26" s="117" t="s">
        <v>129</v>
      </c>
      <c r="C26" s="117"/>
      <c r="D26" s="118">
        <f>D31*D33</f>
        <v>290000</v>
      </c>
      <c r="E26" s="119"/>
      <c r="G26" s="117" t="s">
        <v>179</v>
      </c>
      <c r="H26" s="117"/>
      <c r="I26" s="118">
        <f>I31*I33</f>
        <v>271800</v>
      </c>
      <c r="J26" s="119"/>
      <c r="L26" s="117" t="s">
        <v>129</v>
      </c>
      <c r="M26" s="117"/>
      <c r="N26" s="118">
        <f>N31*N33</f>
        <v>275000</v>
      </c>
      <c r="O26" s="119"/>
      <c r="Q26" s="117" t="s">
        <v>129</v>
      </c>
      <c r="R26" s="117"/>
      <c r="S26" s="118">
        <f>S31*S33</f>
        <v>235799.99999999997</v>
      </c>
      <c r="T26" s="119"/>
      <c r="V26" s="117" t="s">
        <v>129</v>
      </c>
      <c r="W26" s="117"/>
      <c r="X26" s="118">
        <f>X31*X33</f>
        <v>235799.99999999997</v>
      </c>
      <c r="Y26" s="119"/>
    </row>
    <row r="27" spans="2:25" ht="11.25" x14ac:dyDescent="0.15">
      <c r="B27" s="117" t="s">
        <v>131</v>
      </c>
      <c r="C27" s="117"/>
      <c r="D27" s="118" t="s">
        <v>191</v>
      </c>
      <c r="E27" s="119"/>
      <c r="F27" s="100">
        <f>1160*250</f>
        <v>290000</v>
      </c>
      <c r="G27" s="117" t="s">
        <v>131</v>
      </c>
      <c r="H27" s="117"/>
      <c r="I27" s="118" t="s">
        <v>197</v>
      </c>
      <c r="J27" s="119"/>
      <c r="L27" s="117" t="s">
        <v>131</v>
      </c>
      <c r="M27" s="117"/>
      <c r="N27" s="118" t="s">
        <v>190</v>
      </c>
      <c r="O27" s="119"/>
      <c r="Q27" s="117" t="s">
        <v>131</v>
      </c>
      <c r="R27" s="117"/>
      <c r="S27" s="118" t="s">
        <v>191</v>
      </c>
      <c r="T27" s="119"/>
      <c r="V27" s="117" t="s">
        <v>131</v>
      </c>
      <c r="W27" s="117"/>
      <c r="X27" s="118" t="s">
        <v>190</v>
      </c>
      <c r="Y27" s="119"/>
    </row>
    <row r="28" spans="2:25" ht="11.25" x14ac:dyDescent="0.15">
      <c r="B28" s="117" t="s">
        <v>134</v>
      </c>
      <c r="C28" s="117"/>
      <c r="D28" s="123">
        <v>43222</v>
      </c>
      <c r="E28" s="119"/>
      <c r="G28" s="117" t="s">
        <v>134</v>
      </c>
      <c r="H28" s="117"/>
      <c r="I28" s="123">
        <v>43182</v>
      </c>
      <c r="J28" s="119"/>
      <c r="L28" s="117" t="s">
        <v>134</v>
      </c>
      <c r="M28" s="117"/>
      <c r="N28" s="123">
        <v>43219</v>
      </c>
      <c r="O28" s="119"/>
      <c r="Q28" s="117" t="s">
        <v>134</v>
      </c>
      <c r="R28" s="117"/>
      <c r="S28" s="123">
        <v>43201</v>
      </c>
      <c r="T28" s="119"/>
      <c r="V28" s="117" t="s">
        <v>134</v>
      </c>
      <c r="W28" s="117"/>
      <c r="X28" s="123">
        <v>43201</v>
      </c>
      <c r="Y28" s="119"/>
    </row>
    <row r="29" spans="2:25" ht="11.25" x14ac:dyDescent="0.15">
      <c r="B29" s="117" t="s">
        <v>136</v>
      </c>
      <c r="C29" s="117"/>
      <c r="D29" s="118">
        <v>108500</v>
      </c>
      <c r="E29" s="119"/>
      <c r="G29" s="117" t="s">
        <v>136</v>
      </c>
      <c r="H29" s="117"/>
      <c r="I29" s="118">
        <v>3856</v>
      </c>
      <c r="J29" s="119"/>
      <c r="L29" s="117" t="s">
        <v>136</v>
      </c>
      <c r="M29" s="117"/>
      <c r="N29" s="118">
        <v>3760</v>
      </c>
      <c r="O29" s="119"/>
      <c r="Q29" s="117" t="s">
        <v>136</v>
      </c>
      <c r="R29" s="117"/>
      <c r="S29" s="118">
        <v>524</v>
      </c>
      <c r="T29" s="119"/>
      <c r="V29" s="117" t="s">
        <v>136</v>
      </c>
      <c r="W29" s="117"/>
      <c r="X29" s="118">
        <v>524</v>
      </c>
      <c r="Y29" s="119"/>
    </row>
    <row r="30" spans="2:25" ht="11.25" x14ac:dyDescent="0.15">
      <c r="B30" s="117" t="s">
        <v>138</v>
      </c>
      <c r="C30" s="117"/>
      <c r="D30" s="118">
        <v>110000</v>
      </c>
      <c r="E30" s="119"/>
      <c r="G30" s="117" t="s">
        <v>138</v>
      </c>
      <c r="H30" s="117"/>
      <c r="I30" s="118">
        <v>3930</v>
      </c>
      <c r="J30" s="119"/>
      <c r="L30" s="117" t="s">
        <v>138</v>
      </c>
      <c r="M30" s="117"/>
      <c r="N30" s="118">
        <v>3700</v>
      </c>
      <c r="O30" s="119"/>
      <c r="Q30" s="117" t="s">
        <v>138</v>
      </c>
      <c r="R30" s="117"/>
      <c r="S30" s="118">
        <v>524</v>
      </c>
      <c r="T30" s="119"/>
      <c r="V30" s="117" t="s">
        <v>138</v>
      </c>
      <c r="W30" s="117"/>
      <c r="X30" s="118">
        <v>524</v>
      </c>
      <c r="Y30" s="119"/>
    </row>
    <row r="31" spans="2:25" ht="11.25" x14ac:dyDescent="0.15">
      <c r="B31" s="117" t="s">
        <v>140</v>
      </c>
      <c r="C31" s="117"/>
      <c r="D31" s="118">
        <v>1160</v>
      </c>
      <c r="E31" s="119"/>
      <c r="G31" s="117" t="s">
        <v>198</v>
      </c>
      <c r="H31" s="117"/>
      <c r="I31" s="118">
        <v>27.18</v>
      </c>
      <c r="J31" s="119"/>
      <c r="L31" s="117" t="s">
        <v>140</v>
      </c>
      <c r="M31" s="117"/>
      <c r="N31" s="118">
        <v>55</v>
      </c>
      <c r="O31" s="119"/>
      <c r="Q31" s="117" t="s">
        <v>140</v>
      </c>
      <c r="R31" s="117"/>
      <c r="S31" s="118">
        <v>23.58</v>
      </c>
      <c r="T31" s="119"/>
      <c r="V31" s="117" t="s">
        <v>140</v>
      </c>
      <c r="W31" s="117"/>
      <c r="X31" s="118">
        <v>23.58</v>
      </c>
      <c r="Y31" s="119"/>
    </row>
    <row r="32" spans="2:25" ht="11.25" x14ac:dyDescent="0.15">
      <c r="B32" s="117" t="s">
        <v>142</v>
      </c>
      <c r="C32" s="117"/>
      <c r="D32" s="118" t="s">
        <v>210</v>
      </c>
      <c r="E32" s="119"/>
      <c r="G32" s="117" t="s">
        <v>199</v>
      </c>
      <c r="H32" s="117"/>
      <c r="I32" s="118" t="s">
        <v>196</v>
      </c>
      <c r="J32" s="119"/>
      <c r="L32" s="117" t="s">
        <v>142</v>
      </c>
      <c r="M32" s="117"/>
      <c r="N32" s="118" t="s">
        <v>194</v>
      </c>
      <c r="O32" s="119"/>
      <c r="Q32" s="117" t="s">
        <v>142</v>
      </c>
      <c r="R32" s="117"/>
      <c r="S32" s="118" t="s">
        <v>192</v>
      </c>
      <c r="T32" s="119"/>
      <c r="V32" s="117" t="s">
        <v>142</v>
      </c>
      <c r="W32" s="117"/>
      <c r="X32" s="118" t="s">
        <v>192</v>
      </c>
      <c r="Y32" s="119"/>
    </row>
    <row r="33" spans="2:25" ht="11.25" x14ac:dyDescent="0.15">
      <c r="B33" s="117" t="s">
        <v>145</v>
      </c>
      <c r="C33" s="117"/>
      <c r="D33" s="118">
        <v>250</v>
      </c>
      <c r="E33" s="119"/>
      <c r="G33" s="117" t="s">
        <v>200</v>
      </c>
      <c r="H33" s="117"/>
      <c r="I33" s="118">
        <v>10000</v>
      </c>
      <c r="J33" s="119"/>
      <c r="L33" s="117" t="s">
        <v>145</v>
      </c>
      <c r="M33" s="117"/>
      <c r="N33" s="118">
        <v>5000</v>
      </c>
      <c r="O33" s="119"/>
      <c r="Q33" s="117" t="s">
        <v>145</v>
      </c>
      <c r="R33" s="117"/>
      <c r="S33" s="118">
        <v>10000</v>
      </c>
      <c r="T33" s="119"/>
      <c r="V33" s="117" t="s">
        <v>145</v>
      </c>
      <c r="W33" s="117"/>
      <c r="X33" s="118">
        <v>10000</v>
      </c>
      <c r="Y33" s="119"/>
    </row>
    <row r="34" spans="2:25" ht="12" thickBot="1" x14ac:dyDescent="0.2">
      <c r="B34" s="120" t="s">
        <v>147</v>
      </c>
      <c r="C34" s="120"/>
      <c r="D34" s="121" t="s">
        <v>148</v>
      </c>
      <c r="E34" s="122"/>
      <c r="G34" s="120" t="s">
        <v>147</v>
      </c>
      <c r="H34" s="120"/>
      <c r="I34" s="121" t="s">
        <v>148</v>
      </c>
      <c r="J34" s="122"/>
      <c r="L34" s="120" t="s">
        <v>147</v>
      </c>
      <c r="M34" s="120"/>
      <c r="N34" s="121" t="s">
        <v>148</v>
      </c>
      <c r="O34" s="122"/>
      <c r="Q34" s="120" t="s">
        <v>147</v>
      </c>
      <c r="R34" s="120"/>
      <c r="S34" s="121" t="s">
        <v>148</v>
      </c>
      <c r="T34" s="122"/>
      <c r="V34" s="120" t="s">
        <v>147</v>
      </c>
      <c r="W34" s="120"/>
      <c r="X34" s="121" t="s">
        <v>148</v>
      </c>
      <c r="Y34" s="122"/>
    </row>
    <row r="35" spans="2:25" ht="11.25" thickTop="1" x14ac:dyDescent="0.15"/>
    <row r="36" spans="2:25" ht="12" thickBot="1" x14ac:dyDescent="0.2">
      <c r="B36" s="124" t="s">
        <v>204</v>
      </c>
      <c r="C36" s="124"/>
      <c r="D36" s="124"/>
      <c r="E36" s="124"/>
      <c r="G36" s="124" t="s">
        <v>121</v>
      </c>
      <c r="H36" s="124"/>
      <c r="I36" s="124"/>
      <c r="J36" s="124"/>
      <c r="L36" s="124" t="s">
        <v>207</v>
      </c>
      <c r="M36" s="124"/>
      <c r="N36" s="124"/>
      <c r="O36" s="124"/>
      <c r="Q36" s="124" t="s">
        <v>121</v>
      </c>
      <c r="R36" s="124"/>
      <c r="S36" s="124"/>
      <c r="T36" s="124"/>
    </row>
    <row r="37" spans="2:25" ht="12" thickTop="1" x14ac:dyDescent="0.15">
      <c r="B37" s="117" t="s">
        <v>122</v>
      </c>
      <c r="C37" s="117"/>
      <c r="D37" s="123"/>
      <c r="E37" s="125"/>
      <c r="G37" s="117" t="s">
        <v>122</v>
      </c>
      <c r="H37" s="117"/>
      <c r="I37" s="123">
        <v>43216</v>
      </c>
      <c r="J37" s="125"/>
      <c r="L37" s="117" t="s">
        <v>122</v>
      </c>
      <c r="M37" s="117"/>
      <c r="N37" s="123">
        <v>43214</v>
      </c>
      <c r="O37" s="125"/>
      <c r="Q37" s="117" t="s">
        <v>122</v>
      </c>
      <c r="R37" s="117"/>
      <c r="S37" s="123">
        <v>43209</v>
      </c>
      <c r="T37" s="125"/>
    </row>
    <row r="38" spans="2:25" ht="11.25" x14ac:dyDescent="0.15">
      <c r="B38" s="117" t="s">
        <v>124</v>
      </c>
      <c r="C38" s="117"/>
      <c r="D38" s="118"/>
      <c r="E38" s="119"/>
      <c r="G38" s="117" t="s">
        <v>124</v>
      </c>
      <c r="H38" s="117"/>
      <c r="I38" s="118" t="s">
        <v>205</v>
      </c>
      <c r="J38" s="119"/>
      <c r="L38" s="117" t="s">
        <v>124</v>
      </c>
      <c r="M38" s="117"/>
      <c r="N38" s="118" t="s">
        <v>205</v>
      </c>
      <c r="O38" s="119"/>
      <c r="Q38" s="117" t="s">
        <v>124</v>
      </c>
      <c r="R38" s="117"/>
      <c r="S38" s="118" t="s">
        <v>219</v>
      </c>
      <c r="T38" s="119"/>
    </row>
    <row r="39" spans="2:25" ht="11.25" x14ac:dyDescent="0.15">
      <c r="B39" s="117" t="s">
        <v>127</v>
      </c>
      <c r="C39" s="117"/>
      <c r="D39" s="118"/>
      <c r="E39" s="119"/>
      <c r="G39" s="117" t="s">
        <v>127</v>
      </c>
      <c r="H39" s="117"/>
      <c r="I39" s="118" t="s">
        <v>230</v>
      </c>
      <c r="J39" s="119"/>
      <c r="L39" s="117" t="s">
        <v>127</v>
      </c>
      <c r="M39" s="117"/>
      <c r="N39" s="118" t="s">
        <v>4</v>
      </c>
      <c r="O39" s="119"/>
      <c r="Q39" s="117" t="s">
        <v>127</v>
      </c>
      <c r="R39" s="117"/>
      <c r="S39" s="118" t="s">
        <v>205</v>
      </c>
      <c r="T39" s="119"/>
    </row>
    <row r="40" spans="2:25" ht="11.25" x14ac:dyDescent="0.15">
      <c r="B40" s="117" t="s">
        <v>179</v>
      </c>
      <c r="C40" s="117"/>
      <c r="D40" s="118"/>
      <c r="E40" s="119"/>
      <c r="G40" s="117" t="s">
        <v>179</v>
      </c>
      <c r="H40" s="117"/>
      <c r="I40" s="118">
        <f>I45*I47</f>
        <v>400000</v>
      </c>
      <c r="J40" s="119"/>
      <c r="L40" s="117" t="s">
        <v>129</v>
      </c>
      <c r="M40" s="117"/>
      <c r="N40" s="118">
        <f>N45*N47</f>
        <v>2117500</v>
      </c>
      <c r="O40" s="119"/>
      <c r="Q40" s="117" t="s">
        <v>179</v>
      </c>
      <c r="R40" s="117"/>
      <c r="S40" s="118">
        <f>S45*S47</f>
        <v>1045200</v>
      </c>
      <c r="T40" s="119"/>
    </row>
    <row r="41" spans="2:25" ht="11.25" x14ac:dyDescent="0.15">
      <c r="B41" s="117" t="s">
        <v>131</v>
      </c>
      <c r="C41" s="117"/>
      <c r="D41" s="118"/>
      <c r="E41" s="119"/>
      <c r="G41" s="117" t="s">
        <v>131</v>
      </c>
      <c r="H41" s="117"/>
      <c r="I41" s="118" t="s">
        <v>220</v>
      </c>
      <c r="J41" s="119"/>
      <c r="L41" s="117" t="s">
        <v>131</v>
      </c>
      <c r="M41" s="117"/>
      <c r="N41" s="118" t="s">
        <v>209</v>
      </c>
      <c r="O41" s="119"/>
      <c r="Q41" s="117" t="s">
        <v>131</v>
      </c>
      <c r="R41" s="117"/>
      <c r="S41" s="118" t="s">
        <v>220</v>
      </c>
      <c r="T41" s="119"/>
    </row>
    <row r="42" spans="2:25" ht="11.25" x14ac:dyDescent="0.15">
      <c r="B42" s="117" t="s">
        <v>134</v>
      </c>
      <c r="C42" s="117"/>
      <c r="D42" s="123"/>
      <c r="E42" s="119"/>
      <c r="G42" s="117" t="s">
        <v>134</v>
      </c>
      <c r="H42" s="117"/>
      <c r="I42" s="123">
        <v>43293</v>
      </c>
      <c r="J42" s="119"/>
      <c r="L42" s="117" t="s">
        <v>134</v>
      </c>
      <c r="M42" s="117"/>
      <c r="N42" s="123">
        <v>43266</v>
      </c>
      <c r="O42" s="119"/>
      <c r="Q42" s="117" t="s">
        <v>134</v>
      </c>
      <c r="R42" s="117"/>
      <c r="S42" s="123">
        <v>43266</v>
      </c>
      <c r="T42" s="119"/>
    </row>
    <row r="43" spans="2:25" ht="11.25" x14ac:dyDescent="0.15">
      <c r="B43" s="117" t="s">
        <v>136</v>
      </c>
      <c r="C43" s="117"/>
      <c r="D43" s="118"/>
      <c r="E43" s="119"/>
      <c r="G43" s="117" t="s">
        <v>136</v>
      </c>
      <c r="H43" s="117"/>
      <c r="I43" s="118">
        <v>14545</v>
      </c>
      <c r="J43" s="119"/>
      <c r="L43" s="117" t="s">
        <v>136</v>
      </c>
      <c r="M43" s="138"/>
      <c r="N43" s="118">
        <v>14535</v>
      </c>
      <c r="O43" s="119"/>
      <c r="Q43" s="117" t="s">
        <v>136</v>
      </c>
      <c r="R43" s="117"/>
      <c r="S43" s="118">
        <v>15250</v>
      </c>
      <c r="T43" s="119"/>
    </row>
    <row r="44" spans="2:25" ht="11.25" x14ac:dyDescent="0.15">
      <c r="B44" s="117" t="s">
        <v>138</v>
      </c>
      <c r="C44" s="117"/>
      <c r="D44" s="118"/>
      <c r="E44" s="119"/>
      <c r="G44" s="117" t="s">
        <v>138</v>
      </c>
      <c r="H44" s="117"/>
      <c r="I44" s="118">
        <v>14000</v>
      </c>
      <c r="J44" s="119"/>
      <c r="L44" s="117" t="s">
        <v>138</v>
      </c>
      <c r="M44" s="117"/>
      <c r="N44" s="118">
        <v>14500</v>
      </c>
      <c r="O44" s="119"/>
      <c r="Q44" s="117" t="s">
        <v>138</v>
      </c>
      <c r="R44" s="117"/>
      <c r="S44" s="118">
        <v>14500</v>
      </c>
      <c r="T44" s="119"/>
    </row>
    <row r="45" spans="2:25" ht="11.25" x14ac:dyDescent="0.15">
      <c r="B45" s="117" t="s">
        <v>198</v>
      </c>
      <c r="C45" s="117"/>
      <c r="D45" s="118"/>
      <c r="E45" s="119"/>
      <c r="G45" s="117" t="s">
        <v>198</v>
      </c>
      <c r="H45" s="117"/>
      <c r="I45" s="118">
        <v>200</v>
      </c>
      <c r="J45" s="119"/>
      <c r="L45" s="117" t="s">
        <v>140</v>
      </c>
      <c r="M45" s="117"/>
      <c r="N45" s="118">
        <v>423.5</v>
      </c>
      <c r="O45" s="119"/>
      <c r="Q45" s="117" t="s">
        <v>198</v>
      </c>
      <c r="R45" s="117"/>
      <c r="S45" s="118">
        <v>209.04</v>
      </c>
      <c r="T45" s="119"/>
    </row>
    <row r="46" spans="2:25" ht="11.25" x14ac:dyDescent="0.15">
      <c r="B46" s="117" t="s">
        <v>199</v>
      </c>
      <c r="C46" s="117"/>
      <c r="D46" s="118"/>
      <c r="E46" s="119"/>
      <c r="G46" s="117" t="s">
        <v>142</v>
      </c>
      <c r="H46" s="117"/>
      <c r="I46" s="118" t="s">
        <v>203</v>
      </c>
      <c r="J46" s="119"/>
      <c r="L46" s="117" t="s">
        <v>142</v>
      </c>
      <c r="M46" s="117"/>
      <c r="N46" s="118" t="s">
        <v>211</v>
      </c>
      <c r="O46" s="119"/>
      <c r="Q46" s="117" t="s">
        <v>142</v>
      </c>
      <c r="R46" s="117"/>
      <c r="S46" s="118" t="s">
        <v>223</v>
      </c>
      <c r="T46" s="119"/>
    </row>
    <row r="47" spans="2:25" ht="11.25" x14ac:dyDescent="0.15">
      <c r="B47" s="117" t="s">
        <v>200</v>
      </c>
      <c r="C47" s="117"/>
      <c r="D47" s="118"/>
      <c r="E47" s="119"/>
      <c r="G47" s="117" t="s">
        <v>145</v>
      </c>
      <c r="H47" s="117"/>
      <c r="I47" s="118">
        <v>2000</v>
      </c>
      <c r="J47" s="119"/>
      <c r="L47" s="117" t="s">
        <v>145</v>
      </c>
      <c r="M47" s="117"/>
      <c r="N47" s="118">
        <v>5000</v>
      </c>
      <c r="O47" s="119"/>
      <c r="Q47" s="117" t="s">
        <v>145</v>
      </c>
      <c r="R47" s="117"/>
      <c r="S47" s="118">
        <v>5000</v>
      </c>
      <c r="T47" s="119"/>
    </row>
    <row r="48" spans="2:25" ht="12" thickBot="1" x14ac:dyDescent="0.2">
      <c r="B48" s="120" t="s">
        <v>147</v>
      </c>
      <c r="C48" s="120"/>
      <c r="D48" s="121"/>
      <c r="E48" s="122"/>
      <c r="G48" s="120" t="s">
        <v>147</v>
      </c>
      <c r="H48" s="120"/>
      <c r="I48" s="121" t="s">
        <v>208</v>
      </c>
      <c r="J48" s="122"/>
      <c r="L48" s="120" t="s">
        <v>147</v>
      </c>
      <c r="M48" s="120"/>
      <c r="N48" s="121" t="s">
        <v>206</v>
      </c>
      <c r="O48" s="122"/>
      <c r="Q48" s="120" t="s">
        <v>147</v>
      </c>
      <c r="R48" s="120"/>
      <c r="S48" s="121" t="s">
        <v>208</v>
      </c>
      <c r="T48" s="122"/>
    </row>
    <row r="49" ht="11.25" thickTop="1" x14ac:dyDescent="0.15"/>
  </sheetData>
  <mergeCells count="326"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7"/>
  <sheetViews>
    <sheetView topLeftCell="G1" zoomScaleNormal="100" workbookViewId="0">
      <selection activeCell="J30" sqref="J30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39" t="s">
        <v>37</v>
      </c>
      <c r="C1" s="139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193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203</v>
      </c>
      <c r="E8" s="8">
        <f t="shared" ref="E8:E13" ca="1" si="0">TODAY()</f>
        <v>43216</v>
      </c>
      <c r="F8" s="8">
        <f t="shared" ref="F8" ca="1" si="1">E8+H8</f>
        <v>43307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-6.148924312339858</v>
      </c>
      <c r="M8" s="15"/>
      <c r="N8" s="13">
        <f t="shared" ref="N8" si="2">M8/10000*I8*P8</f>
        <v>0</v>
      </c>
      <c r="O8" s="13">
        <f>IF(L8&lt;=0,ABS(L8)+N8,L8-N8)</f>
        <v>6.148924312339858</v>
      </c>
      <c r="P8" s="11">
        <f>RTD("wdf.rtq",,D8,"LastPrice")</f>
        <v>14520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4.2347963583607838E-4</v>
      </c>
      <c r="U8" s="13">
        <f>_xll.dnetGBlackScholesNGreeks("delta",$Q8,$P8,$G8,$I8,$C$3,$J8,$K8,$C$4)*R8</f>
        <v>1.1359100163588209E-2</v>
      </c>
      <c r="V8" s="13">
        <f>_xll.dnetGBlackScholesNGreeks("vega",$Q8,$P8,$G8,$I8,$C$3,$J8,$K8,$C$4)*R8</f>
        <v>-2.1655071059781079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203</v>
      </c>
      <c r="E9" s="8">
        <f t="shared" ca="1" si="0"/>
        <v>43216</v>
      </c>
      <c r="F9" s="8">
        <f t="shared" ref="F9" ca="1" si="5">E9+H9</f>
        <v>43307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-6.148924312339858</v>
      </c>
      <c r="M9" s="15"/>
      <c r="N9" s="13">
        <f t="shared" ref="N9:N10" si="6">M9/10000*I9*P9</f>
        <v>0</v>
      </c>
      <c r="O9" s="13">
        <f>IF(L9&lt;=0,ABS(L9)+N9,L9-N9)</f>
        <v>6.148924312339858</v>
      </c>
      <c r="P9" s="11">
        <f>RTD("wdf.rtq",,D9,"LastPrice")</f>
        <v>14520</v>
      </c>
      <c r="Q9" s="10" t="s">
        <v>85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4.2347963583607838E-4</v>
      </c>
      <c r="U9" s="13">
        <f>_xll.dnetGBlackScholesNGreeks("delta",$Q9,$P9,$G9,$I9,$C$3,$J9,$K9,$C$4)*R9</f>
        <v>1.1359100163588209E-2</v>
      </c>
      <c r="V9" s="13">
        <f>_xll.dnetGBlackScholesNGreeks("vega",$Q9,$P9,$G9,$I9,$C$3,$J9,$K9,$C$4)*R9</f>
        <v>-2.1655071059781079</v>
      </c>
    </row>
    <row r="10" spans="1:25" x14ac:dyDescent="0.15">
      <c r="N10" s="6">
        <f t="shared" si="6"/>
        <v>0</v>
      </c>
    </row>
    <row r="11" spans="1:25" ht="10.5" customHeight="1" x14ac:dyDescent="0.15">
      <c r="A11" s="34"/>
      <c r="B11" s="13" t="s">
        <v>172</v>
      </c>
      <c r="C11" s="10" t="s">
        <v>160</v>
      </c>
      <c r="D11" s="10" t="s">
        <v>228</v>
      </c>
      <c r="E11" s="8">
        <f t="shared" ca="1" si="0"/>
        <v>43216</v>
      </c>
      <c r="F11" s="8">
        <f t="shared" ref="F11" ca="1" si="9">E11+H11</f>
        <v>43223</v>
      </c>
      <c r="G11" s="11">
        <v>3700</v>
      </c>
      <c r="H11" s="10">
        <v>7</v>
      </c>
      <c r="I11" s="12">
        <f>H11/365</f>
        <v>1.9178082191780823E-2</v>
      </c>
      <c r="J11" s="12">
        <v>0</v>
      </c>
      <c r="K11" s="9">
        <v>0.24</v>
      </c>
      <c r="L11" s="13">
        <f>_xll.dnetGBlackScholesNGreeks("price",$Q11,$P11,$G11,$I11,$C$3,$J11,$K11,$C$4)*R11</f>
        <v>-77.722369716806043</v>
      </c>
      <c r="M11" s="15"/>
      <c r="N11" s="13">
        <f t="shared" ref="N11" si="10">M11/10000*I11*P11</f>
        <v>0</v>
      </c>
      <c r="O11" s="13">
        <f>IF(L11&lt;=0,ABS(L11)+N11,L11-N11)</f>
        <v>77.722369716806043</v>
      </c>
      <c r="P11" s="11">
        <v>3650</v>
      </c>
      <c r="Q11" s="10" t="s">
        <v>85</v>
      </c>
      <c r="R11" s="10">
        <f t="shared" ref="R11" si="11">IF(S11="中金买入",1,-1)</f>
        <v>-1</v>
      </c>
      <c r="S11" s="10" t="s">
        <v>20</v>
      </c>
      <c r="T11" s="14">
        <f t="shared" ref="T11" si="12">O11/P11</f>
        <v>2.1293799922412614E-2</v>
      </c>
      <c r="U11" s="13">
        <f>_xll.dnetGBlackScholesNGreeks("delta",$Q11,$P11,$G11,$I11,$C$3,$J11,$K11,$C$4)*R11</f>
        <v>0.65249462902556843</v>
      </c>
      <c r="V11" s="13">
        <f>_xll.dnetGBlackScholesNGreeks("vega",$Q11,$P11,$G11,$I11,$C$3,$J11,$K11,$C$4)*R11</f>
        <v>-1.8658856053536965</v>
      </c>
      <c r="X11" s="115">
        <f>P11-G11</f>
        <v>-50</v>
      </c>
      <c r="Y11" s="6">
        <f>500*U11</f>
        <v>326.24731451278421</v>
      </c>
    </row>
    <row r="12" spans="1:25" ht="11.25" customHeight="1" x14ac:dyDescent="0.15"/>
    <row r="13" spans="1:25" ht="10.5" customHeight="1" x14ac:dyDescent="0.15">
      <c r="A13" s="34"/>
      <c r="B13" s="13" t="s">
        <v>172</v>
      </c>
      <c r="C13" s="10" t="s">
        <v>160</v>
      </c>
      <c r="D13" s="10" t="s">
        <v>229</v>
      </c>
      <c r="E13" s="8">
        <f t="shared" ca="1" si="0"/>
        <v>43216</v>
      </c>
      <c r="F13" s="8">
        <f t="shared" ref="F13" ca="1" si="13">E13+H13</f>
        <v>43248</v>
      </c>
      <c r="G13" s="11">
        <f>P13</f>
        <v>51760</v>
      </c>
      <c r="H13" s="10">
        <v>32</v>
      </c>
      <c r="I13" s="12">
        <f>(H13)/365</f>
        <v>8.7671232876712329E-2</v>
      </c>
      <c r="J13" s="12">
        <v>0</v>
      </c>
      <c r="K13" s="9">
        <v>0.14249999999999999</v>
      </c>
      <c r="L13" s="13">
        <f>_xll.dnetGBlackScholesNGreeks("price",$Q13,$P13,$G13,$I13,$C$3,$J13,$K13,$C$4)*R13</f>
        <v>-869.66909677777585</v>
      </c>
      <c r="M13" s="15"/>
      <c r="N13" s="13">
        <f t="shared" ref="N13" si="14">M13/10000*I13*P13</f>
        <v>0</v>
      </c>
      <c r="O13" s="13">
        <f>IF(L13&lt;=0,ABS(L13)+N13,L13-N13)</f>
        <v>869.66909677777585</v>
      </c>
      <c r="P13" s="11">
        <f>RTD("wdf.rtq",,D13,"LastPrice")</f>
        <v>51760</v>
      </c>
      <c r="Q13" s="10" t="s">
        <v>85</v>
      </c>
      <c r="R13" s="10">
        <f t="shared" ref="R13" si="15">IF(S13="中金买入",1,-1)</f>
        <v>-1</v>
      </c>
      <c r="S13" s="10" t="s">
        <v>20</v>
      </c>
      <c r="T13" s="14">
        <f>O13/P13</f>
        <v>1.6801953183496442E-2</v>
      </c>
      <c r="U13" s="13">
        <f>_xll.dnetGBlackScholesNGreeks("delta",$Q13,$P13,$G13,$I13,$C$3,$J13,$K13,$C$4)*R13</f>
        <v>0.49072307938331505</v>
      </c>
      <c r="V13" s="13">
        <f>_xll.dnetGBlackScholesNGreeks("vega",$Q13,$P13,$G13,$I13,$C$3,$J13,$K13,$C$4)*R13</f>
        <v>-61.020334467639259</v>
      </c>
      <c r="X13" s="115">
        <f>P13-G13</f>
        <v>0</v>
      </c>
      <c r="Y13" s="6">
        <f>500*U13</f>
        <v>245.36153969165753</v>
      </c>
    </row>
    <row r="14" spans="1:25" ht="10.5" customHeight="1" x14ac:dyDescent="0.15">
      <c r="A14" s="34"/>
      <c r="B14" s="13"/>
      <c r="C14" s="10"/>
      <c r="D14" s="10"/>
      <c r="E14" s="8"/>
      <c r="F14" s="8"/>
      <c r="G14" s="11"/>
      <c r="H14" s="10"/>
      <c r="I14" s="12"/>
      <c r="J14" s="12"/>
      <c r="K14" s="9"/>
      <c r="L14" s="13"/>
      <c r="M14" s="15"/>
      <c r="N14" s="13"/>
      <c r="O14" s="13"/>
      <c r="P14" s="11"/>
      <c r="Q14" s="10"/>
      <c r="R14" s="10"/>
      <c r="S14" s="10"/>
      <c r="T14" s="14"/>
      <c r="U14" s="13"/>
      <c r="V14" s="13"/>
    </row>
    <row r="15" spans="1:25" x14ac:dyDescent="0.15">
      <c r="A15" s="34"/>
      <c r="B15" s="13"/>
      <c r="C15" s="10"/>
      <c r="D15" s="10"/>
      <c r="E15" s="8"/>
      <c r="F15" s="8"/>
      <c r="G15" s="10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5" ht="10.5" customHeight="1" x14ac:dyDescent="0.15">
      <c r="A16" s="34"/>
      <c r="B16" s="13"/>
      <c r="C16" s="10"/>
      <c r="D16" s="10"/>
      <c r="E16" s="8"/>
      <c r="F16" s="8"/>
      <c r="G16" s="11"/>
      <c r="H16" s="10"/>
      <c r="I16" s="12"/>
      <c r="J16" s="12"/>
      <c r="K16" s="9"/>
      <c r="L16" s="13"/>
      <c r="M16" s="15"/>
      <c r="N16" s="13"/>
      <c r="O16" s="13"/>
      <c r="P16" s="11"/>
      <c r="Q16" s="10"/>
      <c r="R16" s="10"/>
      <c r="S16" s="10"/>
      <c r="T16" s="14"/>
      <c r="U16" s="13"/>
      <c r="V16" s="13"/>
    </row>
    <row r="17" spans="1:22" ht="10.5" customHeight="1" x14ac:dyDescent="0.15">
      <c r="A17" s="34"/>
      <c r="B17" s="13"/>
      <c r="C17" s="10"/>
      <c r="D17" s="10"/>
      <c r="E17" s="8"/>
      <c r="F17" s="8"/>
      <c r="G17" s="10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</row>
    <row r="18" spans="1:22" ht="10.5" customHeight="1" x14ac:dyDescent="0.15">
      <c r="A18" s="34"/>
      <c r="B18" s="13"/>
      <c r="C18" s="10"/>
      <c r="D18" s="10"/>
      <c r="E18" s="8"/>
      <c r="F18" s="8"/>
      <c r="G18" s="11"/>
      <c r="H18" s="10"/>
      <c r="I18" s="12"/>
      <c r="J18" s="12"/>
      <c r="K18" s="9"/>
      <c r="L18" s="13"/>
      <c r="M18" s="15"/>
      <c r="N18" s="13"/>
      <c r="O18" s="13"/>
      <c r="P18" s="11"/>
      <c r="Q18" s="10"/>
      <c r="R18" s="10"/>
      <c r="S18" s="10"/>
      <c r="T18" s="14"/>
      <c r="U18" s="13"/>
      <c r="V18" s="13"/>
    </row>
    <row r="19" spans="1:22" ht="10.5" customHeight="1" x14ac:dyDescent="0.15">
      <c r="A19" s="34"/>
      <c r="B19" s="13"/>
      <c r="C19" s="10"/>
      <c r="D19" s="10"/>
      <c r="E19" s="8"/>
      <c r="F19" s="8"/>
      <c r="G19" s="10"/>
      <c r="H19" s="10"/>
      <c r="I19" s="12"/>
      <c r="J19" s="12"/>
      <c r="K19" s="9"/>
      <c r="L19" s="13"/>
      <c r="M19" s="15"/>
      <c r="N19" s="13"/>
      <c r="O19" s="13"/>
      <c r="P19" s="11"/>
      <c r="Q19" s="10"/>
      <c r="R19" s="10"/>
      <c r="S19" s="10"/>
      <c r="T19" s="14"/>
      <c r="U19" s="13"/>
      <c r="V19" s="13"/>
    </row>
    <row r="20" spans="1:22" ht="10.5" customHeight="1" x14ac:dyDescent="0.15">
      <c r="A20" s="34"/>
      <c r="B20" s="13"/>
      <c r="C20" s="10"/>
      <c r="D20" s="10"/>
      <c r="E20" s="8"/>
      <c r="F20" s="8"/>
      <c r="G20" s="11"/>
      <c r="H20" s="10"/>
      <c r="I20" s="12"/>
      <c r="J20" s="12"/>
      <c r="K20" s="9"/>
      <c r="L20" s="13"/>
      <c r="M20" s="15"/>
      <c r="N20" s="13"/>
      <c r="O20" s="13"/>
      <c r="P20" s="11"/>
      <c r="Q20" s="10"/>
      <c r="R20" s="10"/>
      <c r="S20" s="10"/>
      <c r="T20" s="14"/>
      <c r="U20" s="13"/>
      <c r="V20" s="13"/>
    </row>
    <row r="21" spans="1:22" ht="10.5" customHeight="1" x14ac:dyDescent="0.15">
      <c r="A21" s="34"/>
      <c r="B21" s="13"/>
      <c r="C21" s="10"/>
      <c r="D21" s="10"/>
      <c r="E21" s="8"/>
      <c r="F21" s="8"/>
      <c r="G21" s="11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2" spans="1:22" ht="10.5" customHeight="1" x14ac:dyDescent="0.15">
      <c r="A22" s="34"/>
      <c r="B22" s="13"/>
      <c r="C22" s="10"/>
      <c r="D22" s="10"/>
      <c r="E22" s="8"/>
      <c r="F22" s="8"/>
      <c r="G22" s="11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</row>
    <row r="23" spans="1:22" ht="10.5" customHeight="1" x14ac:dyDescent="0.15">
      <c r="A23" s="34"/>
      <c r="B23" s="13"/>
      <c r="C23" s="10"/>
      <c r="D23" s="10"/>
      <c r="E23" s="8"/>
      <c r="F23" s="8"/>
      <c r="G23" s="11"/>
      <c r="H23" s="10"/>
      <c r="I23" s="12"/>
      <c r="J23" s="12"/>
      <c r="K23" s="9"/>
      <c r="L23" s="13"/>
      <c r="M23" s="15"/>
      <c r="N23" s="13"/>
      <c r="O23" s="13"/>
      <c r="P23" s="11"/>
      <c r="Q23" s="10"/>
      <c r="R23" s="10"/>
      <c r="S23" s="10"/>
      <c r="T23" s="14"/>
      <c r="U23" s="13"/>
      <c r="V23" s="13"/>
    </row>
    <row r="24" spans="1:22" ht="10.5" customHeight="1" x14ac:dyDescent="0.15">
      <c r="A24" s="34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2" ht="10.5" customHeight="1" x14ac:dyDescent="0.15">
      <c r="A25" s="34"/>
      <c r="B25" s="13"/>
      <c r="C25" s="10"/>
      <c r="D25" s="10"/>
      <c r="E25" s="8"/>
      <c r="F25" s="8"/>
      <c r="G25" s="11"/>
      <c r="H25" s="10"/>
      <c r="I25" s="12"/>
      <c r="J25" s="12"/>
      <c r="K25" s="9"/>
      <c r="L25" s="13"/>
      <c r="M25" s="15"/>
      <c r="N25" s="13"/>
      <c r="O25" s="13"/>
      <c r="P25" s="11"/>
      <c r="Q25" s="10"/>
      <c r="R25" s="10"/>
      <c r="S25" s="10"/>
      <c r="T25" s="14"/>
      <c r="U25" s="13"/>
      <c r="V25" s="13"/>
    </row>
    <row r="26" spans="1:22" ht="10.5" customHeight="1" x14ac:dyDescent="0.15">
      <c r="A26" s="34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2" ht="10.5" customHeight="1" x14ac:dyDescent="0.15">
      <c r="A27" s="34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2" ht="10.5" customHeight="1" x14ac:dyDescent="0.15">
      <c r="A28" s="34"/>
      <c r="B28" s="13"/>
      <c r="C28" s="10"/>
      <c r="D28" s="10"/>
      <c r="E28" s="8"/>
      <c r="F28" s="8"/>
      <c r="G28" s="11"/>
      <c r="H28" s="10"/>
      <c r="I28" s="12"/>
      <c r="J28" s="12"/>
      <c r="K28" s="9"/>
      <c r="L28" s="13"/>
      <c r="M28" s="15"/>
      <c r="N28" s="13"/>
      <c r="O28" s="13"/>
      <c r="P28" s="11"/>
      <c r="Q28" s="10"/>
      <c r="R28" s="10"/>
      <c r="S28" s="10"/>
      <c r="T28" s="14"/>
      <c r="U28" s="13"/>
      <c r="V28" s="13"/>
    </row>
    <row r="29" spans="1:22" ht="10.5" customHeight="1" x14ac:dyDescent="0.15">
      <c r="A29" s="34"/>
      <c r="B29" s="13"/>
      <c r="C29" s="10"/>
      <c r="D29" s="10"/>
      <c r="E29" s="8"/>
      <c r="F29" s="8"/>
      <c r="G29" s="11"/>
      <c r="H29" s="10"/>
      <c r="I29" s="12"/>
      <c r="J29" s="12"/>
      <c r="K29" s="9"/>
      <c r="L29" s="13"/>
      <c r="M29" s="15"/>
      <c r="N29" s="13"/>
      <c r="O29" s="13"/>
      <c r="P29" s="11"/>
      <c r="Q29" s="10"/>
      <c r="R29" s="10"/>
      <c r="S29" s="10"/>
      <c r="T29" s="14"/>
      <c r="U29" s="13"/>
      <c r="V29" s="13"/>
    </row>
    <row r="30" spans="1:22" ht="10.5" customHeight="1" x14ac:dyDescent="0.15">
      <c r="A30" s="34"/>
      <c r="B30" s="13"/>
      <c r="C30" s="10"/>
      <c r="D30" s="10"/>
      <c r="E30" s="8"/>
      <c r="F30" s="8"/>
      <c r="G30" s="11"/>
      <c r="H30" s="10"/>
      <c r="I30" s="12"/>
      <c r="J30" s="12"/>
      <c r="K30" s="9"/>
      <c r="L30" s="13"/>
      <c r="M30" s="15"/>
      <c r="N30" s="13"/>
      <c r="O30" s="13"/>
      <c r="P30" s="11"/>
      <c r="Q30" s="10"/>
      <c r="R30" s="10"/>
      <c r="S30" s="10"/>
      <c r="T30" s="14"/>
      <c r="U30" s="13"/>
      <c r="V30" s="13"/>
    </row>
    <row r="31" spans="1:22" ht="10.5" customHeight="1" x14ac:dyDescent="0.15">
      <c r="A31" s="34"/>
      <c r="B31" s="13"/>
      <c r="C31" s="10"/>
      <c r="D31" s="10"/>
      <c r="E31" s="8"/>
      <c r="F31" s="8"/>
      <c r="G31" s="11"/>
      <c r="H31" s="10"/>
      <c r="I31" s="12"/>
      <c r="J31" s="12"/>
      <c r="K31" s="9"/>
      <c r="L31" s="13"/>
      <c r="M31" s="15"/>
      <c r="N31" s="13"/>
      <c r="O31" s="13"/>
      <c r="P31" s="11"/>
      <c r="Q31" s="10"/>
      <c r="R31" s="10"/>
      <c r="S31" s="10"/>
      <c r="T31" s="14"/>
      <c r="U31" s="13"/>
      <c r="V31" s="13"/>
    </row>
    <row r="32" spans="1:22" ht="10.5" customHeight="1" x14ac:dyDescent="0.15">
      <c r="A32" s="34"/>
      <c r="B32" s="13"/>
      <c r="C32" s="10"/>
      <c r="D32" s="10"/>
      <c r="E32" s="8"/>
      <c r="F32" s="8"/>
      <c r="G32" s="11"/>
      <c r="H32" s="10"/>
      <c r="I32" s="12"/>
      <c r="J32" s="12"/>
      <c r="K32" s="9"/>
      <c r="L32" s="13"/>
      <c r="M32" s="15"/>
      <c r="N32" s="13"/>
      <c r="O32" s="13"/>
      <c r="P32" s="11"/>
      <c r="Q32" s="10"/>
      <c r="R32" s="10"/>
      <c r="S32" s="10"/>
      <c r="T32" s="14"/>
      <c r="U32" s="13"/>
      <c r="V32" s="13"/>
    </row>
    <row r="33" spans="1:22" ht="10.5" customHeight="1" x14ac:dyDescent="0.15">
      <c r="A33" s="34"/>
      <c r="B33" s="13"/>
      <c r="C33" s="10"/>
      <c r="D33" s="10"/>
      <c r="E33" s="8"/>
      <c r="F33" s="8"/>
      <c r="G33" s="11"/>
      <c r="H33" s="10"/>
      <c r="I33" s="12"/>
      <c r="J33" s="12"/>
      <c r="K33" s="9"/>
      <c r="L33" s="13"/>
      <c r="M33" s="15"/>
      <c r="N33" s="13"/>
      <c r="O33" s="13"/>
      <c r="P33" s="11"/>
      <c r="Q33" s="10"/>
      <c r="R33" s="10"/>
      <c r="S33" s="10"/>
      <c r="T33" s="14"/>
      <c r="U33" s="13"/>
      <c r="V33" s="13"/>
    </row>
    <row r="34" spans="1:22" ht="10.5" customHeight="1" x14ac:dyDescent="0.15">
      <c r="A34" s="34"/>
      <c r="B34" s="13"/>
      <c r="C34" s="10"/>
      <c r="D34" s="10"/>
      <c r="E34" s="8"/>
      <c r="F34" s="8"/>
      <c r="G34" s="11"/>
      <c r="H34" s="10"/>
      <c r="I34" s="12"/>
      <c r="J34" s="12"/>
      <c r="K34" s="9"/>
      <c r="L34" s="13"/>
      <c r="M34" s="15"/>
      <c r="N34" s="13"/>
      <c r="O34" s="13"/>
      <c r="P34" s="11"/>
      <c r="Q34" s="10"/>
      <c r="R34" s="10"/>
      <c r="S34" s="10"/>
      <c r="T34" s="14"/>
      <c r="U34" s="13"/>
      <c r="V34" s="13"/>
    </row>
    <row r="35" spans="1:22" ht="10.5" customHeight="1" x14ac:dyDescent="0.15">
      <c r="A35" s="34"/>
      <c r="B35" s="13"/>
      <c r="C35" s="10"/>
      <c r="D35" s="10"/>
      <c r="E35" s="8"/>
      <c r="F35" s="8"/>
      <c r="G35" s="11"/>
      <c r="H35" s="10"/>
      <c r="I35" s="12"/>
      <c r="J35" s="12"/>
      <c r="K35" s="9"/>
      <c r="L35" s="13"/>
      <c r="M35" s="15"/>
      <c r="N35" s="13"/>
      <c r="O35" s="13"/>
      <c r="P35" s="11"/>
      <c r="Q35" s="10"/>
      <c r="R35" s="10"/>
      <c r="S35" s="10"/>
      <c r="T35" s="14"/>
      <c r="U35" s="13"/>
      <c r="V35" s="13"/>
    </row>
    <row r="36" spans="1:22" ht="10.5" customHeight="1" x14ac:dyDescent="0.15">
      <c r="A36" s="34"/>
      <c r="B36" s="13"/>
      <c r="C36" s="10"/>
      <c r="D36" s="10"/>
      <c r="E36" s="8"/>
      <c r="F36" s="8"/>
      <c r="G36" s="11"/>
      <c r="H36" s="10"/>
      <c r="I36" s="12"/>
      <c r="J36" s="12"/>
      <c r="K36" s="9"/>
      <c r="L36" s="13"/>
      <c r="M36" s="15"/>
      <c r="N36" s="13"/>
      <c r="O36" s="13"/>
      <c r="P36" s="11"/>
      <c r="Q36" s="10"/>
      <c r="R36" s="10"/>
      <c r="S36" s="10"/>
      <c r="T36" s="14"/>
      <c r="U36" s="13"/>
      <c r="V36" s="13"/>
    </row>
    <row r="37" spans="1:22" ht="10.5" customHeight="1" x14ac:dyDescent="0.15">
      <c r="A37" s="34"/>
      <c r="B37" s="13"/>
      <c r="C37" s="10"/>
      <c r="D37" s="10"/>
      <c r="E37" s="8"/>
      <c r="F37" s="8"/>
      <c r="G37" s="11"/>
      <c r="H37" s="10"/>
      <c r="I37" s="12"/>
      <c r="J37" s="12"/>
      <c r="K37" s="9"/>
      <c r="L37" s="13"/>
      <c r="M37" s="15"/>
      <c r="N37" s="13"/>
      <c r="O37" s="13"/>
      <c r="P37" s="11"/>
      <c r="Q37" s="10"/>
      <c r="R37" s="10"/>
      <c r="S37" s="10"/>
      <c r="T37" s="14"/>
      <c r="U37" s="13"/>
      <c r="V37" s="13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configs!$B$1:$B$2</xm:f>
          </x14:formula1>
          <xm:sqref>S8:S9 S11 S13:S37</xm:sqref>
        </x14:dataValidation>
        <x14:dataValidation type="list" allowBlank="1" showInputMessage="1" showErrorMessage="1">
          <x14:formula1>
            <xm:f>configs!$C$1:$C$2</xm:f>
          </x14:formula1>
          <xm:sqref>Q8:Q9 Q11 Q13:Q37</xm:sqref>
        </x14:dataValidation>
        <x14:dataValidation type="list" allowBlank="1" showInputMessage="1">
          <x14:formula1>
            <xm:f>configs!$A$1:$A$36</xm:f>
          </x14:formula1>
          <xm:sqref>C8:C9 C11 C13:C37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29"/>
  <sheetViews>
    <sheetView zoomScale="85" zoomScaleNormal="85" workbookViewId="0">
      <selection activeCell="V4" sqref="V4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0" t="s">
        <v>37</v>
      </c>
      <c r="C1" s="139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43216</v>
      </c>
      <c r="F8" s="46">
        <f ca="1">E8+H8</f>
        <v>43246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43216</v>
      </c>
      <c r="F9" s="54">
        <f ca="1">F8</f>
        <v>43246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43216</v>
      </c>
      <c r="F10" s="62">
        <f ca="1">F9</f>
        <v>43246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202</v>
      </c>
      <c r="E11" s="46">
        <f ca="1">TODAY()</f>
        <v>43216</v>
      </c>
      <c r="F11" s="46">
        <f ca="1">E11+H11</f>
        <v>43231</v>
      </c>
      <c r="G11" s="113">
        <f>P11-20</f>
        <v>445.5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-3.8070068478264432</v>
      </c>
      <c r="M11" s="49"/>
      <c r="N11" s="43"/>
      <c r="O11" s="43">
        <f t="shared" ref="O11:O13" si="1">IF(L11&lt;=0,ABS(L11)+N11,L11-N11)</f>
        <v>3.8070068478264432</v>
      </c>
      <c r="P11" s="110">
        <f>RTD("wdf.rtq",,D11,"LastPrice")</f>
        <v>465.5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0.22569038160114019</v>
      </c>
      <c r="V11" s="43">
        <f>_xll.dnetGBlackScholesNGreeks("vega",$Q11,$P11,$G11,$I11,$C$3,$J11,$K11,$C$4)*R11</f>
        <v>-0.28333984379199961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202</v>
      </c>
      <c r="E12" s="54">
        <f t="shared" ref="E12:F12" ca="1" si="2">E11</f>
        <v>43216</v>
      </c>
      <c r="F12" s="54">
        <f t="shared" ca="1" si="2"/>
        <v>43231</v>
      </c>
      <c r="G12" s="52">
        <f>G11+50</f>
        <v>495.5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2.0837300037369602</v>
      </c>
      <c r="M12" s="57"/>
      <c r="N12" s="51"/>
      <c r="O12" s="51">
        <f t="shared" si="1"/>
        <v>2.0837300037369602</v>
      </c>
      <c r="P12" s="94">
        <f>P11</f>
        <v>465.5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0.15068608822943474</v>
      </c>
      <c r="V12" s="51">
        <f>_xll.dnetGBlackScholesNGreeks("vega",$Q12,$P12,$G12,$I12,$C$3,$J12,$K12,$C$4)*R12</f>
        <v>0.22054129878869588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43216</v>
      </c>
      <c r="F13" s="62">
        <f t="shared" ca="1" si="3"/>
        <v>43231</v>
      </c>
      <c r="G13" s="60" t="str">
        <f>G11 &amp; "|" &amp; G12</f>
        <v>445.5|495.5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-1.723276844089483</v>
      </c>
      <c r="M13" s="60">
        <v>0</v>
      </c>
      <c r="N13" s="59">
        <f>M13/10000*I13*P13</f>
        <v>0</v>
      </c>
      <c r="O13" s="59">
        <f t="shared" si="1"/>
        <v>1.723276844089483</v>
      </c>
      <c r="P13" s="111">
        <f>P12</f>
        <v>465.5</v>
      </c>
      <c r="Q13" s="60"/>
      <c r="R13" s="60"/>
      <c r="S13" s="56" t="s">
        <v>151</v>
      </c>
      <c r="T13" s="64">
        <f>O13/P13</f>
        <v>3.7019910721578582E-3</v>
      </c>
      <c r="U13" s="64">
        <f>U12+U11</f>
        <v>0.37637646983057493</v>
      </c>
      <c r="V13" s="64">
        <f>V12+V11</f>
        <v>-6.279854500330373E-2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212</v>
      </c>
      <c r="E14" s="46">
        <f ca="1">TODAY()</f>
        <v>43216</v>
      </c>
      <c r="F14" s="46">
        <f ca="1">E14+H14</f>
        <v>43307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-250.13789732167766</v>
      </c>
      <c r="M14" s="49"/>
      <c r="N14" s="43"/>
      <c r="O14" s="43">
        <f t="shared" ref="O14:O16" si="4">IF(L14&lt;=0,ABS(L14)+N14,L14-N14)</f>
        <v>250.13789732167766</v>
      </c>
      <c r="P14" s="110">
        <f>RTD("wdf.rtq",,D14,"LastPrice")</f>
        <v>3558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-0.58525817451027251</v>
      </c>
      <c r="V14" s="43">
        <f>_xll.dnetGBlackScholesNGreeks("vega",$Q14,$P14,$G14,$I14,$C$3,$J14,$K14,$C$4)*R14</f>
        <v>-6.8791152541698466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43216</v>
      </c>
      <c r="F15" s="54">
        <f t="shared" ca="1" si="5"/>
        <v>43307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82.435634399290848</v>
      </c>
      <c r="M15" s="57"/>
      <c r="N15" s="51"/>
      <c r="O15" s="51">
        <f t="shared" si="4"/>
        <v>82.435634399290848</v>
      </c>
      <c r="P15" s="94">
        <f>P14</f>
        <v>3558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-0.25598226434340177</v>
      </c>
      <c r="V15" s="51">
        <f>_xll.dnetGBlackScholesNGreeks("vega",$Q15,$P15,$G15,$I15,$C$3,$J15,$K15,$C$4)*R15</f>
        <v>5.7014369878938282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43216</v>
      </c>
      <c r="F16" s="62">
        <f t="shared" ca="1" si="6"/>
        <v>43307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-167.70226292238681</v>
      </c>
      <c r="M16" s="60">
        <v>0</v>
      </c>
      <c r="N16" s="59">
        <f>M16/10000*I16*P16</f>
        <v>0</v>
      </c>
      <c r="O16" s="59">
        <f t="shared" si="4"/>
        <v>167.70226292238681</v>
      </c>
      <c r="P16" s="111">
        <f>P15</f>
        <v>3558</v>
      </c>
      <c r="Q16" s="60"/>
      <c r="R16" s="60"/>
      <c r="S16" s="56" t="s">
        <v>151</v>
      </c>
      <c r="T16" s="64">
        <f>O16/P16</f>
        <v>4.713385692028859E-2</v>
      </c>
      <c r="U16" s="64">
        <f>U15+U14</f>
        <v>-0.84124043885367428</v>
      </c>
      <c r="V16" s="64">
        <f>V15+V14</f>
        <v>-1.1776782662760183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222</v>
      </c>
      <c r="E18" s="46">
        <f ca="1">TODAY()</f>
        <v>43216</v>
      </c>
      <c r="F18" s="46">
        <f ca="1">E18+H18</f>
        <v>43307</v>
      </c>
      <c r="G18" s="113" t="e">
        <f>P18</f>
        <v>#N/A</v>
      </c>
      <c r="H18" s="44">
        <v>91</v>
      </c>
      <c r="I18" s="47">
        <f>H18/365</f>
        <v>0.24931506849315069</v>
      </c>
      <c r="J18" s="47">
        <v>0</v>
      </c>
      <c r="K18" s="48">
        <f>K19+0.005</f>
        <v>0.19</v>
      </c>
      <c r="L18" s="43" t="e">
        <f>_xll.dnetGBlackScholesNGreeks("price",$Q18,$P18,$G18,$I18,$C$3,$J18,$K18,$C$4)*R18</f>
        <v>#VALUE!</v>
      </c>
      <c r="M18" s="49"/>
      <c r="N18" s="43"/>
      <c r="O18" s="43" t="e">
        <f t="shared" ref="O18:O20" si="7">IF(L18&lt;=0,ABS(L18)+N18,L18-N18)</f>
        <v>#VALUE!</v>
      </c>
      <c r="P18" s="110" t="e">
        <f>RTD("wdf.rtq",,D18,"LastPrice")</f>
        <v>#N/A</v>
      </c>
      <c r="Q18" s="44" t="s">
        <v>39</v>
      </c>
      <c r="R18" s="44">
        <f>IF(S18="中金买入",1,-1)</f>
        <v>-1</v>
      </c>
      <c r="S18" s="48" t="s">
        <v>20</v>
      </c>
      <c r="T18" s="50"/>
      <c r="U18" s="43" t="e">
        <f>_xll.dnetGBlackScholesNGreeks("delta",$Q18,$P18,$G18,$I18,$C$3,$J18,$K18,$C$4)*R18</f>
        <v>#VALUE!</v>
      </c>
      <c r="V18" s="43" t="e">
        <f>_xll.dnetGBlackScholesNGreeks("vega",$Q18,$P18,$G18,$I18,$C$3,$J18,$K18,$C$4)*R18</f>
        <v>#VALUE!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">
        <v>221</v>
      </c>
      <c r="E19" s="54">
        <f t="shared" ref="E19:F19" ca="1" si="8">E18</f>
        <v>43216</v>
      </c>
      <c r="F19" s="54">
        <f t="shared" ca="1" si="8"/>
        <v>43307</v>
      </c>
      <c r="G19" s="52">
        <v>52000</v>
      </c>
      <c r="H19" s="52">
        <f>H18</f>
        <v>91</v>
      </c>
      <c r="I19" s="55">
        <f>H19/365</f>
        <v>0.24931506849315069</v>
      </c>
      <c r="J19" s="55">
        <f>J18</f>
        <v>0</v>
      </c>
      <c r="K19" s="56">
        <v>0.185</v>
      </c>
      <c r="L19" s="51" t="e">
        <f>_xll.dnetGBlackScholesNGreeks("price",$Q19,$P19,$G19,$I19,$C$3,$J19,$K19,$C$4)*R19</f>
        <v>#VALUE!</v>
      </c>
      <c r="M19" s="57"/>
      <c r="N19" s="51"/>
      <c r="O19" s="51" t="e">
        <f t="shared" si="7"/>
        <v>#VALUE!</v>
      </c>
      <c r="P19" s="94" t="e">
        <f>P18</f>
        <v>#N/A</v>
      </c>
      <c r="Q19" s="52" t="s">
        <v>39</v>
      </c>
      <c r="R19" s="52">
        <f>IF(S19="中金买入",1,-1)</f>
        <v>1</v>
      </c>
      <c r="S19" s="56" t="s">
        <v>151</v>
      </c>
      <c r="T19" s="58"/>
      <c r="U19" s="51" t="e">
        <f>_xll.dnetGBlackScholesNGreeks("delta",$Q19,$P19,$G19,$I19,$C$3,$J19,$K19,$C$4)*R19</f>
        <v>#VALUE!</v>
      </c>
      <c r="V19" s="51" t="e">
        <f>_xll.dnetGBlackScholesNGreeks("vega",$Q19,$P19,$G19,$I19,$C$3,$J19,$K19,$C$4)*R19</f>
        <v>#VALUE!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">
        <v>221</v>
      </c>
      <c r="E20" s="62">
        <f t="shared" ref="E20:F20" ca="1" si="9">E19</f>
        <v>43216</v>
      </c>
      <c r="F20" s="62">
        <f t="shared" ca="1" si="9"/>
        <v>43307</v>
      </c>
      <c r="G20" s="60" t="e">
        <f>G18 &amp; "|" &amp; G19</f>
        <v>#N/A</v>
      </c>
      <c r="H20" s="60">
        <f>H19</f>
        <v>91</v>
      </c>
      <c r="I20" s="63">
        <f>I19</f>
        <v>0.24931506849315069</v>
      </c>
      <c r="J20" s="63"/>
      <c r="K20" s="60"/>
      <c r="L20" s="59" t="e">
        <f>L19+L18</f>
        <v>#VALUE!</v>
      </c>
      <c r="M20" s="60">
        <v>0</v>
      </c>
      <c r="N20" s="59" t="e">
        <f>M20/10000*I20*P20</f>
        <v>#N/A</v>
      </c>
      <c r="O20" s="59" t="e">
        <f t="shared" si="7"/>
        <v>#VALUE!</v>
      </c>
      <c r="P20" s="111" t="e">
        <f>P19</f>
        <v>#N/A</v>
      </c>
      <c r="Q20" s="60"/>
      <c r="R20" s="60"/>
      <c r="S20" s="56" t="s">
        <v>151</v>
      </c>
      <c r="T20" s="64" t="e">
        <f>O20/P20</f>
        <v>#VALUE!</v>
      </c>
      <c r="U20" s="64" t="e">
        <f>U19+U18</f>
        <v>#VALUE!</v>
      </c>
      <c r="V20" s="64" t="e">
        <f>V19+V18</f>
        <v>#VALUE!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202</v>
      </c>
      <c r="E21" s="46">
        <f ca="1">TODAY()</f>
        <v>43216</v>
      </c>
      <c r="F21" s="46">
        <f ca="1">E21+H21</f>
        <v>43246</v>
      </c>
      <c r="G21" s="113">
        <v>460</v>
      </c>
      <c r="H21" s="44">
        <v>30</v>
      </c>
      <c r="I21" s="47">
        <f>H21/365</f>
        <v>8.2191780821917804E-2</v>
      </c>
      <c r="J21" s="47">
        <v>0</v>
      </c>
      <c r="K21" s="48">
        <v>0.34499999999999997</v>
      </c>
      <c r="L21" s="43">
        <f>_xll.dnetGBlackScholesNGreeks("price",$Q21,$P21,$G21,$I21,$C$3,$J21,$K21,$C$4)*R21</f>
        <v>-15.607935050329985</v>
      </c>
      <c r="M21" s="49"/>
      <c r="N21" s="43"/>
      <c r="O21" s="43">
        <f t="shared" ref="O21:O23" si="10">IF(L21&lt;=0,ABS(L21)+N21,L21-N21)</f>
        <v>15.607935050329985</v>
      </c>
      <c r="P21" s="110">
        <f>RTD("wdf.rtq",,D21,"LastPrice")</f>
        <v>465.5</v>
      </c>
      <c r="Q21" s="44" t="s">
        <v>85</v>
      </c>
      <c r="R21" s="44">
        <f>IF(S21="中金买入",1,-1)</f>
        <v>-1</v>
      </c>
      <c r="S21" s="48" t="s">
        <v>20</v>
      </c>
      <c r="T21" s="50"/>
      <c r="U21" s="43">
        <f>_xll.dnetGBlackScholesNGreeks("delta",$Q21,$P21,$G21,$I21,$C$3,$J21,$K21,$C$4)*R21</f>
        <v>0.43194308109661961</v>
      </c>
      <c r="V21" s="43">
        <f>_xll.dnetGBlackScholesNGreeks("vega",$Q21,$P21,$G21,$I21,$C$3,$J21,$K21,$C$4)*R21</f>
        <v>-0.52393761876231792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i1809</v>
      </c>
      <c r="E22" s="54">
        <f t="shared" ref="E22:F22" ca="1" si="11">E21</f>
        <v>43216</v>
      </c>
      <c r="F22" s="54">
        <f t="shared" ca="1" si="11"/>
        <v>43246</v>
      </c>
      <c r="G22" s="52">
        <v>500</v>
      </c>
      <c r="H22" s="52">
        <f>H21</f>
        <v>30</v>
      </c>
      <c r="I22" s="55">
        <f>H22/365</f>
        <v>8.2191780821917804E-2</v>
      </c>
      <c r="J22" s="55">
        <f>J21</f>
        <v>0</v>
      </c>
      <c r="K22" s="56">
        <v>0.32</v>
      </c>
      <c r="L22" s="51">
        <f>_xll.dnetGBlackScholesNGreeks("price",$Q22,$P22,$G22,$I22,$C$3,$J22,$K22,$C$4)*R22</f>
        <v>5.5045285776622563</v>
      </c>
      <c r="M22" s="57"/>
      <c r="N22" s="51"/>
      <c r="O22" s="51">
        <f t="shared" si="10"/>
        <v>5.5045285776622563</v>
      </c>
      <c r="P22" s="94">
        <f>P21</f>
        <v>465.5</v>
      </c>
      <c r="Q22" s="52" t="s">
        <v>39</v>
      </c>
      <c r="R22" s="52">
        <f>IF(S22="中金买入",1,-1)</f>
        <v>1</v>
      </c>
      <c r="S22" s="56" t="s">
        <v>151</v>
      </c>
      <c r="T22" s="58"/>
      <c r="U22" s="51">
        <f>_xll.dnetGBlackScholesNGreeks("delta",$Q22,$P22,$G22,$I22,$C$3,$J22,$K22,$C$4)*R22</f>
        <v>0.23126075326729278</v>
      </c>
      <c r="V22" s="51">
        <f>_xll.dnetGBlackScholesNGreeks("vega",$Q22,$P22,$G22,$I22,$C$3,$J22,$K22,$C$4)*R22</f>
        <v>0.40608036519499535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i1809</v>
      </c>
      <c r="E23" s="62">
        <f t="shared" ref="E23:F23" ca="1" si="12">E22</f>
        <v>43216</v>
      </c>
      <c r="F23" s="62">
        <f t="shared" ca="1" si="12"/>
        <v>43246</v>
      </c>
      <c r="G23" s="60" t="str">
        <f>G21 &amp; "|" &amp; G22</f>
        <v>460|500</v>
      </c>
      <c r="H23" s="60">
        <f>H22</f>
        <v>30</v>
      </c>
      <c r="I23" s="63">
        <f>I22</f>
        <v>8.2191780821917804E-2</v>
      </c>
      <c r="J23" s="63"/>
      <c r="K23" s="60"/>
      <c r="L23" s="59">
        <f>L22+L21</f>
        <v>-10.103406472667729</v>
      </c>
      <c r="M23" s="60">
        <v>0</v>
      </c>
      <c r="N23" s="59">
        <f>M23/10000*I23*P23</f>
        <v>0</v>
      </c>
      <c r="O23" s="59">
        <f t="shared" si="10"/>
        <v>10.103406472667729</v>
      </c>
      <c r="P23" s="111">
        <f>P22</f>
        <v>465.5</v>
      </c>
      <c r="Q23" s="60"/>
      <c r="R23" s="60"/>
      <c r="S23" s="56"/>
      <c r="T23" s="64">
        <f>O23/P23</f>
        <v>2.1704417771574069E-2</v>
      </c>
      <c r="U23" s="64">
        <f>U22+U21</f>
        <v>0.66320383436391239</v>
      </c>
      <c r="V23" s="64">
        <f>V22+V21</f>
        <v>-0.11785725356732257</v>
      </c>
    </row>
    <row r="27" spans="1:22" ht="8.25" customHeight="1" x14ac:dyDescent="0.15"/>
    <row r="29" spans="1:22" x14ac:dyDescent="0.15">
      <c r="G29" s="114">
        <f>G22-G21</f>
        <v>40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</xm:sqref>
        </x14:dataValidation>
        <x14:dataValidation type="list" allowBlank="1" showInputMessage="1" showErrorMessage="1">
          <x14:formula1>
            <xm:f>configs!$C$1:$C$2</xm:f>
          </x14:formula1>
          <xm:sqref>Q8:Q16 Q18:Q23</xm:sqref>
        </x14:dataValidation>
        <x14:dataValidation type="list" allowBlank="1" showInputMessage="1" showErrorMessage="1">
          <x14:formula1>
            <xm:f>configs!$B$1:$B$2</xm:f>
          </x14:formula1>
          <xm:sqref>S8:S16 S18:S23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J25" sqref="J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16" t="s">
        <v>158</v>
      </c>
      <c r="C1" s="116"/>
      <c r="D1" s="116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216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43216</v>
      </c>
      <c r="L10" s="38">
        <f ca="1">pricer_sf!N11</f>
        <v>43307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217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43216</v>
      </c>
      <c r="L11" s="38">
        <f ca="1">pricer_sf!N12</f>
        <v>43307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218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43216</v>
      </c>
      <c r="L12" s="38">
        <f ca="1">pricer_sf!N13</f>
        <v>43307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216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43216</v>
      </c>
      <c r="L13" s="38">
        <f ca="1">pricer_sf!N14</f>
        <v>43399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217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43216</v>
      </c>
      <c r="L14" s="38">
        <f ca="1">pricer_sf!N15</f>
        <v>43399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218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43216</v>
      </c>
      <c r="L15" s="38">
        <f ca="1">pricer_sf!N16</f>
        <v>43399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3" workbookViewId="0">
      <selection activeCell="G34" sqref="G3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V16" sqref="C11:V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39" t="s">
        <v>38</v>
      </c>
      <c r="C1" s="139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3922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36">
        <v>0.02</v>
      </c>
      <c r="M8" s="21">
        <f ca="1">TODAY()</f>
        <v>43216</v>
      </c>
      <c r="N8" s="21">
        <f ca="1">M8+O8</f>
        <v>43246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-78.44</v>
      </c>
      <c r="T8" s="25">
        <v>80</v>
      </c>
      <c r="U8" s="24">
        <f>T8/10000*P8*H8</f>
        <v>2.578849315068493</v>
      </c>
      <c r="V8" s="24">
        <f>IF(S8&lt;=0,ABS(S8)+U8,S8-U8)</f>
        <v>81.018849315068493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43216</v>
      </c>
      <c r="N9" s="8">
        <f ca="1">M9+O9</f>
        <v>43396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213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43216</v>
      </c>
      <c r="N11" s="8">
        <f t="shared" ref="N11:N16" ca="1" si="2">M11+O11</f>
        <v>43307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214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43216</v>
      </c>
      <c r="N12" s="8">
        <f t="shared" ca="1" si="2"/>
        <v>43307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215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43216</v>
      </c>
      <c r="N13" s="8">
        <f t="shared" ca="1" si="2"/>
        <v>43307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213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43216</v>
      </c>
      <c r="N14" s="8">
        <f t="shared" ca="1" si="2"/>
        <v>43399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214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43216</v>
      </c>
      <c r="N15" s="8">
        <f t="shared" ca="1" si="2"/>
        <v>43399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215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43216</v>
      </c>
      <c r="N16" s="8">
        <f t="shared" ca="1" si="2"/>
        <v>43399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N9" sqref="N9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1" t="s">
        <v>37</v>
      </c>
      <c r="C1" s="141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3922</v>
      </c>
      <c r="I8" s="19">
        <v>3800</v>
      </c>
      <c r="J8" s="21">
        <f ca="1">TODAY()</f>
        <v>43216</v>
      </c>
      <c r="K8" s="21">
        <f ca="1">J8+L8</f>
        <v>43246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204.06727983393603</v>
      </c>
      <c r="P8" s="25">
        <v>80</v>
      </c>
      <c r="Q8" s="24">
        <f>P8/10000*M8*H8*(-E8)</f>
        <v>2.578849315068493</v>
      </c>
      <c r="R8" s="24">
        <f>O8+Q8</f>
        <v>206.64612914900451</v>
      </c>
      <c r="S8" s="26">
        <f>R8/H8</f>
        <v>5.2688967146610026E-2</v>
      </c>
      <c r="T8" s="24">
        <f>_xll.dnetGBlackScholesNGreeks("delta",$G8,$H8,$I8,$M8,$C$3,$C$4,$N8,$C$4)</f>
        <v>0.66220483695360599</v>
      </c>
      <c r="U8" s="24">
        <f>_xll.dnetGBlackScholesNGreeks("vega",$G8,$H8,$I8,$M8,$C$3,$C$4,$N8)</f>
        <v>4.1033749026926216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43216</v>
      </c>
      <c r="K9" s="8">
        <f ca="1">J9+L9</f>
        <v>43246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43216</v>
      </c>
      <c r="K10" s="8">
        <f ca="1">J10+L10</f>
        <v>43246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recap</vt:lpstr>
      <vt:lpstr>pricer_van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2018-04-26T07:27:34Z</dcterms:modified>
</cp:coreProperties>
</file>