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M11" i="1" l="1"/>
  <c r="J11" i="1"/>
  <c r="K11" i="1" s="1"/>
  <c r="E11" i="1"/>
  <c r="M10" i="1"/>
  <c r="J10" i="1"/>
  <c r="K10" i="1" s="1"/>
  <c r="E10" i="1"/>
  <c r="H10" i="1"/>
  <c r="H11" i="1"/>
  <c r="V11" i="1"/>
  <c r="P10" i="1"/>
  <c r="R10" i="1" l="1"/>
  <c r="S10" i="1" s="1"/>
  <c r="T10" i="1" s="1"/>
  <c r="R11" i="1"/>
  <c r="N8" i="2"/>
  <c r="P11" i="1"/>
  <c r="U10" i="1"/>
  <c r="V10" i="1"/>
  <c r="U11" i="1"/>
  <c r="S11" i="1" l="1"/>
  <c r="T11" i="1" s="1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V9" i="9"/>
  <c r="P8" i="9"/>
  <c r="P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T9" i="7"/>
  <c r="O9" i="7"/>
  <c r="T10" i="7"/>
  <c r="U9" i="7"/>
  <c r="H8" i="7"/>
  <c r="U10" i="7"/>
  <c r="O10" i="7"/>
  <c r="H8" i="8"/>
  <c r="U8" i="8" l="1"/>
  <c r="Q9" i="7"/>
  <c r="R9" i="7" s="1"/>
  <c r="S9" i="7" s="1"/>
  <c r="Q10" i="7"/>
  <c r="R10" i="7" s="1"/>
  <c r="S10" i="7" s="1"/>
  <c r="Q8" i="7"/>
  <c r="K8" i="8"/>
  <c r="S9" i="8"/>
  <c r="T8" i="7"/>
  <c r="Y9" i="8"/>
  <c r="U8" i="7"/>
  <c r="X9" i="8"/>
  <c r="O8" i="7"/>
  <c r="V9" i="8" l="1"/>
  <c r="W9" i="8" s="1"/>
  <c r="R8" i="7"/>
  <c r="S8" i="7" s="1"/>
  <c r="Y8" i="8"/>
  <c r="X8" i="8"/>
  <c r="S8" i="8"/>
  <c r="V8" i="8" l="1"/>
  <c r="W8" i="8" s="1"/>
  <c r="E9" i="1"/>
  <c r="E8" i="1"/>
  <c r="M9" i="1" l="1"/>
  <c r="J9" i="1"/>
  <c r="K9" i="1" s="1"/>
  <c r="M8" i="1"/>
  <c r="J8" i="1"/>
  <c r="K8" i="1" s="1"/>
  <c r="V9" i="1"/>
  <c r="U9" i="1"/>
  <c r="H8" i="1"/>
  <c r="P9" i="1"/>
  <c r="V8" i="1"/>
  <c r="U8" i="1"/>
  <c r="R8" i="1" l="1"/>
  <c r="R9" i="1"/>
  <c r="S9" i="1" s="1"/>
  <c r="T9" i="1" s="1"/>
  <c r="P8" i="1"/>
  <c r="S8" i="1" l="1"/>
  <c r="T8" i="1" s="1"/>
</calcChain>
</file>

<file path=xl/sharedStrings.xml><?xml version="1.0" encoding="utf-8"?>
<sst xmlns="http://schemas.openxmlformats.org/spreadsheetml/2006/main" count="366" uniqueCount="209">
  <si>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</si>
  <si>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</si>
  <si>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</si>
  <si>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</si>
  <si>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</si>
  <si>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</si>
  <si>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</si>
  <si>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</si>
  <si>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</si>
  <si>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</si>
  <si>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</si>
  <si>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</si>
  <si>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</si>
  <si>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</si>
  <si>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</si>
  <si>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</si>
  <si>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</si>
  <si>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</si>
  <si>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</si>
  <si>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</si>
  <si>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</si>
  <si>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</si>
  <si>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</si>
  <si>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</si>
  <si>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</si>
  <si>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</si>
  <si>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</si>
  <si>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</si>
  <si>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</si>
  <si>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</si>
  <si>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</si>
  <si>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</si>
  <si>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</si>
  <si>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</si>
  <si>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</si>
  <si>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</si>
  <si>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</si>
  <si>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</si>
  <si>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</si>
  <si>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</si>
  <si>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</si>
  <si>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</si>
  <si>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</si>
  <si>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</si>
  <si>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</si>
  <si>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</si>
  <si>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</si>
  <si>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</si>
  <si>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</si>
  <si>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</si>
  <si>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</si>
  <si>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</si>
  <si>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</si>
  <si>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</si>
  <si>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</si>
  <si>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</si>
  <si>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</si>
  <si>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</si>
  <si>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</si>
  <si>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</si>
  <si>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</si>
  <si>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</si>
  <si>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</si>
  <si>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</si>
  <si>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</si>
  <si>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</si>
  <si>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</si>
  <si>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</si>
  <si>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</si>
  <si>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</si>
  <si>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</si>
  <si>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</si>
  <si>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</si>
  <si>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</si>
  <si>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</si>
  <si>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</si>
  <si>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</si>
  <si>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</si>
  <si>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</si>
  <si>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</si>
  <si>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</si>
  <si>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</si>
  <si>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</si>
  <si>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</si>
  <si>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</si>
  <si>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</si>
  <si>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</si>
  <si>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</si>
  <si>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</si>
  <si>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</si>
  <si>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</si>
  <si>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</si>
  <si>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</si>
  <si>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</si>
  <si>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</si>
  <si>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</si>
  <si>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</si>
  <si>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</si>
  <si>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</si>
  <si>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</si>
  <si>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</si>
  <si>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</si>
  <si>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</si>
  <si>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</si>
  <si>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</si>
  <si>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</si>
  <si>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</si>
  <si>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</si>
  <si>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</si>
  <si>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</si>
  <si>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</si>
  <si>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</si>
  <si>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</si>
  <si>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</si>
  <si>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</si>
  <si>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</si>
  <si>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</si>
  <si>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</si>
  <si>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</si>
  <si>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</si>
  <si>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</si>
  <si>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</si>
  <si>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</si>
  <si>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</si>
  <si>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</si>
  <si>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</si>
  <si>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</si>
  <si>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</si>
  <si>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</si>
  <si>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</si>
  <si>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</si>
  <si>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</si>
  <si>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</si>
  <si>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</si>
  <si>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</si>
  <si>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</si>
  <si>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</si>
  <si>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</si>
  <si>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</si>
  <si>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</si>
  <si>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</si>
  <si>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</si>
  <si>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</si>
  <si>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</si>
  <si>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</si>
  <si>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</si>
  <si>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</si>
  <si>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</si>
  <si>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</si>
  <si>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</si>
  <si>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</si>
  <si>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</si>
  <si>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</si>
  <si>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</si>
  <si>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</si>
  <si>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</si>
  <si>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</si>
  <si>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</si>
  <si>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</si>
  <si>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</si>
  <si>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</si>
  <si>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</si>
  <si>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</si>
  <si>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</si>
  <si>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</si>
  <si>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</si>
  <si>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</si>
  <si>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</si>
  <si>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</si>
  <si>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</si>
  <si>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</si>
  <si>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</si>
  <si>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</si>
  <si>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</si>
  <si>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</si>
  <si>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</si>
  <si>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</si>
  <si>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</si>
  <si>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</si>
  <si>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</si>
  <si>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</si>
  <si>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</si>
  <si>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</si>
  <si>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</si>
  <si>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</si>
  <si>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</si>
  <si>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</si>
  <si>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</si>
  <si>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</si>
  <si>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</si>
  <si>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</si>
  <si>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</si>
  <si>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</si>
  <si>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</si>
  <si>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</si>
  <si>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</si>
  <si>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</si>
  <si>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</si>
  <si>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</si>
  <si>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</si>
  <si>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</si>
  <si>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</si>
  <si>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</si>
  <si>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</si>
  <si>
    <t>ZKHM</t>
    <phoneticPr fontId="1" type="noConversion"/>
  </si>
  <si>
    <t>ni1805</t>
  </si>
  <si>
    <t>ni1805</t>
    <phoneticPr fontId="1" type="noConversion"/>
  </si>
  <si>
    <t>al1803</t>
  </si>
  <si>
    <t>al1803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</si>
</sst>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90150</v>
        <stp/>
        <stp>ni1805</stp>
        <stp>LastPrice</stp>
        <tr r="H10" s="1"/>
      </tp>
      <tp>
        <v>14805</v>
        <stp/>
        <stp>al1803</stp>
        <stp>LastPrice</stp>
        <tr r="H11" s="1"/>
      </tp>
      <tp t="e">
        <v>#N/A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Normal="100" workbookViewId="0">
      <selection activeCell="H20" sqref="H2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5" t="s">
        <v>158</v>
      </c>
      <c r="C1" s="95"/>
      <c r="D1" s="95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</row>
    <row r="5" spans="1:17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</row>
    <row r="6" spans="1:17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</row>
    <row r="7" spans="1:17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</row>
    <row r="8" spans="1:17">
      <c r="B8" s="78" t="s">
        <v>159</v>
      </c>
      <c r="C8" s="78"/>
      <c r="D8" s="78" t="s">
        <v>32</v>
      </c>
      <c r="E8" s="78" t="s">
        <v>161</v>
      </c>
      <c r="F8" s="78" t="s">
        <v>162</v>
      </c>
      <c r="G8" s="78" t="s">
        <v>7</v>
      </c>
      <c r="H8" s="78" t="s">
        <v>9</v>
      </c>
      <c r="I8" s="78" t="s">
        <v>10</v>
      </c>
      <c r="J8" s="78" t="s">
        <v>164</v>
      </c>
      <c r="K8" s="78" t="s">
        <v>12</v>
      </c>
      <c r="L8" s="78" t="s">
        <v>166</v>
      </c>
      <c r="M8" s="78" t="s">
        <v>167</v>
      </c>
      <c r="N8" s="78" t="s">
        <v>168</v>
      </c>
      <c r="O8" s="78" t="s">
        <v>26</v>
      </c>
      <c r="P8" s="78" t="s">
        <v>169</v>
      </c>
      <c r="Q8" s="78" t="s">
        <v>15</v>
      </c>
    </row>
    <row r="9" spans="1:17">
      <c r="B9" s="79" t="s">
        <v>20</v>
      </c>
      <c r="C9" s="79">
        <v>-1</v>
      </c>
      <c r="D9" s="79" t="s">
        <v>205</v>
      </c>
      <c r="E9" s="79" t="s">
        <v>39</v>
      </c>
      <c r="F9" s="80">
        <v>90150</v>
      </c>
      <c r="G9" s="79">
        <v>90150</v>
      </c>
      <c r="H9" s="81">
        <v>43070</v>
      </c>
      <c r="I9" s="81">
        <v>43132</v>
      </c>
      <c r="J9" s="79">
        <v>62</v>
      </c>
      <c r="K9" s="82">
        <v>0.16986301369863013</v>
      </c>
      <c r="L9" s="82">
        <v>0</v>
      </c>
      <c r="M9" s="79">
        <v>0.34</v>
      </c>
      <c r="N9" s="83">
        <v>-5018.4950841998507</v>
      </c>
      <c r="O9" s="79">
        <v>0</v>
      </c>
      <c r="P9" s="83">
        <v>0</v>
      </c>
      <c r="Q9" s="110">
        <v>5018</v>
      </c>
    </row>
    <row r="10" spans="1:17">
      <c r="B10" s="79" t="s">
        <v>20</v>
      </c>
      <c r="C10" s="79">
        <v>-1</v>
      </c>
      <c r="D10" s="79" t="s">
        <v>207</v>
      </c>
      <c r="E10" s="79" t="s">
        <v>39</v>
      </c>
      <c r="F10" s="80">
        <v>14805</v>
      </c>
      <c r="G10" s="79">
        <v>14805</v>
      </c>
      <c r="H10" s="81">
        <v>43070</v>
      </c>
      <c r="I10" s="81">
        <v>43132</v>
      </c>
      <c r="J10" s="79">
        <v>62</v>
      </c>
      <c r="K10" s="82">
        <v>0.16986301369863013</v>
      </c>
      <c r="L10" s="82">
        <v>0</v>
      </c>
      <c r="M10" s="79">
        <v>0.19</v>
      </c>
      <c r="N10" s="83">
        <v>-460.82404075350769</v>
      </c>
      <c r="O10" s="79">
        <v>0</v>
      </c>
      <c r="P10" s="83">
        <v>0</v>
      </c>
      <c r="Q10" s="110">
        <v>460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workbookViewId="0">
      <pane ySplit="17" topLeftCell="A18" activePane="bottomLeft" state="frozen"/>
      <selection pane="bottomLeft" sqref="A1:XFD1048576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2" t="s">
        <v>118</v>
      </c>
      <c r="C1" s="102"/>
    </row>
    <row r="2" spans="2:20" ht="12" thickTop="1"/>
    <row r="3" spans="2:20" ht="12.75" thickBot="1">
      <c r="B3" s="103" t="s">
        <v>119</v>
      </c>
      <c r="C3" s="103"/>
      <c r="D3" s="103"/>
      <c r="E3" s="103"/>
      <c r="G3" s="100" t="s">
        <v>120</v>
      </c>
      <c r="H3" s="100"/>
      <c r="I3" s="100"/>
      <c r="J3" s="100"/>
      <c r="L3" s="103" t="s">
        <v>192</v>
      </c>
      <c r="M3" s="103"/>
      <c r="N3" s="103"/>
      <c r="O3" s="103"/>
      <c r="Q3" s="100" t="s">
        <v>193</v>
      </c>
      <c r="R3" s="100"/>
      <c r="S3" s="100"/>
      <c r="T3" s="100"/>
    </row>
    <row r="4" spans="2:20" ht="15" thickTop="1" thickBot="1">
      <c r="B4" s="101" t="s">
        <v>121</v>
      </c>
      <c r="C4" s="101"/>
      <c r="D4" s="101"/>
      <c r="E4" s="101"/>
      <c r="G4" s="101" t="s">
        <v>34</v>
      </c>
      <c r="H4" s="101"/>
      <c r="I4" s="101"/>
      <c r="J4" s="101"/>
      <c r="L4" s="101" t="s">
        <v>121</v>
      </c>
      <c r="M4" s="101"/>
      <c r="N4" s="101"/>
      <c r="O4" s="101"/>
      <c r="Q4" s="101" t="s">
        <v>34</v>
      </c>
      <c r="R4" s="101"/>
      <c r="S4" s="101"/>
      <c r="T4" s="101"/>
    </row>
    <row r="5" spans="2:20" ht="14.25" thickTop="1">
      <c r="B5" s="46" t="s">
        <v>122</v>
      </c>
      <c r="C5" s="47"/>
      <c r="D5" s="48"/>
      <c r="E5" s="49"/>
      <c r="G5" s="96" t="s">
        <v>123</v>
      </c>
      <c r="H5" s="96"/>
      <c r="I5" s="48"/>
      <c r="J5" s="49"/>
      <c r="L5" s="46" t="s">
        <v>122</v>
      </c>
      <c r="M5" s="47"/>
      <c r="N5" s="48"/>
      <c r="O5" s="49"/>
      <c r="Q5" s="96" t="s">
        <v>123</v>
      </c>
      <c r="R5" s="96"/>
      <c r="S5" s="48"/>
      <c r="T5" s="49"/>
    </row>
    <row r="6" spans="2:20" ht="13.5">
      <c r="B6" s="99" t="s">
        <v>124</v>
      </c>
      <c r="C6" s="99"/>
      <c r="D6" s="97" t="s">
        <v>125</v>
      </c>
      <c r="E6" s="98"/>
      <c r="G6" s="96" t="s">
        <v>126</v>
      </c>
      <c r="H6" s="96"/>
      <c r="I6" s="97"/>
      <c r="J6" s="98"/>
      <c r="L6" s="99" t="s">
        <v>124</v>
      </c>
      <c r="M6" s="99"/>
      <c r="N6" s="97" t="s">
        <v>125</v>
      </c>
      <c r="O6" s="98"/>
      <c r="Q6" s="96" t="s">
        <v>126</v>
      </c>
      <c r="R6" s="96"/>
      <c r="S6" s="97"/>
      <c r="T6" s="98"/>
    </row>
    <row r="7" spans="2:20" ht="13.5">
      <c r="B7" s="99" t="s">
        <v>127</v>
      </c>
      <c r="C7" s="99"/>
      <c r="D7" s="97" t="s">
        <v>125</v>
      </c>
      <c r="E7" s="98"/>
      <c r="G7" s="96" t="s">
        <v>128</v>
      </c>
      <c r="H7" s="96"/>
      <c r="I7" s="97"/>
      <c r="J7" s="98"/>
      <c r="L7" s="99" t="s">
        <v>127</v>
      </c>
      <c r="M7" s="99"/>
      <c r="N7" s="97" t="s">
        <v>125</v>
      </c>
      <c r="O7" s="98"/>
      <c r="Q7" s="96" t="s">
        <v>128</v>
      </c>
      <c r="R7" s="96"/>
      <c r="S7" s="97"/>
      <c r="T7" s="98"/>
    </row>
    <row r="8" spans="2:20" ht="13.5">
      <c r="B8" s="99" t="s">
        <v>129</v>
      </c>
      <c r="C8" s="99"/>
      <c r="D8" s="97">
        <f>D13*D15</f>
        <v>305000</v>
      </c>
      <c r="E8" s="98"/>
      <c r="G8" s="96" t="s">
        <v>130</v>
      </c>
      <c r="H8" s="96"/>
      <c r="I8" s="97"/>
      <c r="J8" s="98"/>
      <c r="L8" s="99" t="s">
        <v>129</v>
      </c>
      <c r="M8" s="99"/>
      <c r="N8" s="97">
        <f>N14*N16</f>
        <v>305000</v>
      </c>
      <c r="O8" s="98"/>
      <c r="Q8" s="96" t="s">
        <v>130</v>
      </c>
      <c r="R8" s="96"/>
      <c r="S8" s="97"/>
      <c r="T8" s="98"/>
    </row>
    <row r="9" spans="2:20" ht="13.5">
      <c r="B9" s="99" t="s">
        <v>131</v>
      </c>
      <c r="C9" s="99"/>
      <c r="D9" s="97" t="s">
        <v>132</v>
      </c>
      <c r="E9" s="98"/>
      <c r="G9" s="96" t="s">
        <v>133</v>
      </c>
      <c r="H9" s="96"/>
      <c r="I9" s="97"/>
      <c r="J9" s="98"/>
      <c r="L9" s="99" t="s">
        <v>131</v>
      </c>
      <c r="M9" s="99"/>
      <c r="N9" s="97" t="s">
        <v>132</v>
      </c>
      <c r="O9" s="98"/>
      <c r="Q9" s="96" t="s">
        <v>133</v>
      </c>
      <c r="R9" s="96"/>
      <c r="S9" s="97"/>
      <c r="T9" s="98"/>
    </row>
    <row r="10" spans="2:20" ht="13.5">
      <c r="B10" s="99" t="s">
        <v>134</v>
      </c>
      <c r="C10" s="99"/>
      <c r="D10" s="97">
        <v>43084</v>
      </c>
      <c r="E10" s="98"/>
      <c r="G10" s="43" t="s">
        <v>135</v>
      </c>
      <c r="H10" s="43"/>
      <c r="I10" s="97"/>
      <c r="J10" s="98"/>
      <c r="L10" s="99" t="s">
        <v>134</v>
      </c>
      <c r="M10" s="99"/>
      <c r="N10" s="97">
        <v>43084</v>
      </c>
      <c r="O10" s="98"/>
      <c r="Q10" s="91" t="s">
        <v>135</v>
      </c>
      <c r="R10" s="91"/>
      <c r="S10" s="97"/>
      <c r="T10" s="98"/>
    </row>
    <row r="11" spans="2:20" ht="13.5">
      <c r="B11" s="99" t="s">
        <v>136</v>
      </c>
      <c r="C11" s="99"/>
      <c r="D11" s="97">
        <v>3935</v>
      </c>
      <c r="E11" s="98"/>
      <c r="G11" s="96" t="s">
        <v>137</v>
      </c>
      <c r="H11" s="96"/>
      <c r="I11" s="97"/>
      <c r="J11" s="98"/>
      <c r="L11" s="99" t="s">
        <v>136</v>
      </c>
      <c r="M11" s="99"/>
      <c r="N11" s="97">
        <v>3935</v>
      </c>
      <c r="O11" s="98"/>
      <c r="Q11" s="96" t="s">
        <v>137</v>
      </c>
      <c r="R11" s="96"/>
      <c r="S11" s="97"/>
      <c r="T11" s="98"/>
    </row>
    <row r="12" spans="2:20" ht="13.5">
      <c r="B12" s="99" t="s">
        <v>138</v>
      </c>
      <c r="C12" s="99"/>
      <c r="D12" s="97">
        <v>3800</v>
      </c>
      <c r="E12" s="98"/>
      <c r="G12" s="96" t="s">
        <v>139</v>
      </c>
      <c r="H12" s="96"/>
      <c r="I12" s="97"/>
      <c r="J12" s="98"/>
      <c r="L12" s="99" t="s">
        <v>190</v>
      </c>
      <c r="M12" s="99"/>
      <c r="N12" s="97">
        <v>3800</v>
      </c>
      <c r="O12" s="98"/>
      <c r="Q12" s="96" t="s">
        <v>194</v>
      </c>
      <c r="R12" s="96"/>
      <c r="S12" s="97"/>
      <c r="T12" s="98"/>
    </row>
    <row r="13" spans="2:20" ht="13.5">
      <c r="B13" s="99" t="s">
        <v>140</v>
      </c>
      <c r="C13" s="99"/>
      <c r="D13" s="97">
        <v>61</v>
      </c>
      <c r="E13" s="98"/>
      <c r="G13" s="96" t="s">
        <v>141</v>
      </c>
      <c r="H13" s="96"/>
      <c r="I13" s="97"/>
      <c r="J13" s="98"/>
      <c r="L13" s="99" t="s">
        <v>191</v>
      </c>
      <c r="M13" s="99"/>
      <c r="N13" s="97">
        <v>3800</v>
      </c>
      <c r="O13" s="98"/>
      <c r="Q13" s="96" t="s">
        <v>195</v>
      </c>
      <c r="R13" s="96"/>
      <c r="S13" s="97"/>
      <c r="T13" s="98"/>
    </row>
    <row r="14" spans="2:20" ht="13.5">
      <c r="B14" s="99" t="s">
        <v>142</v>
      </c>
      <c r="C14" s="99"/>
      <c r="D14" s="97" t="s">
        <v>143</v>
      </c>
      <c r="E14" s="98"/>
      <c r="G14" s="96" t="s">
        <v>144</v>
      </c>
      <c r="H14" s="96"/>
      <c r="I14" s="44"/>
      <c r="J14" s="45"/>
      <c r="L14" s="99" t="s">
        <v>140</v>
      </c>
      <c r="M14" s="99"/>
      <c r="N14" s="97">
        <v>61</v>
      </c>
      <c r="O14" s="98"/>
      <c r="Q14" s="96" t="s">
        <v>141</v>
      </c>
      <c r="R14" s="96"/>
      <c r="S14" s="97"/>
      <c r="T14" s="98"/>
    </row>
    <row r="15" spans="2:20" ht="13.5">
      <c r="B15" s="99" t="s">
        <v>145</v>
      </c>
      <c r="C15" s="99"/>
      <c r="D15" s="97">
        <v>5000</v>
      </c>
      <c r="E15" s="98"/>
      <c r="G15" s="96" t="s">
        <v>146</v>
      </c>
      <c r="H15" s="96"/>
      <c r="I15" s="97"/>
      <c r="J15" s="98"/>
      <c r="L15" s="99" t="s">
        <v>142</v>
      </c>
      <c r="M15" s="99"/>
      <c r="N15" s="97" t="s">
        <v>143</v>
      </c>
      <c r="O15" s="98"/>
      <c r="Q15" s="96" t="s">
        <v>144</v>
      </c>
      <c r="R15" s="96"/>
      <c r="S15" s="89"/>
      <c r="T15" s="90"/>
    </row>
    <row r="16" spans="2:20" ht="14.25" thickBot="1">
      <c r="B16" s="107" t="s">
        <v>147</v>
      </c>
      <c r="C16" s="107"/>
      <c r="D16" s="105" t="s">
        <v>148</v>
      </c>
      <c r="E16" s="106"/>
      <c r="G16" s="104" t="s">
        <v>149</v>
      </c>
      <c r="H16" s="104"/>
      <c r="I16" s="105"/>
      <c r="J16" s="106"/>
      <c r="L16" s="99" t="s">
        <v>145</v>
      </c>
      <c r="M16" s="99"/>
      <c r="N16" s="97">
        <v>5000</v>
      </c>
      <c r="O16" s="98"/>
      <c r="Q16" s="96" t="s">
        <v>146</v>
      </c>
      <c r="R16" s="96"/>
      <c r="S16" s="97"/>
      <c r="T16" s="98"/>
    </row>
    <row r="17" spans="2:20" ht="15" thickTop="1" thickBot="1">
      <c r="L17" s="107" t="s">
        <v>147</v>
      </c>
      <c r="M17" s="107"/>
      <c r="N17" s="105" t="s">
        <v>148</v>
      </c>
      <c r="O17" s="106"/>
      <c r="Q17" s="104" t="s">
        <v>149</v>
      </c>
      <c r="R17" s="104"/>
      <c r="S17" s="105"/>
      <c r="T17" s="106"/>
    </row>
    <row r="18" spans="2:20" ht="12" thickTop="1"/>
    <row r="19" spans="2:20" ht="13.5">
      <c r="B19" s="41" t="s">
        <v>150</v>
      </c>
    </row>
  </sheetData>
  <mergeCells count="99"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G15:H15"/>
    <mergeCell ref="I15:J15"/>
    <mergeCell ref="G12:H12"/>
    <mergeCell ref="I12:J12"/>
    <mergeCell ref="G13:H13"/>
    <mergeCell ref="I13:J13"/>
    <mergeCell ref="G14:H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C1" zoomScaleNormal="100" workbookViewId="0">
      <selection activeCell="D10" sqref="D10:S1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2" t="s">
        <v>37</v>
      </c>
      <c r="C1" s="102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43070</v>
      </c>
      <c r="K8" s="21">
        <f ca="1">J8+L8</f>
        <v>43100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 t="e">
        <f>_xll.dnetGBlackScholesNGreeks("price",$G8,$H8,$I8,$M8,$C$3,$N8,$O8,$C$4)*E8</f>
        <v>#VALUE!</v>
      </c>
      <c r="Q8" s="25">
        <v>80</v>
      </c>
      <c r="R8" s="24" t="e">
        <f>Q8/10000*M8*H8</f>
        <v>#N/A</v>
      </c>
      <c r="S8" s="24" t="e">
        <f>IF(P8&lt;=0,ABS(P8)+R8,P8-R8)</f>
        <v>#VALUE!</v>
      </c>
      <c r="T8" s="26" t="e">
        <f>S8/H8</f>
        <v>#VALUE!</v>
      </c>
      <c r="U8" s="24" t="e">
        <f>_xll.dnetGBlackScholesNGreeks("delta",$G8,$H8,$I8,$M8,$C$3,$N8,$O8,$C$4)*E8</f>
        <v>#VALUE!</v>
      </c>
      <c r="V8" s="24" t="e">
        <f>_xll.dnetGBlackScholesNGreeks("vega",$G8,$H8,$I8,$M8,$C$3,$N8,$O8,$C$4)*E8</f>
        <v>#VALUE!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43070</v>
      </c>
      <c r="K9" s="8">
        <f ca="1">J9+L9</f>
        <v>43100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94"/>
      <c r="C10" s="10" t="s">
        <v>203</v>
      </c>
      <c r="D10" s="10" t="s">
        <v>20</v>
      </c>
      <c r="E10" s="10">
        <f>IF(D10="中金买入",1,-1)</f>
        <v>-1</v>
      </c>
      <c r="F10" s="10" t="s">
        <v>206</v>
      </c>
      <c r="G10" s="10" t="s">
        <v>39</v>
      </c>
      <c r="H10" s="11">
        <f>RTD("wdf.rtq",,F10,"LastPrice")</f>
        <v>90150</v>
      </c>
      <c r="I10" s="10">
        <v>90150</v>
      </c>
      <c r="J10" s="8">
        <f ca="1">TODAY()</f>
        <v>43070</v>
      </c>
      <c r="K10" s="8">
        <f ca="1">J10+L10</f>
        <v>43132</v>
      </c>
      <c r="L10" s="10">
        <v>62</v>
      </c>
      <c r="M10" s="12">
        <f>L10/365</f>
        <v>0.16986301369863013</v>
      </c>
      <c r="N10" s="12">
        <v>0</v>
      </c>
      <c r="O10" s="9">
        <v>0.34</v>
      </c>
      <c r="P10" s="13">
        <f>_xll.dnetGBlackScholesNGreeks("price",$G10,$H10,$I10,$M10,$C$3,$N10,$O10,$C$4)*E10</f>
        <v>-5018.4950841998507</v>
      </c>
      <c r="Q10" s="15">
        <v>0</v>
      </c>
      <c r="R10" s="13">
        <f>Q10/10000*M10*H10</f>
        <v>0</v>
      </c>
      <c r="S10" s="13">
        <f>IF(P10&lt;=0,ABS(P10)+R10,P10-R10)</f>
        <v>5018.4950841998507</v>
      </c>
      <c r="T10" s="14">
        <f>S10/H10</f>
        <v>5.5668276031057687E-2</v>
      </c>
      <c r="U10" s="13">
        <f>_xll.dnetGBlackScholesNGreeks("delta",$G10,$H10,$I10,$M10,$C$3,$N10,$O10,$C$4)*E10</f>
        <v>-0.52613838997785933</v>
      </c>
      <c r="V10" s="13">
        <f>_xll.dnetGBlackScholesNGreeks("vega",$G10,$H10,$I10,$M10,$C$3,$N10,$O10,$C$4)*E10</f>
        <v>-147.36132146455566</v>
      </c>
    </row>
    <row r="11" spans="1:22">
      <c r="B11" s="94"/>
      <c r="C11" s="10" t="s">
        <v>203</v>
      </c>
      <c r="D11" s="10" t="s">
        <v>20</v>
      </c>
      <c r="E11" s="10">
        <f>IF(D11="中金买入",1,-1)</f>
        <v>-1</v>
      </c>
      <c r="F11" s="10" t="s">
        <v>208</v>
      </c>
      <c r="G11" s="10" t="s">
        <v>39</v>
      </c>
      <c r="H11" s="11">
        <f>RTD("wdf.rtq",,F11,"LastPrice")</f>
        <v>14805</v>
      </c>
      <c r="I11" s="10">
        <v>14805</v>
      </c>
      <c r="J11" s="8">
        <f ca="1">TODAY()</f>
        <v>43070</v>
      </c>
      <c r="K11" s="8">
        <f ca="1">J11+L11</f>
        <v>43132</v>
      </c>
      <c r="L11" s="10">
        <v>62</v>
      </c>
      <c r="M11" s="12">
        <f>L11/365</f>
        <v>0.16986301369863013</v>
      </c>
      <c r="N11" s="12">
        <v>0</v>
      </c>
      <c r="O11" s="9">
        <v>0.19</v>
      </c>
      <c r="P11" s="13">
        <f>_xll.dnetGBlackScholesNGreeks("price",$G11,$H11,$I11,$M11,$C$3,$N11,$O11,$C$4)*E11</f>
        <v>-460.82404075350769</v>
      </c>
      <c r="Q11" s="15">
        <v>0</v>
      </c>
      <c r="R11" s="13">
        <f>Q11/10000*M11*H11</f>
        <v>0</v>
      </c>
      <c r="S11" s="13">
        <f>IF(P11&lt;=0,ABS(P11)+R11,P11-R11)</f>
        <v>460.82404075350769</v>
      </c>
      <c r="T11" s="14">
        <f>S11/H11</f>
        <v>3.1126243887437195E-2</v>
      </c>
      <c r="U11" s="13">
        <f>_xll.dnetGBlackScholesNGreeks("delta",$G11,$H11,$I11,$M11,$C$3,$N11,$O11,$C$4)*E11</f>
        <v>-0.51386737391112547</v>
      </c>
      <c r="V11" s="13">
        <f>_xll.dnetGBlackScholesNGreeks("vega",$G11,$H11,$I11,$M11,$C$3,$N11,$O11,$C$4)*E11</f>
        <v>-24.241488431932794</v>
      </c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C11" sqref="C1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8" t="s">
        <v>37</v>
      </c>
      <c r="C1" s="102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43070</v>
      </c>
      <c r="K8" s="57">
        <f ca="1">J8+L8</f>
        <v>43100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43070</v>
      </c>
      <c r="K9" s="65">
        <f t="shared" ca="1" si="0"/>
        <v>43100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43070</v>
      </c>
      <c r="K10" s="73">
        <f t="shared" ca="1" si="0"/>
        <v>43100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S1" workbookViewId="0">
      <selection activeCell="I17" sqref="I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2" t="s">
        <v>38</v>
      </c>
      <c r="C1" s="10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28">
        <v>0.02</v>
      </c>
      <c r="M8" s="21">
        <f ca="1">TODAY()</f>
        <v>43070</v>
      </c>
      <c r="N8" s="21">
        <f ca="1">M8+O8</f>
        <v>43100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43070</v>
      </c>
      <c r="N9" s="8">
        <f ca="1">M9+O9</f>
        <v>43100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2" sqref="A12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204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09" t="s">
        <v>37</v>
      </c>
      <c r="C1" s="109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43070</v>
      </c>
      <c r="K8" s="21">
        <f ca="1">J8+L8</f>
        <v>43100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43070</v>
      </c>
      <c r="K9" s="8">
        <f ca="1">J9+L9</f>
        <v>43100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43070</v>
      </c>
      <c r="K10" s="8">
        <f ca="1">J10+L10</f>
        <v>43100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2017-12-01T12:20:28Z</dcterms:modified>
</cp:coreProperties>
</file>