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2415" windowWidth="14805" windowHeight="5700" firstSheet="3" activeTab="3"/>
  </bookViews>
  <sheets>
    <sheet name="risk_calc" sheetId="1" r:id="rId1"/>
    <sheet name="opt_record" sheetId="7" r:id="rId2"/>
    <sheet name="fut_record" sheetId="3" r:id="rId3"/>
    <sheet name="pnl" sheetId="4" r:id="rId4"/>
    <sheet name="opt_cash_flow" sheetId="5" r:id="rId5"/>
    <sheet name="premium " sheetId="6" r:id="rId6"/>
  </sheets>
  <definedNames>
    <definedName name="_xlnm._FilterDatabase" localSheetId="2" hidden="1">fut_record!$B$5:$N$62</definedName>
  </definedNames>
  <calcPr calcId="152511" calcMode="manual"/>
</workbook>
</file>

<file path=xl/calcChain.xml><?xml version="1.0" encoding="utf-8"?>
<calcChain xmlns="http://schemas.openxmlformats.org/spreadsheetml/2006/main">
  <c r="I23" i="4" l="1"/>
  <c r="F80" i="3" l="1"/>
  <c r="S10" i="1"/>
  <c r="F79" i="3" l="1"/>
  <c r="A32" i="4"/>
  <c r="F78" i="3" l="1"/>
  <c r="F77" i="3" l="1"/>
  <c r="F76" i="3" l="1"/>
  <c r="F75" i="3" l="1"/>
  <c r="F74" i="3" l="1"/>
  <c r="F49" i="3" l="1"/>
  <c r="A30" i="4" l="1"/>
  <c r="A31" i="4"/>
  <c r="F73" i="3" l="1"/>
  <c r="F72" i="3" l="1"/>
  <c r="F71" i="3"/>
  <c r="F70" i="3" l="1"/>
  <c r="F69" i="3" l="1"/>
  <c r="F68" i="3"/>
  <c r="A28" i="4"/>
  <c r="A29" i="4"/>
  <c r="H35" i="1"/>
  <c r="H34" i="1"/>
  <c r="F67" i="3"/>
  <c r="J12" i="3"/>
  <c r="J11" i="3"/>
  <c r="F66" i="3"/>
  <c r="F65" i="3"/>
  <c r="F64" i="3"/>
  <c r="C3" i="1"/>
  <c r="B29" i="1"/>
  <c r="H29" i="1"/>
  <c r="H30" i="1"/>
  <c r="H31" i="1"/>
  <c r="H32" i="1"/>
  <c r="H33" i="1"/>
  <c r="F63" i="3"/>
  <c r="A27" i="4"/>
  <c r="A26" i="4"/>
  <c r="F62" i="3"/>
  <c r="F61" i="3"/>
  <c r="F60" i="3"/>
  <c r="F59" i="3"/>
  <c r="F58" i="3"/>
  <c r="F57" i="3"/>
  <c r="K12" i="3" s="1"/>
  <c r="F56" i="3"/>
  <c r="A25" i="4"/>
  <c r="F55" i="3"/>
  <c r="F54" i="3"/>
  <c r="F53" i="3"/>
  <c r="A23" i="4"/>
  <c r="A24" i="4"/>
  <c r="F52" i="3"/>
  <c r="F51" i="3"/>
  <c r="F50" i="3"/>
  <c r="F48" i="3"/>
  <c r="F47" i="3"/>
  <c r="F46" i="3"/>
  <c r="A16" i="4"/>
  <c r="A17" i="4"/>
  <c r="A18" i="4"/>
  <c r="A19" i="4"/>
  <c r="A20" i="4"/>
  <c r="A21" i="4"/>
  <c r="A22" i="4"/>
  <c r="A15" i="4"/>
  <c r="F45" i="3"/>
  <c r="H28" i="1"/>
  <c r="F44" i="3"/>
  <c r="F43" i="3"/>
  <c r="J10" i="3"/>
  <c r="M10" i="3" s="1"/>
  <c r="F42" i="3"/>
  <c r="F41" i="3"/>
  <c r="F40" i="3"/>
  <c r="F39" i="3"/>
  <c r="H27" i="1"/>
  <c r="F38" i="3"/>
  <c r="F37" i="3"/>
  <c r="J9" i="3"/>
  <c r="M9" i="3" s="1"/>
  <c r="F36" i="3"/>
  <c r="I43" i="6"/>
  <c r="H45" i="6"/>
  <c r="I45" i="6" s="1"/>
  <c r="F35" i="3"/>
  <c r="F34" i="3"/>
  <c r="U28" i="1"/>
  <c r="F33" i="3"/>
  <c r="F32" i="3"/>
  <c r="H26" i="1"/>
  <c r="H14" i="1"/>
  <c r="H15" i="1"/>
  <c r="H17" i="1"/>
  <c r="H18" i="1"/>
  <c r="H19" i="1"/>
  <c r="H20" i="1"/>
  <c r="H21" i="1"/>
  <c r="H22" i="1"/>
  <c r="H23" i="1"/>
  <c r="H24" i="1"/>
  <c r="H25" i="1"/>
  <c r="H13" i="1"/>
  <c r="F31" i="3"/>
  <c r="F30" i="3"/>
  <c r="J8" i="3"/>
  <c r="M8" i="3" s="1"/>
  <c r="F29" i="3"/>
  <c r="F28" i="3"/>
  <c r="A8" i="4"/>
  <c r="A9" i="4"/>
  <c r="A10" i="4"/>
  <c r="A11" i="4"/>
  <c r="A12" i="4"/>
  <c r="A13" i="4"/>
  <c r="A14" i="4"/>
  <c r="A7" i="4"/>
  <c r="F27" i="3"/>
  <c r="F26" i="3"/>
  <c r="F25" i="3"/>
  <c r="F24" i="3"/>
  <c r="F23" i="3"/>
  <c r="J7" i="3"/>
  <c r="M7" i="3" s="1"/>
  <c r="F22" i="3"/>
  <c r="F21" i="3"/>
  <c r="F20" i="3"/>
  <c r="F19" i="3"/>
  <c r="D3" i="4"/>
  <c r="F18" i="3"/>
  <c r="F17" i="3"/>
  <c r="C34" i="6"/>
  <c r="B34" i="6"/>
  <c r="D27" i="6"/>
  <c r="D28" i="6"/>
  <c r="D29" i="6"/>
  <c r="D30" i="6"/>
  <c r="D31" i="6"/>
  <c r="D32" i="6"/>
  <c r="D33" i="6"/>
  <c r="D26" i="6"/>
  <c r="F16" i="3"/>
  <c r="F15" i="3"/>
  <c r="F14" i="3"/>
  <c r="F13" i="3"/>
  <c r="F12" i="3"/>
  <c r="F11" i="3"/>
  <c r="F10" i="3"/>
  <c r="F9" i="3"/>
  <c r="F8" i="3"/>
  <c r="Z7" i="1"/>
  <c r="U15" i="1"/>
  <c r="U16" i="1"/>
  <c r="U17" i="1"/>
  <c r="J6" i="3"/>
  <c r="M6" i="3" s="1"/>
  <c r="F6" i="3"/>
  <c r="C22" i="4"/>
  <c r="E22" i="4" s="1"/>
  <c r="C19" i="4"/>
  <c r="E19" i="4" s="1"/>
  <c r="C12" i="4"/>
  <c r="E12" i="4" s="1"/>
  <c r="C11" i="4"/>
  <c r="E11" i="4" s="1"/>
  <c r="B13" i="1"/>
  <c r="C20" i="4"/>
  <c r="E20" i="4" s="1"/>
  <c r="C21" i="4"/>
  <c r="E21" i="4" s="1"/>
  <c r="C18" i="4"/>
  <c r="E18" i="4" s="1"/>
  <c r="C17" i="4"/>
  <c r="E17" i="4" s="1"/>
  <c r="C15" i="4"/>
  <c r="E15" i="4" s="1"/>
  <c r="C16" i="4"/>
  <c r="E16" i="4" s="1"/>
  <c r="C13" i="4"/>
  <c r="E13" i="4" s="1"/>
  <c r="C14" i="4"/>
  <c r="E14" i="4" s="1"/>
  <c r="C9" i="4"/>
  <c r="E9" i="4" s="1"/>
  <c r="C10" i="4"/>
  <c r="E10" i="4" s="1"/>
  <c r="C8" i="4"/>
  <c r="E8" i="4" s="1"/>
  <c r="C7" i="4"/>
  <c r="C23" i="4"/>
  <c r="E23" i="4" s="1"/>
  <c r="C24" i="4"/>
  <c r="E24" i="4" s="1"/>
  <c r="I23" i="6"/>
  <c r="D45" i="6"/>
  <c r="AA28" i="1"/>
  <c r="AA15" i="1"/>
  <c r="AA17" i="1"/>
  <c r="D46" i="6"/>
  <c r="AA16" i="1"/>
  <c r="S38" i="1" l="1"/>
  <c r="R38" i="1"/>
  <c r="S37" i="1"/>
  <c r="S36" i="1"/>
  <c r="K10" i="3"/>
  <c r="N10" i="3" s="1"/>
  <c r="R14" i="1"/>
  <c r="R26" i="1"/>
  <c r="R27" i="1"/>
  <c r="R33" i="1"/>
  <c r="R28" i="1"/>
  <c r="K8" i="3"/>
  <c r="N8" i="3" s="1"/>
  <c r="K6" i="3"/>
  <c r="N6" i="3" s="1"/>
  <c r="D34" i="6"/>
  <c r="K7" i="3"/>
  <c r="N7" i="3" s="1"/>
  <c r="K9" i="3"/>
  <c r="N9" i="3" s="1"/>
  <c r="J4" i="3"/>
  <c r="J11" i="1" s="1"/>
  <c r="K11" i="3"/>
  <c r="E46" i="6"/>
  <c r="M12" i="3"/>
  <c r="N12" i="3" s="1"/>
  <c r="S34" i="1"/>
  <c r="U34" i="1" s="1"/>
  <c r="S26" i="1"/>
  <c r="U26" i="1" s="1"/>
  <c r="S22" i="1"/>
  <c r="U22" i="1" s="1"/>
  <c r="S13" i="1"/>
  <c r="U13" i="1" s="1"/>
  <c r="S20" i="1"/>
  <c r="U20" i="1" s="1"/>
  <c r="S35" i="1"/>
  <c r="U35" i="1" s="1"/>
  <c r="S19" i="1"/>
  <c r="U19" i="1" s="1"/>
  <c r="S30" i="1"/>
  <c r="U30" i="1" s="1"/>
  <c r="S32" i="1"/>
  <c r="U32" i="1" s="1"/>
  <c r="S31" i="1"/>
  <c r="U31" i="1" s="1"/>
  <c r="S24" i="1"/>
  <c r="U24" i="1" s="1"/>
  <c r="S18" i="1"/>
  <c r="U18" i="1" s="1"/>
  <c r="S23" i="1"/>
  <c r="U23" i="1" s="1"/>
  <c r="S33" i="1"/>
  <c r="U33" i="1" s="1"/>
  <c r="S25" i="1"/>
  <c r="U25" i="1" s="1"/>
  <c r="S27" i="1"/>
  <c r="U27" i="1" s="1"/>
  <c r="S21" i="1"/>
  <c r="U21" i="1" s="1"/>
  <c r="S29" i="1"/>
  <c r="U29" i="1" s="1"/>
  <c r="S14" i="1"/>
  <c r="U14" i="1" s="1"/>
  <c r="E45" i="6"/>
  <c r="M11" i="3"/>
  <c r="R24" i="1"/>
  <c r="R13" i="1"/>
  <c r="E7" i="4"/>
  <c r="R32" i="1"/>
  <c r="R25" i="1"/>
  <c r="R31" i="1"/>
  <c r="R23" i="1"/>
  <c r="AA25" i="1"/>
  <c r="AA32" i="1"/>
  <c r="AA31" i="1"/>
  <c r="AA13" i="1"/>
  <c r="AA27" i="1"/>
  <c r="AA19" i="1"/>
  <c r="AA18" i="1"/>
  <c r="AA24" i="1"/>
  <c r="AA35" i="1"/>
  <c r="AA20" i="1"/>
  <c r="AA22" i="1"/>
  <c r="AA33" i="1"/>
  <c r="N23" i="6"/>
  <c r="AA21" i="1"/>
  <c r="AA14" i="1"/>
  <c r="AA34" i="1"/>
  <c r="AA26" i="1"/>
  <c r="AA23" i="1"/>
  <c r="H38" i="1" l="1"/>
  <c r="H37" i="1"/>
  <c r="H36" i="1"/>
  <c r="U10" i="1"/>
  <c r="V10" i="1" s="1"/>
  <c r="N11" i="3"/>
  <c r="N4" i="3" s="1"/>
  <c r="G3" i="4" s="1"/>
  <c r="P34" i="1"/>
  <c r="U38" i="1" l="1"/>
  <c r="U37" i="1"/>
  <c r="U36" i="1"/>
  <c r="C29" i="4"/>
  <c r="E29" i="4" s="1"/>
  <c r="C28" i="4"/>
  <c r="E28" i="4" s="1"/>
  <c r="C27" i="4"/>
  <c r="E27" i="4" s="1"/>
  <c r="C25" i="4"/>
  <c r="C26" i="4"/>
  <c r="E26" i="4" s="1"/>
  <c r="J38" i="1"/>
  <c r="O38" i="1"/>
  <c r="M38" i="1"/>
  <c r="P38" i="1"/>
  <c r="I38" i="1"/>
  <c r="N38" i="1"/>
  <c r="K38" i="1"/>
  <c r="L38" i="1"/>
  <c r="C32" i="4" l="1"/>
  <c r="E32" i="4" s="1"/>
  <c r="C30" i="4"/>
  <c r="E30" i="4" s="1"/>
  <c r="C31" i="4"/>
  <c r="E31" i="4" s="1"/>
  <c r="J10" i="1"/>
  <c r="J9" i="1" s="1"/>
  <c r="M11" i="1"/>
  <c r="E25" i="4"/>
  <c r="C3" i="4" l="1"/>
  <c r="E3" i="4"/>
  <c r="H3" i="4" s="1"/>
</calcChain>
</file>

<file path=xl/sharedStrings.xml><?xml version="1.0" encoding="utf-8"?>
<sst xmlns="http://schemas.openxmlformats.org/spreadsheetml/2006/main" count="307" uniqueCount="204">
  <si>
    <t>20170110-SYPZ-IF1701-SF-C-91-Sell</t>
  </si>
  <si>
    <t>deal_id</t>
    <phoneticPr fontId="2" type="noConversion"/>
  </si>
  <si>
    <t>实际本金</t>
    <phoneticPr fontId="2" type="noConversion"/>
  </si>
  <si>
    <t>实际本金(手数)</t>
    <phoneticPr fontId="2" type="noConversion"/>
  </si>
  <si>
    <t>delta(amt)</t>
    <phoneticPr fontId="2" type="noConversion"/>
  </si>
  <si>
    <t>delta(qty)</t>
    <phoneticPr fontId="2" type="noConversion"/>
  </si>
  <si>
    <t>delta+(qty)</t>
    <phoneticPr fontId="2" type="noConversion"/>
  </si>
  <si>
    <t>delta-(qty)</t>
    <phoneticPr fontId="2" type="noConversion"/>
  </si>
  <si>
    <t>gammap</t>
    <phoneticPr fontId="2" type="noConversion"/>
  </si>
  <si>
    <t>vega</t>
    <phoneticPr fontId="2" type="noConversion"/>
  </si>
  <si>
    <t>theta</t>
    <phoneticPr fontId="2" type="noConversion"/>
  </si>
  <si>
    <t>mkt_value</t>
    <phoneticPr fontId="2" type="noConversion"/>
  </si>
  <si>
    <t>x1</t>
    <phoneticPr fontId="2" type="noConversion"/>
  </si>
  <si>
    <t>x2</t>
    <phoneticPr fontId="2" type="noConversion"/>
  </si>
  <si>
    <t>h1</t>
    <phoneticPr fontId="2" type="noConversion"/>
  </si>
  <si>
    <t>h2</t>
    <phoneticPr fontId="2" type="noConversion"/>
  </si>
  <si>
    <t>rebate</t>
    <phoneticPr fontId="2" type="noConversion"/>
  </si>
  <si>
    <t>obsv_end</t>
    <phoneticPr fontId="2" type="noConversion"/>
  </si>
  <si>
    <t>expiration</t>
    <phoneticPr fontId="2" type="noConversion"/>
  </si>
  <si>
    <t>Today</t>
    <phoneticPr fontId="2" type="noConversion"/>
  </si>
  <si>
    <t>Int.Rate</t>
    <phoneticPr fontId="2" type="noConversion"/>
  </si>
  <si>
    <t>Volatility</t>
    <phoneticPr fontId="2" type="noConversion"/>
  </si>
  <si>
    <t>under_value</t>
    <phoneticPr fontId="2" type="noConversion"/>
  </si>
  <si>
    <t>option</t>
    <phoneticPr fontId="2" type="noConversion"/>
  </si>
  <si>
    <t>type</t>
    <phoneticPr fontId="2" type="noConversion"/>
  </si>
  <si>
    <t>SF</t>
    <phoneticPr fontId="2" type="noConversion"/>
  </si>
  <si>
    <t>s</t>
    <phoneticPr fontId="2" type="noConversion"/>
  </si>
  <si>
    <t>Carry</t>
    <phoneticPr fontId="2" type="noConversion"/>
  </si>
  <si>
    <t>cuo</t>
    <phoneticPr fontId="2" type="noConversion"/>
  </si>
  <si>
    <t>direction</t>
    <phoneticPr fontId="2" type="noConversion"/>
  </si>
  <si>
    <t>sell</t>
    <phoneticPr fontId="2" type="noConversion"/>
  </si>
  <si>
    <t>posi</t>
    <phoneticPr fontId="2" type="noConversion"/>
  </si>
  <si>
    <t>init_price</t>
    <phoneticPr fontId="2" type="noConversion"/>
  </si>
  <si>
    <t>date</t>
    <phoneticPr fontId="2" type="noConversion"/>
  </si>
  <si>
    <t>cash_flow</t>
    <phoneticPr fontId="2" type="noConversion"/>
  </si>
  <si>
    <t>total cash</t>
    <phoneticPr fontId="2" type="noConversion"/>
  </si>
  <si>
    <t>total_cash</t>
    <phoneticPr fontId="2" type="noConversion"/>
  </si>
  <si>
    <t>ytd p/l</t>
    <phoneticPr fontId="2" type="noConversion"/>
  </si>
  <si>
    <t>option</t>
    <phoneticPr fontId="2" type="noConversion"/>
  </si>
  <si>
    <t>future</t>
    <phoneticPr fontId="2" type="noConversion"/>
  </si>
  <si>
    <t>market value</t>
    <phoneticPr fontId="2" type="noConversion"/>
  </si>
  <si>
    <t>market value</t>
    <phoneticPr fontId="2" type="noConversion"/>
  </si>
  <si>
    <t>notional</t>
    <phoneticPr fontId="2" type="noConversion"/>
  </si>
  <si>
    <t>total opt p/l</t>
    <phoneticPr fontId="2" type="noConversion"/>
  </si>
  <si>
    <t>total hedge p/l</t>
    <phoneticPr fontId="2" type="noConversion"/>
  </si>
  <si>
    <t xml:space="preserve">Index option valuation &amp; hedging daily report(单位 元) </t>
    <phoneticPr fontId="2" type="noConversion"/>
  </si>
  <si>
    <t>deal_id</t>
  </si>
  <si>
    <t>ctpt_name</t>
  </si>
  <si>
    <t>ctpt_code</t>
  </si>
  <si>
    <t>trd_date</t>
  </si>
  <si>
    <t>exp_date</t>
  </si>
  <si>
    <t>obsv_beg_date</t>
  </si>
  <si>
    <t>obsv_end_date</t>
  </si>
  <si>
    <t>setl_date</t>
  </si>
  <si>
    <t>prem_date</t>
  </si>
  <si>
    <t>opt_tenor</t>
  </si>
  <si>
    <t>prod_tenor</t>
  </si>
  <si>
    <t>book_style</t>
  </si>
  <si>
    <t>under_asset</t>
  </si>
  <si>
    <t>initial_price</t>
  </si>
  <si>
    <t>annual_notion</t>
  </si>
  <si>
    <t>real_notion</t>
  </si>
  <si>
    <t>under_qty</t>
  </si>
  <si>
    <t>prem</t>
  </si>
  <si>
    <t>prem_rate</t>
  </si>
  <si>
    <t>rebate_cash</t>
  </si>
  <si>
    <t>rebate_rate</t>
  </si>
  <si>
    <t>opt_struct</t>
  </si>
  <si>
    <t>opt_struct_abbrv</t>
  </si>
  <si>
    <t>opt_style</t>
  </si>
  <si>
    <t>opt_style_abbrv</t>
  </si>
  <si>
    <t>x1</t>
  </si>
  <si>
    <t>x1_per</t>
  </si>
  <si>
    <t>x2</t>
  </si>
  <si>
    <t>x2_per</t>
  </si>
  <si>
    <t>x3</t>
  </si>
  <si>
    <t>x3_per</t>
  </si>
  <si>
    <t>x4</t>
  </si>
  <si>
    <t>x4_per</t>
  </si>
  <si>
    <t>b1</t>
  </si>
  <si>
    <t>b1_per</t>
  </si>
  <si>
    <t>b2</t>
  </si>
  <si>
    <t>b2_per</t>
  </si>
  <si>
    <t>continuouse_obsv</t>
  </si>
  <si>
    <t>deal_stat</t>
  </si>
  <si>
    <t>deal_direct</t>
  </si>
  <si>
    <t>b2bflg</t>
  </si>
  <si>
    <t>create_time</t>
  </si>
  <si>
    <t>confirmd</t>
  </si>
  <si>
    <t>short</t>
  </si>
  <si>
    <t>Normal</t>
  </si>
  <si>
    <t>收益凭证</t>
  </si>
  <si>
    <t>SYPZ</t>
  </si>
  <si>
    <t>Swap Style</t>
  </si>
  <si>
    <t>单边鲨鱼鳍</t>
  </si>
  <si>
    <t>SF</t>
  </si>
  <si>
    <t>看涨</t>
  </si>
  <si>
    <t>C</t>
  </si>
  <si>
    <t>20170110-SYPZ-399300-SF-C-91-Sell</t>
  </si>
  <si>
    <t>date</t>
    <phoneticPr fontId="2" type="noConversion"/>
  </si>
  <si>
    <t>ticker code</t>
    <phoneticPr fontId="2" type="noConversion"/>
  </si>
  <si>
    <t>qty</t>
    <phoneticPr fontId="2" type="noConversion"/>
  </si>
  <si>
    <t>deal price</t>
    <phoneticPr fontId="2" type="noConversion"/>
  </si>
  <si>
    <t>if1703</t>
    <phoneticPr fontId="2" type="noConversion"/>
  </si>
  <si>
    <t>if1703</t>
    <phoneticPr fontId="2" type="noConversion"/>
  </si>
  <si>
    <t>trade cost</t>
    <phoneticPr fontId="2" type="noConversion"/>
  </si>
  <si>
    <t>total cost</t>
    <phoneticPr fontId="2" type="noConversion"/>
  </si>
  <si>
    <t>position</t>
    <phoneticPr fontId="2" type="noConversion"/>
  </si>
  <si>
    <t>p/l</t>
    <phoneticPr fontId="2" type="noConversion"/>
  </si>
  <si>
    <t>adjusted x1</t>
    <phoneticPr fontId="2" type="noConversion"/>
  </si>
  <si>
    <t>20170112-SYPZ-A4-000300-SF-C-89-Sell</t>
  </si>
  <si>
    <t>total value1</t>
    <phoneticPr fontId="2" type="noConversion"/>
  </si>
  <si>
    <t>20170120-SYPZ-A5-000300-SF-C-31</t>
  </si>
  <si>
    <t>20170120-SYPZ-A6-000300-SF-P-31</t>
  </si>
  <si>
    <t>SF</t>
    <phoneticPr fontId="2" type="noConversion"/>
  </si>
  <si>
    <t>cuo</t>
    <phoneticPr fontId="2" type="noConversion"/>
  </si>
  <si>
    <t>pdo</t>
    <phoneticPr fontId="2" type="noConversion"/>
  </si>
  <si>
    <t>sell</t>
    <phoneticPr fontId="2" type="noConversion"/>
  </si>
  <si>
    <t>sell</t>
    <phoneticPr fontId="2" type="noConversion"/>
  </si>
  <si>
    <t>if1703</t>
    <phoneticPr fontId="2" type="noConversion"/>
  </si>
  <si>
    <t>closeprice</t>
    <phoneticPr fontId="2" type="noConversion"/>
  </si>
  <si>
    <t>if1703</t>
    <phoneticPr fontId="2" type="noConversion"/>
  </si>
  <si>
    <t xml:space="preserve"> </t>
    <phoneticPr fontId="2" type="noConversion"/>
  </si>
  <si>
    <t>20170126-PAZQ-000300</t>
    <phoneticPr fontId="2" type="noConversion"/>
  </si>
  <si>
    <t>if1703</t>
    <phoneticPr fontId="2" type="noConversion"/>
  </si>
  <si>
    <t>SF</t>
    <phoneticPr fontId="2" type="noConversion"/>
  </si>
  <si>
    <t>cuo</t>
    <phoneticPr fontId="2" type="noConversion"/>
  </si>
  <si>
    <t>sell</t>
    <phoneticPr fontId="2" type="noConversion"/>
  </si>
  <si>
    <t>pdo</t>
    <phoneticPr fontId="2" type="noConversion"/>
  </si>
  <si>
    <t>20170227-ZRB-000300-SF-C</t>
    <phoneticPr fontId="2" type="noConversion"/>
  </si>
  <si>
    <t>real_vol</t>
    <phoneticPr fontId="2" type="noConversion"/>
  </si>
  <si>
    <t>20170222-SYPZ-A9-000300-SF-C-33</t>
    <phoneticPr fontId="2" type="noConversion"/>
  </si>
  <si>
    <t>20170310-SYPZ-000300-SF-C</t>
    <phoneticPr fontId="2" type="noConversion"/>
  </si>
  <si>
    <t>20170310-SYPZ-000300-SF-P</t>
    <phoneticPr fontId="2" type="noConversion"/>
  </si>
  <si>
    <t>if1704</t>
    <phoneticPr fontId="2" type="noConversion"/>
  </si>
  <si>
    <t>if1704</t>
    <phoneticPr fontId="2" type="noConversion"/>
  </si>
  <si>
    <t>if1704</t>
    <phoneticPr fontId="2" type="noConversion"/>
  </si>
  <si>
    <t>if1704</t>
    <phoneticPr fontId="2" type="noConversion"/>
  </si>
  <si>
    <t>deal</t>
    <phoneticPr fontId="2" type="noConversion"/>
  </si>
  <si>
    <t>20170322-ZRB-000300-SF-C</t>
    <phoneticPr fontId="2" type="noConversion"/>
  </si>
  <si>
    <t>20170322-ZRB-000300-SF-P</t>
    <phoneticPr fontId="2" type="noConversion"/>
  </si>
  <si>
    <t>SF</t>
    <phoneticPr fontId="2" type="noConversion"/>
  </si>
  <si>
    <t>cuo</t>
    <phoneticPr fontId="2" type="noConversion"/>
  </si>
  <si>
    <t>sell</t>
    <phoneticPr fontId="2" type="noConversion"/>
  </si>
  <si>
    <t>SF</t>
    <phoneticPr fontId="2" type="noConversion"/>
  </si>
  <si>
    <t>cuo</t>
    <phoneticPr fontId="2" type="noConversion"/>
  </si>
  <si>
    <t>20170227-ZRB-000300-SF-P</t>
    <phoneticPr fontId="2" type="noConversion"/>
  </si>
  <si>
    <t>pdo</t>
    <phoneticPr fontId="2" type="noConversion"/>
  </si>
  <si>
    <t>20170330-PAZQ-000300-SF-C-33</t>
    <phoneticPr fontId="2" type="noConversion"/>
  </si>
  <si>
    <t>SF</t>
    <phoneticPr fontId="2" type="noConversion"/>
  </si>
  <si>
    <t>cuo</t>
    <phoneticPr fontId="2" type="noConversion"/>
  </si>
  <si>
    <t>sell</t>
    <phoneticPr fontId="2" type="noConversion"/>
  </si>
  <si>
    <t>if1705</t>
    <phoneticPr fontId="2" type="noConversion"/>
  </si>
  <si>
    <t>if1704</t>
    <phoneticPr fontId="2" type="noConversion"/>
  </si>
  <si>
    <t>if1704</t>
    <phoneticPr fontId="2" type="noConversion"/>
  </si>
  <si>
    <t>if1705</t>
    <phoneticPr fontId="2" type="noConversion"/>
  </si>
  <si>
    <t>if1706</t>
    <phoneticPr fontId="2" type="noConversion"/>
  </si>
  <si>
    <t>if1706.cfe</t>
    <phoneticPr fontId="2" type="noConversion"/>
  </si>
  <si>
    <t>if1705</t>
    <phoneticPr fontId="2" type="noConversion"/>
  </si>
  <si>
    <t>if1705</t>
    <phoneticPr fontId="2" type="noConversion"/>
  </si>
  <si>
    <t>if1709</t>
    <phoneticPr fontId="2" type="noConversion"/>
  </si>
  <si>
    <t>if1709.cfe</t>
    <phoneticPr fontId="2" type="noConversion"/>
  </si>
  <si>
    <t>if1709</t>
    <phoneticPr fontId="2" type="noConversion"/>
  </si>
  <si>
    <t>if1709</t>
    <phoneticPr fontId="2" type="noConversion"/>
  </si>
  <si>
    <t>if1709</t>
  </si>
  <si>
    <t>20170505-SYPZ-A23-000300-SF-C-89</t>
    <phoneticPr fontId="2" type="noConversion"/>
  </si>
  <si>
    <t>20170512-SYPZ-A21-000300-SF-C-88</t>
    <phoneticPr fontId="2" type="noConversion"/>
  </si>
  <si>
    <t>SF</t>
    <phoneticPr fontId="2" type="noConversion"/>
  </si>
  <si>
    <t>cuo</t>
    <phoneticPr fontId="2" type="noConversion"/>
  </si>
  <si>
    <t>sell</t>
    <phoneticPr fontId="2" type="noConversion"/>
  </si>
  <si>
    <t>c</t>
    <phoneticPr fontId="2" type="noConversion"/>
  </si>
  <si>
    <t>20170811-SYPZ-A32-000300-CPS-C-89-L2</t>
    <phoneticPr fontId="2" type="noConversion"/>
  </si>
  <si>
    <t>if1709</t>
    <phoneticPr fontId="2" type="noConversion"/>
  </si>
  <si>
    <t>if1712</t>
    <phoneticPr fontId="2" type="noConversion"/>
  </si>
  <si>
    <t>if1712</t>
  </si>
  <si>
    <t>if1803</t>
  </si>
  <si>
    <t>if1803.cfe</t>
    <phoneticPr fontId="2" type="noConversion"/>
  </si>
  <si>
    <t>20170616-SYPZ-A28-000300-SF-C-94</t>
    <phoneticPr fontId="2" type="noConversion"/>
  </si>
  <si>
    <t>if1709</t>
    <phoneticPr fontId="2" type="noConversion"/>
  </si>
  <si>
    <t>if1712</t>
    <phoneticPr fontId="2" type="noConversion"/>
  </si>
  <si>
    <t xml:space="preserve"> </t>
    <phoneticPr fontId="2" type="noConversion"/>
  </si>
  <si>
    <t>if1712</t>
    <phoneticPr fontId="2" type="noConversion"/>
  </si>
  <si>
    <t>if1712.cfe</t>
    <phoneticPr fontId="2" type="noConversion"/>
  </si>
  <si>
    <t>20170811-SYPZ-A32-000300-CPS-C-89-L1</t>
    <phoneticPr fontId="2" type="noConversion"/>
  </si>
  <si>
    <t>VAN</t>
    <phoneticPr fontId="2" type="noConversion"/>
  </si>
  <si>
    <t>buy</t>
    <phoneticPr fontId="2" type="noConversion"/>
  </si>
  <si>
    <t>Dig</t>
    <phoneticPr fontId="2" type="noConversion"/>
  </si>
  <si>
    <t>c</t>
    <phoneticPr fontId="2" type="noConversion"/>
  </si>
  <si>
    <t>sell</t>
    <phoneticPr fontId="2" type="noConversion"/>
  </si>
  <si>
    <t>p</t>
    <phoneticPr fontId="2" type="noConversion"/>
  </si>
  <si>
    <t>20171115-SYPZ-A43-000300-Dig-C-33</t>
    <phoneticPr fontId="2" type="noConversion"/>
  </si>
  <si>
    <t>20171115-SYPZ-A44-000300-Dig-P-33</t>
    <phoneticPr fontId="2" type="noConversion"/>
  </si>
  <si>
    <t>if1803</t>
    <phoneticPr fontId="2" type="noConversion"/>
  </si>
  <si>
    <t>20170929-SYPZ-A37-000300-SF-C-180</t>
    <phoneticPr fontId="2" type="noConversion"/>
  </si>
  <si>
    <t>20170828-SYPZ-A29-000300-SF-C-182</t>
    <phoneticPr fontId="2" type="noConversion"/>
  </si>
  <si>
    <t>SF</t>
    <phoneticPr fontId="2" type="noConversion"/>
  </si>
  <si>
    <t>cuo</t>
    <phoneticPr fontId="2" type="noConversion"/>
  </si>
  <si>
    <t>sell</t>
    <phoneticPr fontId="2" type="noConversion"/>
  </si>
  <si>
    <t>20170920-SYPZ-A36-000300-SF-C-91</t>
    <phoneticPr fontId="2" type="noConversion"/>
  </si>
  <si>
    <t>20171101-SYPZ-A42-000300-SF-P-27</t>
    <phoneticPr fontId="2" type="noConversion"/>
  </si>
  <si>
    <t>pdo</t>
    <phoneticPr fontId="2" type="noConversion"/>
  </si>
  <si>
    <t>20171101-SYPZ-A41-000300-SF-C-27</t>
    <phoneticPr fontId="2" type="noConversion"/>
  </si>
  <si>
    <t>cuo</t>
    <phoneticPr fontId="2" type="noConversion"/>
  </si>
  <si>
    <t>20171129-SYPZ-A45-000300-Dig-C-70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</si>
</sst>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0"/>
    <numFmt numFmtId="177" formatCode="_ * #,##0_ ;_ * \-#,##0_ ;_ * &quot;-&quot;??_ ;_ @_ "/>
    <numFmt numFmtId="178" formatCode="###,###,##0.0000"/>
    <numFmt numFmtId="179" formatCode="#,##0.0_ "/>
    <numFmt numFmtId="180" formatCode="###,###,##0.00"/>
    <numFmt numFmtId="181" formatCode="0.0"/>
    <numFmt numFmtId="182" formatCode="#,##0.000_ "/>
    <numFmt numFmtId="183" formatCode="###,###,##0"/>
    <numFmt numFmtId="184" formatCode="#,##0.000000000000_ "/>
    <numFmt numFmtId="185" formatCode="_ * #,##0.000000_ ;_ * \-#,##0.000000_ ;_ * &quot;-&quot;??_ ;_ @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FF0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宋体"/>
      <family val="3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3" fillId="0" borderId="0" xfId="0" applyFont="1"/>
    <xf numFmtId="9" fontId="3" fillId="0" borderId="0" xfId="0" applyNumberFormat="1" applyFont="1"/>
    <xf numFmtId="2" fontId="3" fillId="0" borderId="0" xfId="0" applyNumberFormat="1" applyFont="1"/>
    <xf numFmtId="0" fontId="3" fillId="0" borderId="1" xfId="0" applyFont="1" applyBorder="1"/>
    <xf numFmtId="9" fontId="3" fillId="0" borderId="1" xfId="2" applyFont="1" applyBorder="1" applyAlignment="1"/>
    <xf numFmtId="1" fontId="3" fillId="0" borderId="1" xfId="0" applyNumberFormat="1" applyFont="1" applyBorder="1"/>
    <xf numFmtId="176" fontId="3" fillId="0" borderId="1" xfId="0" applyNumberFormat="1" applyFont="1" applyBorder="1"/>
    <xf numFmtId="177" fontId="3" fillId="0" borderId="1" xfId="1" applyNumberFormat="1" applyFont="1" applyBorder="1" applyAlignment="1"/>
    <xf numFmtId="9" fontId="3" fillId="0" borderId="1" xfId="0" applyNumberFormat="1" applyFont="1" applyBorder="1"/>
    <xf numFmtId="177" fontId="3" fillId="0" borderId="1" xfId="0" applyNumberFormat="1" applyFont="1" applyBorder="1"/>
    <xf numFmtId="1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47" fontId="0" fillId="0" borderId="0" xfId="0" applyNumberFormat="1" applyAlignment="1">
      <alignment vertical="center"/>
    </xf>
    <xf numFmtId="178" fontId="0" fillId="0" borderId="0" xfId="0" applyNumberFormat="1"/>
    <xf numFmtId="179" fontId="0" fillId="0" borderId="0" xfId="0" applyNumberFormat="1"/>
    <xf numFmtId="14" fontId="3" fillId="5" borderId="1" xfId="0" applyNumberFormat="1" applyFont="1" applyFill="1" applyBorder="1"/>
    <xf numFmtId="181" fontId="3" fillId="7" borderId="1" xfId="0" applyNumberFormat="1" applyFont="1" applyFill="1" applyBorder="1"/>
    <xf numFmtId="44" fontId="3" fillId="0" borderId="0" xfId="0" applyNumberFormat="1" applyFont="1"/>
    <xf numFmtId="0" fontId="5" fillId="3" borderId="1" xfId="0" applyFont="1" applyFill="1" applyBorder="1" applyAlignment="1">
      <alignment horizontal="center"/>
    </xf>
    <xf numFmtId="183" fontId="0" fillId="0" borderId="0" xfId="0" applyNumberFormat="1"/>
    <xf numFmtId="177" fontId="0" fillId="0" borderId="0" xfId="1" applyNumberFormat="1" applyFont="1" applyAlignment="1"/>
    <xf numFmtId="177" fontId="3" fillId="0" borderId="0" xfId="1" applyNumberFormat="1" applyFont="1" applyAlignment="1"/>
    <xf numFmtId="181" fontId="3" fillId="7" borderId="0" xfId="0" applyNumberFormat="1" applyFont="1" applyFill="1" applyBorder="1"/>
    <xf numFmtId="2" fontId="3" fillId="7" borderId="1" xfId="0" applyNumberFormat="1" applyFont="1" applyFill="1" applyBorder="1"/>
    <xf numFmtId="4" fontId="0" fillId="0" borderId="0" xfId="0" applyNumberFormat="1"/>
    <xf numFmtId="184" fontId="0" fillId="0" borderId="0" xfId="0" applyNumberFormat="1"/>
    <xf numFmtId="181" fontId="3" fillId="2" borderId="0" xfId="0" applyNumberFormat="1" applyFont="1" applyFill="1"/>
    <xf numFmtId="0" fontId="3" fillId="2" borderId="0" xfId="0" applyFont="1" applyFill="1"/>
    <xf numFmtId="0" fontId="6" fillId="0" borderId="0" xfId="0" applyFont="1"/>
    <xf numFmtId="22" fontId="6" fillId="0" borderId="0" xfId="0" applyNumberFormat="1" applyFont="1"/>
    <xf numFmtId="182" fontId="6" fillId="0" borderId="0" xfId="0" applyNumberFormat="1" applyFont="1"/>
    <xf numFmtId="176" fontId="6" fillId="0" borderId="0" xfId="0" applyNumberFormat="1" applyFont="1"/>
    <xf numFmtId="0" fontId="6" fillId="8" borderId="0" xfId="0" applyFont="1" applyFill="1"/>
    <xf numFmtId="0" fontId="7" fillId="8" borderId="0" xfId="0" applyFont="1" applyFill="1"/>
    <xf numFmtId="0" fontId="6" fillId="8" borderId="0" xfId="0" applyFont="1" applyFill="1" applyAlignment="1">
      <alignment vertical="center"/>
    </xf>
    <xf numFmtId="22" fontId="6" fillId="8" borderId="0" xfId="0" applyNumberFormat="1" applyFont="1" applyFill="1"/>
    <xf numFmtId="180" fontId="6" fillId="8" borderId="0" xfId="0" applyNumberFormat="1" applyFont="1" applyFill="1"/>
    <xf numFmtId="14" fontId="6" fillId="0" borderId="0" xfId="0" applyNumberFormat="1" applyFont="1"/>
    <xf numFmtId="0" fontId="6" fillId="9" borderId="0" xfId="0" applyFont="1" applyFill="1"/>
    <xf numFmtId="0" fontId="7" fillId="9" borderId="0" xfId="0" applyFont="1" applyFill="1"/>
    <xf numFmtId="180" fontId="6" fillId="0" borderId="0" xfId="0" applyNumberFormat="1" applyFont="1"/>
    <xf numFmtId="0" fontId="0" fillId="0" borderId="0" xfId="0" applyNumberFormat="1"/>
    <xf numFmtId="0" fontId="3" fillId="7" borderId="0" xfId="0" applyFont="1" applyFill="1"/>
    <xf numFmtId="4" fontId="3" fillId="7" borderId="0" xfId="0" applyNumberFormat="1" applyFont="1" applyFill="1"/>
    <xf numFmtId="0" fontId="8" fillId="0" borderId="0" xfId="0" applyFont="1"/>
    <xf numFmtId="43" fontId="6" fillId="0" borderId="0" xfId="1" applyFont="1" applyAlignment="1"/>
    <xf numFmtId="43" fontId="6" fillId="0" borderId="0" xfId="0" applyNumberFormat="1" applyFont="1"/>
    <xf numFmtId="185" fontId="6" fillId="0" borderId="0" xfId="1" applyNumberFormat="1" applyFont="1" applyAlignment="1"/>
    <xf numFmtId="178" fontId="6" fillId="0" borderId="0" xfId="0" applyNumberFormat="1" applyFont="1"/>
    <xf numFmtId="0" fontId="9" fillId="0" borderId="0" xfId="0" applyFont="1"/>
    <xf numFmtId="3" fontId="10" fillId="0" borderId="0" xfId="0" applyNumberFormat="1" applyFont="1"/>
    <xf numFmtId="14" fontId="3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4207.8100000000004</v>
        <stp/>
        <stp>000300.sh</stp>
        <stp>LastPrice</stp>
        <tr r="S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A84"/>
  <sheetViews>
    <sheetView topLeftCell="F7" workbookViewId="0">
      <selection activeCell="L39" sqref="L39"/>
    </sheetView>
  </sheetViews>
  <sheetFormatPr defaultRowHeight="11.25" x14ac:dyDescent="0.15"/>
  <cols>
    <col min="1" max="2" width="9" style="35"/>
    <col min="3" max="3" width="29.375" style="35" customWidth="1"/>
    <col min="4" max="4" width="10.75" style="35" customWidth="1"/>
    <col min="5" max="5" width="15.5" style="35" customWidth="1"/>
    <col min="6" max="6" width="6.75" style="35" customWidth="1"/>
    <col min="7" max="7" width="22.625" style="35" customWidth="1"/>
    <col min="8" max="8" width="17.5" style="35" customWidth="1"/>
    <col min="9" max="9" width="9" style="35"/>
    <col min="10" max="10" width="12.5" style="35" customWidth="1"/>
    <col min="11" max="13" width="9.375" style="35" bestFit="1" customWidth="1"/>
    <col min="14" max="14" width="10.5" style="35" bestFit="1" customWidth="1"/>
    <col min="15" max="16" width="9" style="35"/>
    <col min="17" max="17" width="15.125" style="35" bestFit="1" customWidth="1"/>
    <col min="18" max="18" width="12.125" style="35" customWidth="1"/>
    <col min="19" max="19" width="15" style="35" customWidth="1"/>
    <col min="20" max="21" width="12.125" style="35" customWidth="1"/>
    <col min="22" max="22" width="9.375" style="35" bestFit="1" customWidth="1"/>
    <col min="23" max="16384" width="9" style="35"/>
  </cols>
  <sheetData>
    <row r="2" spans="2:27" x14ac:dyDescent="0.15">
      <c r="C2" s="35" t="s">
        <v>19</v>
      </c>
    </row>
    <row r="3" spans="2:27" x14ac:dyDescent="0.15">
      <c r="C3" s="36">
        <f ca="1">NOW()</f>
        <v>43110.71096261574</v>
      </c>
    </row>
    <row r="4" spans="2:27" x14ac:dyDescent="0.15">
      <c r="C4" s="35" t="s">
        <v>20</v>
      </c>
    </row>
    <row r="5" spans="2:27" x14ac:dyDescent="0.15">
      <c r="C5" s="35">
        <v>0.02</v>
      </c>
    </row>
    <row r="6" spans="2:27" x14ac:dyDescent="0.15">
      <c r="C6" s="35" t="s">
        <v>21</v>
      </c>
      <c r="E6" s="35" t="s">
        <v>130</v>
      </c>
    </row>
    <row r="7" spans="2:27" x14ac:dyDescent="0.15">
      <c r="C7" s="35">
        <v>0.125</v>
      </c>
      <c r="E7" s="35">
        <v>0.1</v>
      </c>
      <c r="Z7" s="35">
        <f>Z13*91/365</f>
        <v>1.1219178082191781E-2</v>
      </c>
    </row>
    <row r="8" spans="2:27" x14ac:dyDescent="0.15">
      <c r="C8" s="35" t="s">
        <v>27</v>
      </c>
    </row>
    <row r="9" spans="2:27" x14ac:dyDescent="0.15">
      <c r="C9" s="35">
        <v>0</v>
      </c>
      <c r="J9" s="35">
        <f ca="1">J10+J11</f>
        <v>-2.1651170144110121E-2</v>
      </c>
    </row>
    <row r="10" spans="2:27" x14ac:dyDescent="0.15">
      <c r="J10" s="35">
        <f ca="1">SUM(J13:J47)</f>
        <v>-2.1651170144110121E-2</v>
      </c>
      <c r="S10" s="55">
        <f>RTD("wdf.rtq",,"000300.sh","LastPrice")</f>
        <v>4207.8100000000004</v>
      </c>
      <c r="T10" s="35">
        <v>1</v>
      </c>
      <c r="U10" s="37">
        <f>S10-S13</f>
        <v>0</v>
      </c>
      <c r="V10" s="38">
        <f>U10/S10</f>
        <v>0</v>
      </c>
    </row>
    <row r="11" spans="2:27" x14ac:dyDescent="0.15">
      <c r="J11" s="35">
        <f>fut_record!J4</f>
        <v>0</v>
      </c>
      <c r="M11" s="35">
        <f ca="1">SUM(M13:M39)</f>
        <v>6.3314355003386887E-3</v>
      </c>
    </row>
    <row r="12" spans="2:27" x14ac:dyDescent="0.15">
      <c r="B12" s="35" t="s">
        <v>31</v>
      </c>
      <c r="C12" s="35" t="s">
        <v>1</v>
      </c>
      <c r="D12" s="35" t="s">
        <v>23</v>
      </c>
      <c r="E12" s="35" t="s">
        <v>24</v>
      </c>
      <c r="F12" s="35" t="s">
        <v>29</v>
      </c>
      <c r="G12" s="35" t="s">
        <v>2</v>
      </c>
      <c r="H12" s="35" t="s">
        <v>3</v>
      </c>
      <c r="I12" s="35" t="s">
        <v>4</v>
      </c>
      <c r="J12" s="35" t="s">
        <v>5</v>
      </c>
      <c r="K12" s="35" t="s">
        <v>6</v>
      </c>
      <c r="L12" s="35" t="s">
        <v>7</v>
      </c>
      <c r="M12" s="35" t="s">
        <v>8</v>
      </c>
      <c r="N12" s="35" t="s">
        <v>9</v>
      </c>
      <c r="O12" s="35" t="s">
        <v>10</v>
      </c>
      <c r="P12" s="35" t="s">
        <v>11</v>
      </c>
      <c r="Q12" s="35" t="s">
        <v>17</v>
      </c>
      <c r="R12" s="35" t="s">
        <v>18</v>
      </c>
      <c r="S12" s="35" t="s">
        <v>22</v>
      </c>
      <c r="T12" s="35" t="s">
        <v>32</v>
      </c>
      <c r="U12" s="35" t="s">
        <v>26</v>
      </c>
      <c r="V12" s="35" t="s">
        <v>12</v>
      </c>
      <c r="W12" s="35" t="s">
        <v>13</v>
      </c>
      <c r="X12" s="35" t="s">
        <v>14</v>
      </c>
      <c r="Y12" s="35" t="s">
        <v>15</v>
      </c>
      <c r="Z12" s="35" t="s">
        <v>16</v>
      </c>
      <c r="AA12" s="35" t="s">
        <v>109</v>
      </c>
    </row>
    <row r="13" spans="2:27" s="39" customFormat="1" x14ac:dyDescent="0.15">
      <c r="B13" s="39">
        <f>IF(F13="sell",-1,1)</f>
        <v>-1</v>
      </c>
      <c r="C13" s="39" t="s">
        <v>0</v>
      </c>
      <c r="D13" s="39" t="s">
        <v>25</v>
      </c>
      <c r="E13" s="39" t="s">
        <v>28</v>
      </c>
      <c r="F13" s="39" t="s">
        <v>30</v>
      </c>
      <c r="G13" s="39">
        <v>4986301.36986301</v>
      </c>
      <c r="H13" s="39">
        <f>G13/T13/300</f>
        <v>4.9492758373239898</v>
      </c>
      <c r="P13" s="39">
        <v>-136443.517008166</v>
      </c>
      <c r="Q13" s="42">
        <v>42836.625</v>
      </c>
      <c r="R13" s="39">
        <f ca="1">Q13-$C$3</f>
        <v>-274.08596261573985</v>
      </c>
      <c r="S13" s="43">
        <f>S10*T10</f>
        <v>4207.8100000000004</v>
      </c>
      <c r="T13" s="39">
        <v>3358.27</v>
      </c>
      <c r="U13" s="39">
        <f t="shared" ref="U13:U18" si="0">S13/T13</f>
        <v>1.2529695349093433</v>
      </c>
      <c r="V13" s="39">
        <v>1.02</v>
      </c>
      <c r="X13" s="39">
        <v>1.1299999999999999</v>
      </c>
      <c r="Z13" s="39">
        <v>4.4999999999999998E-2</v>
      </c>
      <c r="AA13" s="39">
        <f>_xll.dnetDiscreteAdjustedBarrier(U13,X13,$C$7,1/365)</f>
        <v>1.1257008258468786</v>
      </c>
    </row>
    <row r="14" spans="2:27" s="39" customFormat="1" x14ac:dyDescent="0.15">
      <c r="B14" s="39">
        <v>-1</v>
      </c>
      <c r="C14" s="41" t="s">
        <v>110</v>
      </c>
      <c r="D14" s="39" t="s">
        <v>25</v>
      </c>
      <c r="E14" s="39" t="s">
        <v>28</v>
      </c>
      <c r="F14" s="39" t="s">
        <v>30</v>
      </c>
      <c r="G14" s="41">
        <v>2438356.16438356</v>
      </c>
      <c r="H14" s="39">
        <f t="shared" ref="H14:H25" si="1">G14/T14/300</f>
        <v>2.4499050166319631</v>
      </c>
      <c r="P14" s="39">
        <v>-146781.15926147101</v>
      </c>
      <c r="Q14" s="42">
        <v>42836.625</v>
      </c>
      <c r="R14" s="39">
        <f t="shared" ref="R14" ca="1" si="2">Q14-$C$3</f>
        <v>-274.08596261573985</v>
      </c>
      <c r="S14" s="43">
        <f>S10*T10</f>
        <v>4207.8100000000004</v>
      </c>
      <c r="T14" s="39">
        <v>3317.62</v>
      </c>
      <c r="U14" s="39">
        <f>S14/T14</f>
        <v>1.2683218692918419</v>
      </c>
      <c r="V14" s="39">
        <v>1</v>
      </c>
      <c r="X14" s="39">
        <v>1.1200000000000001</v>
      </c>
      <c r="Z14" s="39">
        <v>0</v>
      </c>
      <c r="AA14" s="39">
        <f>_xll.dnetDiscreteAdjustedBarrier(U14,X14,$C$7,1/365)</f>
        <v>1.1157388716358445</v>
      </c>
    </row>
    <row r="15" spans="2:27" s="39" customFormat="1" x14ac:dyDescent="0.15">
      <c r="B15" s="39">
        <v>-1</v>
      </c>
      <c r="C15" s="40" t="s">
        <v>112</v>
      </c>
      <c r="D15" s="39" t="s">
        <v>114</v>
      </c>
      <c r="E15" s="39" t="s">
        <v>115</v>
      </c>
      <c r="F15" s="39" t="s">
        <v>117</v>
      </c>
      <c r="G15" s="41">
        <v>4553178.0821917811</v>
      </c>
      <c r="H15" s="39">
        <f t="shared" si="1"/>
        <v>4.5239218793977161</v>
      </c>
      <c r="P15" s="39">
        <v>-158111.06968494999</v>
      </c>
      <c r="Q15" s="42">
        <v>42786.625</v>
      </c>
      <c r="S15" s="43">
        <v>3471.39</v>
      </c>
      <c r="T15" s="43">
        <v>3354.89</v>
      </c>
      <c r="U15" s="39">
        <f t="shared" si="0"/>
        <v>1.0347254306400508</v>
      </c>
      <c r="V15" s="39">
        <v>1</v>
      </c>
      <c r="X15" s="39">
        <v>1.08</v>
      </c>
      <c r="Z15" s="39">
        <v>0</v>
      </c>
      <c r="AA15" s="39">
        <f>_xll.dnetDiscreteAdjustedBarrier(U15,X15,$C$7,1/365)</f>
        <v>1.0841246377179106</v>
      </c>
    </row>
    <row r="16" spans="2:27" s="39" customFormat="1" x14ac:dyDescent="0.15">
      <c r="B16" s="39">
        <v>-1</v>
      </c>
      <c r="C16" s="40" t="s">
        <v>113</v>
      </c>
      <c r="D16" s="39" t="s">
        <v>114</v>
      </c>
      <c r="E16" s="39" t="s">
        <v>116</v>
      </c>
      <c r="F16" s="39" t="s">
        <v>118</v>
      </c>
      <c r="G16" s="41">
        <v>709178.08219178079</v>
      </c>
      <c r="H16" s="39">
        <v>13000</v>
      </c>
      <c r="P16" s="39">
        <v>0</v>
      </c>
      <c r="Q16" s="42">
        <v>42786.625</v>
      </c>
      <c r="S16" s="43">
        <v>3471.39</v>
      </c>
      <c r="T16" s="43">
        <v>3354.89</v>
      </c>
      <c r="U16" s="39">
        <f t="shared" si="0"/>
        <v>1.0347254306400508</v>
      </c>
      <c r="V16" s="39">
        <v>0.97</v>
      </c>
      <c r="X16" s="39">
        <v>0.89</v>
      </c>
      <c r="Z16" s="39">
        <v>0</v>
      </c>
      <c r="AA16" s="39">
        <f>_xll.dnetDiscreteAdjustedBarrier(U16,X16,$C$7,1/365)</f>
        <v>0.88661392478205492</v>
      </c>
    </row>
    <row r="17" spans="2:27" s="39" customFormat="1" x14ac:dyDescent="0.15">
      <c r="B17" s="39">
        <v>-1</v>
      </c>
      <c r="C17" s="40" t="s">
        <v>123</v>
      </c>
      <c r="D17" s="39" t="s">
        <v>125</v>
      </c>
      <c r="E17" s="39" t="s">
        <v>126</v>
      </c>
      <c r="F17" s="39" t="s">
        <v>127</v>
      </c>
      <c r="G17" s="41">
        <v>1430794.5205479453</v>
      </c>
      <c r="H17" s="39">
        <f t="shared" si="1"/>
        <v>1.4077247277102301</v>
      </c>
      <c r="P17" s="39">
        <v>-36049.014827203398</v>
      </c>
      <c r="Q17" s="42">
        <v>42789.625</v>
      </c>
      <c r="S17" s="43">
        <v>3473.32</v>
      </c>
      <c r="T17" s="43">
        <v>3387.96</v>
      </c>
      <c r="U17" s="39">
        <f t="shared" si="0"/>
        <v>1.0251951026576465</v>
      </c>
      <c r="V17" s="39">
        <v>1</v>
      </c>
      <c r="X17" s="39">
        <v>1.07</v>
      </c>
      <c r="Z17" s="39">
        <v>1.4999999999999999E-2</v>
      </c>
      <c r="AA17" s="39">
        <f>_xll.dnetDiscreteAdjustedBarrier(U17,X17,$C$7,1/365)</f>
        <v>1.0740864466279298</v>
      </c>
    </row>
    <row r="18" spans="2:27" s="39" customFormat="1" x14ac:dyDescent="0.15">
      <c r="B18" s="39">
        <v>-1</v>
      </c>
      <c r="C18" s="40" t="s">
        <v>131</v>
      </c>
      <c r="D18" s="39" t="s">
        <v>141</v>
      </c>
      <c r="E18" s="39" t="s">
        <v>142</v>
      </c>
      <c r="F18" s="39" t="s">
        <v>143</v>
      </c>
      <c r="G18" s="41">
        <v>904109.58904109593</v>
      </c>
      <c r="H18" s="39">
        <f t="shared" si="1"/>
        <v>0.86383088264511931</v>
      </c>
      <c r="P18" s="39">
        <v>0</v>
      </c>
      <c r="Q18" s="42">
        <v>42821.625</v>
      </c>
      <c r="S18" s="43">
        <f>S$10*T$10</f>
        <v>4207.8100000000004</v>
      </c>
      <c r="T18" s="43">
        <v>3488.76</v>
      </c>
      <c r="U18" s="39">
        <f t="shared" si="0"/>
        <v>1.2061047478187092</v>
      </c>
      <c r="V18" s="39">
        <v>1</v>
      </c>
      <c r="X18" s="39">
        <v>1.08</v>
      </c>
      <c r="Z18" s="39">
        <v>0.02</v>
      </c>
      <c r="AA18" s="39">
        <f>_xll.dnetDiscreteAdjustedBarrier(U18,X18,$C$7,1/365)</f>
        <v>1.0758910547917071</v>
      </c>
    </row>
    <row r="19" spans="2:27" s="39" customFormat="1" x14ac:dyDescent="0.15">
      <c r="B19" s="39">
        <v>-1</v>
      </c>
      <c r="C19" s="40" t="s">
        <v>129</v>
      </c>
      <c r="D19" s="39" t="s">
        <v>144</v>
      </c>
      <c r="E19" s="39" t="s">
        <v>145</v>
      </c>
      <c r="F19" s="39" t="s">
        <v>143</v>
      </c>
      <c r="G19" s="41">
        <v>246575.34246575341</v>
      </c>
      <c r="H19" s="39">
        <f t="shared" si="1"/>
        <v>0.23849835710406708</v>
      </c>
      <c r="K19" s="39" t="s">
        <v>180</v>
      </c>
      <c r="P19" s="39">
        <v>-1323.6658819275999</v>
      </c>
      <c r="Q19" s="42">
        <v>42823.625</v>
      </c>
      <c r="S19" s="43">
        <f t="shared" ref="S19:S20" si="3">S$10*T$10</f>
        <v>4207.8100000000004</v>
      </c>
      <c r="T19" s="43">
        <v>3446.22</v>
      </c>
      <c r="U19" s="39">
        <f t="shared" ref="U19:U20" si="4">S19/T19</f>
        <v>1.2209928559407119</v>
      </c>
      <c r="V19" s="39">
        <v>1</v>
      </c>
      <c r="X19" s="39">
        <v>1.1499999999999999</v>
      </c>
      <c r="Z19" s="39">
        <v>0.02</v>
      </c>
      <c r="AA19" s="39">
        <f>_xll.dnetDiscreteAdjustedBarrier(U19,X19,$C$7,1/365)</f>
        <v>1.1456247342689474</v>
      </c>
    </row>
    <row r="20" spans="2:27" s="39" customFormat="1" x14ac:dyDescent="0.15">
      <c r="B20" s="39">
        <v>-1</v>
      </c>
      <c r="C20" s="40" t="s">
        <v>146</v>
      </c>
      <c r="D20" s="39" t="s">
        <v>144</v>
      </c>
      <c r="E20" s="39" t="s">
        <v>147</v>
      </c>
      <c r="F20" s="39" t="s">
        <v>143</v>
      </c>
      <c r="G20" s="41">
        <v>246575.34246575341</v>
      </c>
      <c r="H20" s="39">
        <f t="shared" si="1"/>
        <v>0.23849835710406708</v>
      </c>
      <c r="P20" s="39">
        <v>0</v>
      </c>
      <c r="Q20" s="42">
        <v>42823.625</v>
      </c>
      <c r="S20" s="43">
        <f t="shared" si="3"/>
        <v>4207.8100000000004</v>
      </c>
      <c r="T20" s="43">
        <v>3446.22</v>
      </c>
      <c r="U20" s="39">
        <f t="shared" si="4"/>
        <v>1.2209928559407119</v>
      </c>
      <c r="V20" s="39">
        <v>1</v>
      </c>
      <c r="X20" s="39">
        <v>0.85</v>
      </c>
      <c r="Z20" s="39">
        <v>0.02</v>
      </c>
      <c r="AA20" s="39">
        <f>_xll.dnetDiscreteAdjustedBarrier(U20,X20,$C$7,1/365)</f>
        <v>0.84676610793791762</v>
      </c>
    </row>
    <row r="21" spans="2:27" s="39" customFormat="1" x14ac:dyDescent="0.15">
      <c r="B21" s="39">
        <v>-1</v>
      </c>
      <c r="C21" s="40" t="s">
        <v>132</v>
      </c>
      <c r="D21" s="39" t="s">
        <v>114</v>
      </c>
      <c r="E21" s="39" t="s">
        <v>28</v>
      </c>
      <c r="F21" s="39" t="s">
        <v>117</v>
      </c>
      <c r="G21" s="41">
        <v>1241698.63013699</v>
      </c>
      <c r="H21" s="39">
        <f t="shared" si="1"/>
        <v>1.2074469816096685</v>
      </c>
      <c r="P21" s="39">
        <v>-27982.583798804098</v>
      </c>
      <c r="Q21" s="42">
        <v>42835.625</v>
      </c>
      <c r="S21" s="43">
        <f t="shared" ref="S21:S24" si="5">S$10*T$10</f>
        <v>4207.8100000000004</v>
      </c>
      <c r="T21" s="43">
        <v>3427.89</v>
      </c>
      <c r="U21" s="39">
        <f t="shared" ref="U21:U26" si="6">S21/T21</f>
        <v>1.2275218866416369</v>
      </c>
      <c r="V21" s="39">
        <v>1</v>
      </c>
      <c r="X21" s="39">
        <v>1.07</v>
      </c>
      <c r="Z21" s="39">
        <v>0.02</v>
      </c>
      <c r="AA21" s="39">
        <f>_xll.dnetDiscreteAdjustedBarrier(U21,X21,$C$7,1/365)</f>
        <v>1.0659291005806728</v>
      </c>
    </row>
    <row r="22" spans="2:27" s="39" customFormat="1" x14ac:dyDescent="0.15">
      <c r="B22" s="39">
        <v>-1</v>
      </c>
      <c r="C22" s="40" t="s">
        <v>133</v>
      </c>
      <c r="D22" s="39" t="s">
        <v>114</v>
      </c>
      <c r="E22" s="39" t="s">
        <v>128</v>
      </c>
      <c r="F22" s="39" t="s">
        <v>117</v>
      </c>
      <c r="G22" s="39">
        <v>2143161.6438356163</v>
      </c>
      <c r="H22" s="39">
        <f t="shared" si="1"/>
        <v>2.0840435796127417</v>
      </c>
      <c r="P22" s="39">
        <v>0</v>
      </c>
      <c r="Q22" s="42">
        <v>42835.625</v>
      </c>
      <c r="S22" s="43">
        <f t="shared" si="5"/>
        <v>4207.8100000000004</v>
      </c>
      <c r="T22" s="43">
        <v>3427.89</v>
      </c>
      <c r="U22" s="39">
        <f t="shared" si="6"/>
        <v>1.2275218866416369</v>
      </c>
      <c r="V22" s="39">
        <v>0.99</v>
      </c>
      <c r="X22" s="39">
        <v>0.92</v>
      </c>
      <c r="Z22" s="39">
        <v>0.02</v>
      </c>
      <c r="AA22" s="39">
        <f>_xll.dnetDiscreteAdjustedBarrier(U22,X22,$C$7,1/365)</f>
        <v>0.91649978741515792</v>
      </c>
    </row>
    <row r="23" spans="2:27" s="39" customFormat="1" x14ac:dyDescent="0.15">
      <c r="B23" s="39">
        <v>-1</v>
      </c>
      <c r="C23" s="40" t="s">
        <v>139</v>
      </c>
      <c r="D23" s="39" t="s">
        <v>114</v>
      </c>
      <c r="E23" s="39" t="s">
        <v>28</v>
      </c>
      <c r="F23" s="39" t="s">
        <v>117</v>
      </c>
      <c r="G23" s="41">
        <v>271232.87671232899</v>
      </c>
      <c r="H23" s="39">
        <f t="shared" si="1"/>
        <v>0.26205695251984656</v>
      </c>
      <c r="P23" s="39">
        <v>0</v>
      </c>
      <c r="Q23" s="42">
        <v>42849.625</v>
      </c>
      <c r="R23" s="39">
        <f t="shared" ref="R23:R25" ca="1" si="7">Q23-$C$3</f>
        <v>-261.08596261573985</v>
      </c>
      <c r="S23" s="43">
        <f t="shared" si="5"/>
        <v>4207.8100000000004</v>
      </c>
      <c r="T23" s="43">
        <v>3450.05</v>
      </c>
      <c r="U23" s="39">
        <f t="shared" si="6"/>
        <v>1.2196373965594702</v>
      </c>
      <c r="V23" s="39">
        <v>1</v>
      </c>
      <c r="X23" s="39">
        <v>1.1499999999999999</v>
      </c>
      <c r="Z23" s="39">
        <v>0</v>
      </c>
      <c r="AA23" s="39">
        <f>_xll.dnetDiscreteAdjustedBarrier(U23,X23,$C$7,1/365)</f>
        <v>1.1456247342689474</v>
      </c>
    </row>
    <row r="24" spans="2:27" s="39" customFormat="1" x14ac:dyDescent="0.15">
      <c r="B24" s="39">
        <v>-1</v>
      </c>
      <c r="C24" s="40" t="s">
        <v>140</v>
      </c>
      <c r="D24" s="39" t="s">
        <v>114</v>
      </c>
      <c r="E24" s="39" t="s">
        <v>128</v>
      </c>
      <c r="F24" s="39" t="s">
        <v>117</v>
      </c>
      <c r="G24" s="39">
        <v>194383.561643836</v>
      </c>
      <c r="H24" s="39">
        <f t="shared" si="1"/>
        <v>0.18780748263922356</v>
      </c>
      <c r="P24" s="39">
        <v>-1058.67077963729</v>
      </c>
      <c r="Q24" s="42">
        <v>42849.625</v>
      </c>
      <c r="R24" s="39">
        <f t="shared" ca="1" si="7"/>
        <v>-261.08596261573985</v>
      </c>
      <c r="S24" s="43">
        <f t="shared" si="5"/>
        <v>4207.8100000000004</v>
      </c>
      <c r="T24" s="43">
        <v>3450.05</v>
      </c>
      <c r="U24" s="39">
        <f t="shared" si="6"/>
        <v>1.2196373965594702</v>
      </c>
      <c r="V24" s="39">
        <v>1</v>
      </c>
      <c r="X24" s="39">
        <v>0.85</v>
      </c>
      <c r="Z24" s="39">
        <v>0</v>
      </c>
      <c r="AA24" s="39">
        <f>_xll.dnetDiscreteAdjustedBarrier(U24,X24,$C$7,1/365)</f>
        <v>0.84676610793791762</v>
      </c>
    </row>
    <row r="25" spans="2:27" s="39" customFormat="1" x14ac:dyDescent="0.15">
      <c r="B25" s="39">
        <v>-1</v>
      </c>
      <c r="C25" s="40" t="s">
        <v>148</v>
      </c>
      <c r="D25" s="39" t="s">
        <v>149</v>
      </c>
      <c r="E25" s="39" t="s">
        <v>150</v>
      </c>
      <c r="F25" s="39" t="s">
        <v>151</v>
      </c>
      <c r="G25" s="39">
        <v>216986.30136986301</v>
      </c>
      <c r="H25" s="39">
        <f t="shared" si="1"/>
        <v>0.21045626439811818</v>
      </c>
      <c r="P25" s="39">
        <v>-628.84331802156498</v>
      </c>
      <c r="Q25" s="42">
        <v>42852.625</v>
      </c>
      <c r="R25" s="39">
        <f t="shared" ca="1" si="7"/>
        <v>-258.08596261573985</v>
      </c>
      <c r="S25" s="43">
        <f>S10</f>
        <v>4207.8100000000004</v>
      </c>
      <c r="T25" s="43">
        <v>3436.76</v>
      </c>
      <c r="U25" s="39">
        <f t="shared" si="6"/>
        <v>1.2243537517894763</v>
      </c>
      <c r="V25" s="39">
        <v>1</v>
      </c>
      <c r="X25" s="39">
        <v>1.07</v>
      </c>
      <c r="Z25" s="39">
        <v>0.03</v>
      </c>
      <c r="AA25" s="39">
        <f>_xll.dnetDiscreteAdjustedBarrier(U25,X25,$C$7,1/365)</f>
        <v>1.0659291005806728</v>
      </c>
    </row>
    <row r="26" spans="2:27" s="39" customFormat="1" x14ac:dyDescent="0.15">
      <c r="B26" s="39">
        <v>-1</v>
      </c>
      <c r="C26" s="40" t="s">
        <v>165</v>
      </c>
      <c r="D26" s="39" t="s">
        <v>25</v>
      </c>
      <c r="E26" s="39" t="s">
        <v>28</v>
      </c>
      <c r="F26" s="39" t="s">
        <v>30</v>
      </c>
      <c r="G26" s="39">
        <v>2867506.8493150687</v>
      </c>
      <c r="H26" s="39">
        <f t="shared" ref="H26" si="8">G26/T26/300</f>
        <v>2.8257841463935676</v>
      </c>
      <c r="P26" s="39">
        <v>-150000</v>
      </c>
      <c r="Q26" s="42">
        <v>42949.625</v>
      </c>
      <c r="R26" s="39">
        <f ca="1">Q26-$C$3</f>
        <v>-161.08596261573985</v>
      </c>
      <c r="S26" s="43">
        <f>$S$10</f>
        <v>4207.8100000000004</v>
      </c>
      <c r="T26" s="43">
        <v>3382.55</v>
      </c>
      <c r="U26" s="39">
        <f t="shared" si="6"/>
        <v>1.2439756988071131</v>
      </c>
      <c r="V26" s="39">
        <v>1</v>
      </c>
      <c r="X26" s="39">
        <v>1.1100000000000001</v>
      </c>
      <c r="Z26" s="39">
        <v>2.5000000000000001E-2</v>
      </c>
      <c r="AA26" s="39">
        <f>_xll.dnetDiscreteAdjustedBarrier(U26,X26,$C$7,1/365)</f>
        <v>1.1057769174248102</v>
      </c>
    </row>
    <row r="27" spans="2:27" s="39" customFormat="1" x14ac:dyDescent="0.15">
      <c r="B27" s="39">
        <v>-1</v>
      </c>
      <c r="C27" s="40" t="s">
        <v>166</v>
      </c>
      <c r="D27" s="39" t="s">
        <v>167</v>
      </c>
      <c r="E27" s="39" t="s">
        <v>168</v>
      </c>
      <c r="F27" s="39" t="s">
        <v>169</v>
      </c>
      <c r="G27" s="39">
        <v>1538191.7808219178</v>
      </c>
      <c r="H27" s="39">
        <f t="shared" ref="H27" si="9">G27/T27/300</f>
        <v>1.5145436955594525</v>
      </c>
      <c r="P27" s="39">
        <v>-38454.794520547948</v>
      </c>
      <c r="Q27" s="42">
        <v>42955.625</v>
      </c>
      <c r="R27" s="39">
        <f ca="1">Q27-$C$3</f>
        <v>-155.08596261573985</v>
      </c>
      <c r="S27" s="43">
        <f>$S$10</f>
        <v>4207.8100000000004</v>
      </c>
      <c r="T27" s="43">
        <v>3385.38</v>
      </c>
      <c r="U27" s="39">
        <f t="shared" ref="U27" si="10">S27/T27</f>
        <v>1.2429358004123614</v>
      </c>
      <c r="V27" s="39">
        <v>1</v>
      </c>
      <c r="X27" s="39">
        <v>1.1000000000000001</v>
      </c>
      <c r="Z27" s="39">
        <v>2.5000000000000001E-2</v>
      </c>
      <c r="AA27" s="39">
        <f>_xll.dnetDiscreteAdjustedBarrier(U27,X27,$C$7,1/365)</f>
        <v>1.0958149632137759</v>
      </c>
    </row>
    <row r="28" spans="2:27" s="39" customFormat="1" x14ac:dyDescent="0.15">
      <c r="B28" s="39">
        <v>-1</v>
      </c>
      <c r="C28" s="40" t="s">
        <v>177</v>
      </c>
      <c r="D28" s="39" t="s">
        <v>25</v>
      </c>
      <c r="E28" s="39" t="s">
        <v>28</v>
      </c>
      <c r="F28" s="39" t="s">
        <v>30</v>
      </c>
      <c r="G28" s="39">
        <v>4835463.01369863</v>
      </c>
      <c r="H28" s="39">
        <f t="shared" ref="H28" si="11">G28/T28/300</f>
        <v>4.5806505830639486</v>
      </c>
      <c r="P28" s="39">
        <v>-120886.57534246576</v>
      </c>
      <c r="Q28" s="42">
        <v>42996.625</v>
      </c>
      <c r="R28" s="39">
        <f ca="1">Q28-$C$3</f>
        <v>-114.08596261573985</v>
      </c>
      <c r="S28" s="43">
        <v>3842.71</v>
      </c>
      <c r="T28" s="43">
        <v>3518.76</v>
      </c>
      <c r="U28" s="39">
        <f t="shared" ref="U28" si="12">S28/T28</f>
        <v>1.0920636815241733</v>
      </c>
      <c r="V28" s="39">
        <v>1</v>
      </c>
      <c r="X28" s="39">
        <v>1.0900000000000001</v>
      </c>
      <c r="Z28" s="39">
        <v>2.5000000000000001E-2</v>
      </c>
      <c r="AA28" s="39">
        <f>_xll.dnetDiscreteAdjustedBarrier(U28,X28,$C$7,1/365)</f>
        <v>1.0858530090027416</v>
      </c>
    </row>
    <row r="29" spans="2:27" s="39" customFormat="1" x14ac:dyDescent="0.15">
      <c r="B29" s="39">
        <f t="shared" ref="B29" si="13">IF(F29="sell",-1,1)</f>
        <v>-1</v>
      </c>
      <c r="C29" s="40" t="s">
        <v>183</v>
      </c>
      <c r="D29" s="39" t="s">
        <v>184</v>
      </c>
      <c r="E29" s="39" t="s">
        <v>170</v>
      </c>
      <c r="F29" s="39" t="s">
        <v>118</v>
      </c>
      <c r="G29" s="39">
        <v>4389041.0958904112</v>
      </c>
      <c r="H29" s="39">
        <f>G29/T29/300</f>
        <v>4.0111689271118403</v>
      </c>
      <c r="P29" s="39">
        <v>-482129.66927185812</v>
      </c>
      <c r="Q29" s="42">
        <v>43047.625</v>
      </c>
      <c r="R29" s="39">
        <v>0</v>
      </c>
      <c r="S29" s="43">
        <f t="shared" ref="S29:S30" si="14">$S$10</f>
        <v>4207.8100000000004</v>
      </c>
      <c r="T29" s="43">
        <v>3647.35</v>
      </c>
      <c r="U29" s="39">
        <f t="shared" ref="U29:U31" si="15">S29/T29</f>
        <v>1.1536622479334313</v>
      </c>
      <c r="V29" s="39">
        <v>1</v>
      </c>
    </row>
    <row r="30" spans="2:27" s="39" customFormat="1" x14ac:dyDescent="0.15">
      <c r="B30" s="39">
        <v>1</v>
      </c>
      <c r="C30" s="40" t="s">
        <v>171</v>
      </c>
      <c r="D30" s="39" t="s">
        <v>184</v>
      </c>
      <c r="E30" s="39" t="s">
        <v>170</v>
      </c>
      <c r="F30" s="39" t="s">
        <v>185</v>
      </c>
      <c r="G30" s="39">
        <v>4389041.0958904112</v>
      </c>
      <c r="H30" s="39">
        <f>G30/T30/300</f>
        <v>4.0111689271118403</v>
      </c>
      <c r="P30" s="39">
        <v>43225.559706866356</v>
      </c>
      <c r="Q30" s="42">
        <v>43047.625</v>
      </c>
      <c r="R30" s="39">
        <v>0</v>
      </c>
      <c r="S30" s="43">
        <f t="shared" si="14"/>
        <v>4207.8100000000004</v>
      </c>
      <c r="T30" s="43">
        <v>3647.35</v>
      </c>
      <c r="U30" s="39">
        <f t="shared" si="15"/>
        <v>1.1536622479334313</v>
      </c>
      <c r="V30" s="39">
        <v>1.1000000000000001</v>
      </c>
    </row>
    <row r="31" spans="2:27" s="39" customFormat="1" x14ac:dyDescent="0.15">
      <c r="B31" s="39">
        <v>-1</v>
      </c>
      <c r="C31" s="40" t="s">
        <v>194</v>
      </c>
      <c r="D31" s="39" t="s">
        <v>195</v>
      </c>
      <c r="E31" s="39" t="s">
        <v>196</v>
      </c>
      <c r="F31" s="39" t="s">
        <v>197</v>
      </c>
      <c r="G31" s="39">
        <v>99726027.397260278</v>
      </c>
      <c r="H31" s="39">
        <f t="shared" ref="H31" si="16">G31/T31/300</f>
        <v>86.50668182720031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-1994520.5479452056</v>
      </c>
      <c r="Q31" s="42">
        <v>43157.625</v>
      </c>
      <c r="R31" s="39">
        <f t="shared" ref="R31:R33" ca="1" si="17">Q31-$C$3</f>
        <v>46.914037384260155</v>
      </c>
      <c r="S31" s="43">
        <f t="shared" ref="S31:S38" si="18">$S$10</f>
        <v>4207.8100000000004</v>
      </c>
      <c r="T31" s="43">
        <v>3842.71</v>
      </c>
      <c r="U31" s="39">
        <f t="shared" si="15"/>
        <v>1.0950110729146878</v>
      </c>
      <c r="V31" s="39">
        <v>1</v>
      </c>
      <c r="X31" s="39">
        <v>1.08</v>
      </c>
      <c r="Z31" s="39">
        <v>0.02</v>
      </c>
      <c r="AA31" s="39">
        <f>_xll.dnetDiscreteAdjustedBarrier(U31,X31,$C$7,1/365)</f>
        <v>1.0758910547917071</v>
      </c>
    </row>
    <row r="32" spans="2:27" s="39" customFormat="1" x14ac:dyDescent="0.15">
      <c r="B32" s="39">
        <v>-1</v>
      </c>
      <c r="C32" s="40" t="s">
        <v>198</v>
      </c>
      <c r="D32" s="39" t="s">
        <v>195</v>
      </c>
      <c r="E32" s="39" t="s">
        <v>196</v>
      </c>
      <c r="F32" s="39" t="s">
        <v>197</v>
      </c>
      <c r="G32" s="39">
        <v>4986301.3698630137</v>
      </c>
      <c r="H32" s="39">
        <f t="shared" ref="H32" si="19">G32/T32/300</f>
        <v>4.3263248416015401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-124657.53424657535</v>
      </c>
      <c r="Q32" s="42">
        <v>43089.625</v>
      </c>
      <c r="R32" s="39">
        <f t="shared" ca="1" si="17"/>
        <v>-21.085962615739845</v>
      </c>
      <c r="S32" s="43">
        <f t="shared" si="18"/>
        <v>4207.8100000000004</v>
      </c>
      <c r="T32" s="43">
        <v>3841.83</v>
      </c>
      <c r="U32" s="39">
        <f t="shared" ref="U32" si="20">S32/T32</f>
        <v>1.0952618934205836</v>
      </c>
      <c r="V32" s="39">
        <v>1</v>
      </c>
      <c r="X32" s="39">
        <v>1.0900000000000001</v>
      </c>
      <c r="Z32" s="39">
        <v>2.5000000000000001E-2</v>
      </c>
      <c r="AA32" s="39">
        <f>_xll.dnetDiscreteAdjustedBarrier(U32,X32,$C$7,1/365)</f>
        <v>1.0858530090027416</v>
      </c>
    </row>
    <row r="33" spans="2:27" s="39" customFormat="1" x14ac:dyDescent="0.15">
      <c r="B33" s="39">
        <v>-1</v>
      </c>
      <c r="C33" s="40" t="s">
        <v>193</v>
      </c>
      <c r="D33" s="39" t="s">
        <v>25</v>
      </c>
      <c r="E33" s="39" t="s">
        <v>142</v>
      </c>
      <c r="F33" s="39" t="s">
        <v>30</v>
      </c>
      <c r="G33" s="39">
        <v>9863013.6986301374</v>
      </c>
      <c r="H33" s="39">
        <f t="shared" ref="H33" si="21">G33/T33/300</f>
        <v>8.5694545363657308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42">
        <v>43187.625</v>
      </c>
      <c r="R33" s="39">
        <f t="shared" ca="1" si="17"/>
        <v>76.914037384260155</v>
      </c>
      <c r="S33" s="43">
        <f t="shared" si="18"/>
        <v>4207.8100000000004</v>
      </c>
      <c r="T33" s="43">
        <v>3836.5</v>
      </c>
      <c r="U33" s="39">
        <f t="shared" ref="U33" si="22">S33/T33</f>
        <v>1.0967835266518964</v>
      </c>
      <c r="V33" s="39">
        <v>1</v>
      </c>
      <c r="X33" s="39">
        <v>1.08</v>
      </c>
      <c r="Z33" s="39">
        <v>0</v>
      </c>
      <c r="AA33" s="39">
        <f>_xll.dnetDiscreteAdjustedBarrier(U33,X33,$C$7,1/365)</f>
        <v>1.0758910547917071</v>
      </c>
    </row>
    <row r="34" spans="2:27" s="39" customFormat="1" x14ac:dyDescent="0.15">
      <c r="B34" s="39">
        <v>-1</v>
      </c>
      <c r="C34" s="40" t="s">
        <v>199</v>
      </c>
      <c r="D34" s="39" t="s">
        <v>195</v>
      </c>
      <c r="E34" s="39" t="s">
        <v>200</v>
      </c>
      <c r="F34" s="39" t="s">
        <v>188</v>
      </c>
      <c r="G34" s="39">
        <v>295150.68493150687</v>
      </c>
      <c r="H34" s="39">
        <f t="shared" ref="H34" si="23">G34/T34/300</f>
        <v>0.24614720672273194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f>B34*_xll.dnetStandardBarrierNGreeks("price",E34,U34,V34,AA34,Z34,R34/365,$C$5,$C$9,$C$7,0.01)*G34</f>
        <v>0</v>
      </c>
      <c r="Q34" s="42">
        <v>43067.625</v>
      </c>
      <c r="R34" s="39">
        <v>1E-4</v>
      </c>
      <c r="S34" s="43">
        <f t="shared" si="18"/>
        <v>4207.8100000000004</v>
      </c>
      <c r="T34" s="43">
        <v>3996.94</v>
      </c>
      <c r="U34" s="39">
        <f t="shared" ref="U34" si="24">S34/T34</f>
        <v>1.0527578597627185</v>
      </c>
      <c r="V34" s="39">
        <v>0.995</v>
      </c>
      <c r="X34" s="39">
        <v>0.90500000000000003</v>
      </c>
      <c r="Z34" s="39">
        <v>2.3800000000000002E-2</v>
      </c>
      <c r="AA34" s="39">
        <f>_xll.dnetDiscreteAdjustedBarrier(U34,X34,$C$7,1/365)</f>
        <v>0.90155685609860647</v>
      </c>
    </row>
    <row r="35" spans="2:27" s="39" customFormat="1" x14ac:dyDescent="0.15">
      <c r="B35" s="39">
        <v>-1</v>
      </c>
      <c r="C35" s="40" t="s">
        <v>201</v>
      </c>
      <c r="D35" s="39" t="s">
        <v>195</v>
      </c>
      <c r="E35" s="39" t="s">
        <v>202</v>
      </c>
      <c r="F35" s="39" t="s">
        <v>188</v>
      </c>
      <c r="G35" s="39">
        <v>278373.69863013696</v>
      </c>
      <c r="H35" s="39">
        <f t="shared" ref="H35" si="25">G35/T35/300</f>
        <v>0.2321556812879661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-4100.7979318005573</v>
      </c>
      <c r="Q35" s="42">
        <v>43067.625</v>
      </c>
      <c r="R35" s="39">
        <v>1E-4</v>
      </c>
      <c r="S35" s="43">
        <f t="shared" si="18"/>
        <v>4207.8100000000004</v>
      </c>
      <c r="T35" s="43">
        <v>3996.94</v>
      </c>
      <c r="U35" s="39">
        <f t="shared" ref="U35" si="26">S35/T35</f>
        <v>1.0527578597627185</v>
      </c>
      <c r="V35" s="39">
        <v>1</v>
      </c>
      <c r="X35" s="39">
        <v>1.0900000000000001</v>
      </c>
      <c r="Z35" s="39">
        <v>2.3800000000000002E-2</v>
      </c>
      <c r="AA35" s="39">
        <f>_xll.dnetDiscreteAdjustedBarrier(U35,X35,$C$7,1/365)</f>
        <v>1.0941628288078913</v>
      </c>
    </row>
    <row r="36" spans="2:27" s="39" customFormat="1" ht="10.5" customHeight="1" x14ac:dyDescent="0.15">
      <c r="B36" s="39">
        <v>-1</v>
      </c>
      <c r="C36" s="40" t="s">
        <v>190</v>
      </c>
      <c r="D36" s="39" t="s">
        <v>186</v>
      </c>
      <c r="E36" s="39" t="s">
        <v>187</v>
      </c>
      <c r="F36" s="39" t="s">
        <v>188</v>
      </c>
      <c r="G36" s="39">
        <v>171147.94520547945</v>
      </c>
      <c r="H36" s="39">
        <f t="shared" ref="H36" si="27">G36/T36/300</f>
        <v>0.13929993936776641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P36" s="39">
        <v>0</v>
      </c>
      <c r="Q36" s="42">
        <v>43087.625</v>
      </c>
      <c r="R36" s="39">
        <v>1.0000000000000001E-5</v>
      </c>
      <c r="S36" s="43">
        <f t="shared" si="18"/>
        <v>4207.8100000000004</v>
      </c>
      <c r="T36" s="43">
        <v>4095.43</v>
      </c>
      <c r="U36" s="39">
        <f t="shared" ref="U36" si="28">S36/T36</f>
        <v>1.027440342039786</v>
      </c>
      <c r="V36" s="39">
        <v>1</v>
      </c>
      <c r="Z36" s="39">
        <v>7.0000000000000007E-2</v>
      </c>
    </row>
    <row r="37" spans="2:27" s="39" customFormat="1" ht="10.5" customHeight="1" x14ac:dyDescent="0.15">
      <c r="B37" s="39">
        <v>-1</v>
      </c>
      <c r="C37" s="40" t="s">
        <v>191</v>
      </c>
      <c r="D37" s="39" t="s">
        <v>186</v>
      </c>
      <c r="E37" s="39" t="s">
        <v>189</v>
      </c>
      <c r="F37" s="39" t="s">
        <v>188</v>
      </c>
      <c r="G37" s="39">
        <v>135616.43835616438</v>
      </c>
      <c r="H37" s="39">
        <f t="shared" ref="H37:H38" si="29">G37/T37/300</f>
        <v>0.11038030060837274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P37" s="39">
        <v>-9493.1506797297807</v>
      </c>
      <c r="Q37" s="42">
        <v>43087.625</v>
      </c>
      <c r="R37" s="39">
        <v>1.0000000000000001E-5</v>
      </c>
      <c r="S37" s="43">
        <f t="shared" si="18"/>
        <v>4207.8100000000004</v>
      </c>
      <c r="T37" s="43">
        <v>4095.43</v>
      </c>
      <c r="U37" s="39">
        <f t="shared" ref="U37:U38" si="30">S37/T37</f>
        <v>1.027440342039786</v>
      </c>
      <c r="V37" s="39">
        <v>1</v>
      </c>
      <c r="Z37" s="39">
        <v>7.0000000000000007E-2</v>
      </c>
    </row>
    <row r="38" spans="2:27" ht="10.5" customHeight="1" x14ac:dyDescent="0.15">
      <c r="B38" s="35">
        <v>-1</v>
      </c>
      <c r="C38" s="46" t="s">
        <v>203</v>
      </c>
      <c r="D38" s="35" t="s">
        <v>186</v>
      </c>
      <c r="E38" s="35" t="s">
        <v>187</v>
      </c>
      <c r="F38" s="35" t="s">
        <v>117</v>
      </c>
      <c r="G38" s="35">
        <v>57534.246575342462</v>
      </c>
      <c r="H38" s="45">
        <f t="shared" si="29"/>
        <v>4.7309484284380685E-2</v>
      </c>
      <c r="I38" s="35">
        <f ca="1">B38*_xll.dnetCashOrNothingNGreeks("delta",E38,U38,V38,Z38,R38/365,$C$5,$C$9,$C$7,0.01)*G38</f>
        <v>-26330.529291505922</v>
      </c>
      <c r="J38" s="35">
        <f ca="1">B38*_xll.dnetCashOrNothingNGreeks("delta",E38,U38,V38,Z38,R38/365,$C$5,$C$9,$C$7,0.01)*H38</f>
        <v>-2.1651170144110121E-2</v>
      </c>
      <c r="K38" s="35">
        <f ca="1">B38*_xll.dnetCashOrNothingNGreeks("delta",E38,U38,V38,Z38,R38/365,$C$5,$C$9,$C$7,0.01)*H38</f>
        <v>-2.1651170144110121E-2</v>
      </c>
      <c r="L38" s="35">
        <f ca="1">B38*_xll.dnetCashOrNothingNGreeks("delta",E38,U38,V38,Z38,R38/365,$C$5,$C$9,$C$7,0.01)*H38</f>
        <v>-2.1651170144110121E-2</v>
      </c>
      <c r="M38" s="35">
        <f ca="1">B38*_xll.dnetCashOrNothingNGreeks("gammap",E38,U38,V38,Z38,R38/365,$C$5,$C$9,$C$7,0.01)*H38</f>
        <v>6.3314355003386887E-3</v>
      </c>
      <c r="N38" s="35">
        <f ca="1">B38*_xll.dnetCashOrNothingNGreeks("vega",E38,U38,V38,Z38,R38/365,$C$5,$C$9,$C$7,0.01)*H38</f>
        <v>6.8053951765173476E-5</v>
      </c>
      <c r="O38" s="35">
        <f ca="1">B38*_xll.dnetCashOrNothingNGreeks("theta",E38,U38,V38,Z38,R38/365,$C$5,$C$9,$C$7,0.01)*G38</f>
        <v>-17.769525595085465</v>
      </c>
      <c r="P38" s="35">
        <f ca="1">B38*_xll.dnetCashOrNothingNGreeks("price",E38,U38,V38,Z38,R38/365,$C$5,$C$9,$C$7,0.01)*G38</f>
        <v>-3503.6942049918393</v>
      </c>
      <c r="Q38" s="36">
        <v>43140.625</v>
      </c>
      <c r="R38" s="35">
        <f t="shared" ref="R38" ca="1" si="31">Q38-$C$3</f>
        <v>29.914037384260155</v>
      </c>
      <c r="S38" s="47">
        <f t="shared" si="18"/>
        <v>4207.8100000000004</v>
      </c>
      <c r="T38" s="47">
        <v>4053.75</v>
      </c>
      <c r="U38" s="35">
        <f t="shared" si="30"/>
        <v>1.0380043169904412</v>
      </c>
      <c r="V38" s="35">
        <v>1</v>
      </c>
      <c r="Z38" s="35">
        <v>7.1999999999999995E-2</v>
      </c>
    </row>
    <row r="40" spans="2:27" ht="15" x14ac:dyDescent="0.15">
      <c r="G40" s="56"/>
      <c r="K40" s="51"/>
    </row>
    <row r="42" spans="2:27" ht="15" x14ac:dyDescent="0.25">
      <c r="G42" s="57"/>
    </row>
    <row r="43" spans="2:27" x14ac:dyDescent="0.15">
      <c r="H43" s="54"/>
    </row>
    <row r="44" spans="2:27" x14ac:dyDescent="0.15">
      <c r="G44" s="52"/>
    </row>
    <row r="45" spans="2:27" x14ac:dyDescent="0.15">
      <c r="G45" s="52"/>
    </row>
    <row r="46" spans="2:27" x14ac:dyDescent="0.15">
      <c r="E46" s="53"/>
    </row>
    <row r="48" spans="2:27" x14ac:dyDescent="0.15">
      <c r="G48" s="53"/>
    </row>
    <row r="49" spans="20:20" x14ac:dyDescent="0.15">
      <c r="T49" s="44"/>
    </row>
    <row r="50" spans="20:20" x14ac:dyDescent="0.15">
      <c r="T50" s="44"/>
    </row>
    <row r="84" ht="12" customHeight="1" x14ac:dyDescent="0.1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25"/>
  <sheetViews>
    <sheetView workbookViewId="0">
      <selection activeCell="L19" sqref="L19"/>
    </sheetView>
  </sheetViews>
  <sheetFormatPr defaultRowHeight="13.5" x14ac:dyDescent="0.15"/>
  <cols>
    <col min="13" max="13" width="7.5" customWidth="1"/>
  </cols>
  <sheetData>
    <row r="1" spans="1:42" s="16" customFormat="1" x14ac:dyDescent="0.15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16" t="s">
        <v>56</v>
      </c>
      <c r="L1" s="16" t="s">
        <v>57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  <c r="S1" s="16" t="s">
        <v>64</v>
      </c>
      <c r="T1" s="16" t="s">
        <v>65</v>
      </c>
      <c r="U1" s="16" t="s">
        <v>66</v>
      </c>
      <c r="V1" s="16" t="s">
        <v>67</v>
      </c>
      <c r="W1" s="16" t="s">
        <v>68</v>
      </c>
      <c r="X1" s="16" t="s">
        <v>69</v>
      </c>
      <c r="Y1" s="16" t="s">
        <v>70</v>
      </c>
      <c r="Z1" s="16" t="s">
        <v>71</v>
      </c>
      <c r="AA1" s="16" t="s">
        <v>72</v>
      </c>
      <c r="AB1" s="16" t="s">
        <v>73</v>
      </c>
      <c r="AC1" s="16" t="s">
        <v>74</v>
      </c>
      <c r="AD1" s="16" t="s">
        <v>75</v>
      </c>
      <c r="AE1" s="16" t="s">
        <v>76</v>
      </c>
      <c r="AF1" s="16" t="s">
        <v>77</v>
      </c>
      <c r="AG1" s="16" t="s">
        <v>78</v>
      </c>
      <c r="AH1" s="16" t="s">
        <v>79</v>
      </c>
      <c r="AI1" s="16" t="s">
        <v>80</v>
      </c>
      <c r="AJ1" s="16" t="s">
        <v>81</v>
      </c>
      <c r="AK1" s="16" t="s">
        <v>82</v>
      </c>
      <c r="AL1" s="16" t="s">
        <v>83</v>
      </c>
      <c r="AM1" s="16" t="s">
        <v>84</v>
      </c>
      <c r="AN1" s="16" t="s">
        <v>85</v>
      </c>
      <c r="AO1" s="16" t="s">
        <v>86</v>
      </c>
      <c r="AP1" s="16" t="s">
        <v>87</v>
      </c>
    </row>
    <row r="2" spans="1:42" s="16" customFormat="1" x14ac:dyDescent="0.15">
      <c r="A2" s="16" t="s">
        <v>98</v>
      </c>
      <c r="B2" s="16" t="s">
        <v>91</v>
      </c>
      <c r="C2" s="16" t="s">
        <v>92</v>
      </c>
      <c r="D2" s="17">
        <v>42745</v>
      </c>
      <c r="E2" s="17">
        <v>42836</v>
      </c>
      <c r="F2" s="18">
        <v>42745.625</v>
      </c>
      <c r="G2" s="18">
        <v>42836.625</v>
      </c>
      <c r="H2" s="17">
        <v>42836</v>
      </c>
      <c r="I2" s="17">
        <v>42744</v>
      </c>
      <c r="J2" s="16">
        <v>91</v>
      </c>
      <c r="K2" s="16">
        <v>91</v>
      </c>
      <c r="L2" s="16" t="s">
        <v>93</v>
      </c>
      <c r="M2" s="16">
        <v>399300</v>
      </c>
      <c r="N2" s="16">
        <v>3363.9</v>
      </c>
      <c r="O2" s="16">
        <v>20000000</v>
      </c>
      <c r="P2" s="16">
        <v>4986301.36986301</v>
      </c>
      <c r="Q2" s="16">
        <v>1482.2977406769</v>
      </c>
      <c r="R2" s="16">
        <v>118673.97260274</v>
      </c>
      <c r="S2" s="16">
        <v>2.38</v>
      </c>
      <c r="T2" s="16">
        <v>224383.56164383501</v>
      </c>
      <c r="U2" s="16">
        <v>4.5</v>
      </c>
      <c r="V2" s="16" t="s">
        <v>94</v>
      </c>
      <c r="W2" s="16" t="s">
        <v>95</v>
      </c>
      <c r="X2" s="16" t="s">
        <v>96</v>
      </c>
      <c r="Y2" s="16" t="s">
        <v>97</v>
      </c>
      <c r="Z2" s="16">
        <v>3430.26</v>
      </c>
      <c r="AA2" s="16">
        <v>102</v>
      </c>
      <c r="AH2" s="16">
        <v>3800.19</v>
      </c>
      <c r="AI2" s="16">
        <v>113</v>
      </c>
      <c r="AL2" s="16" t="b">
        <v>0</v>
      </c>
      <c r="AM2" s="16" t="s">
        <v>88</v>
      </c>
      <c r="AN2" s="16" t="s">
        <v>89</v>
      </c>
      <c r="AO2" s="16" t="s">
        <v>90</v>
      </c>
      <c r="AP2" s="19">
        <v>42744.822384259256</v>
      </c>
    </row>
    <row r="3" spans="1:42" x14ac:dyDescent="0.15">
      <c r="A3" s="16" t="s">
        <v>110</v>
      </c>
      <c r="B3" s="16" t="s">
        <v>91</v>
      </c>
      <c r="C3" s="16" t="s">
        <v>92</v>
      </c>
      <c r="D3" s="17">
        <v>42747</v>
      </c>
      <c r="E3" s="17">
        <v>42836</v>
      </c>
      <c r="F3" s="18">
        <v>42747.625</v>
      </c>
      <c r="G3" s="18">
        <v>42836.625</v>
      </c>
      <c r="H3" s="17">
        <v>42836</v>
      </c>
      <c r="I3" s="17">
        <v>42747</v>
      </c>
      <c r="J3" s="16">
        <v>89</v>
      </c>
      <c r="K3" s="16">
        <v>89</v>
      </c>
      <c r="L3" s="16" t="s">
        <v>93</v>
      </c>
      <c r="M3" s="16">
        <v>399300</v>
      </c>
      <c r="N3" s="16">
        <v>3340.1</v>
      </c>
      <c r="O3" s="16">
        <v>10000000</v>
      </c>
      <c r="P3" s="16">
        <v>2438356.16438356</v>
      </c>
      <c r="Q3" s="16">
        <v>730.02489877056405</v>
      </c>
      <c r="R3" s="16">
        <v>50759.9</v>
      </c>
      <c r="S3" s="16">
        <v>2.0817262359550601</v>
      </c>
      <c r="T3" s="16">
        <v>0</v>
      </c>
      <c r="U3" s="16">
        <v>0</v>
      </c>
      <c r="V3" s="16" t="s">
        <v>94</v>
      </c>
      <c r="W3" s="16" t="s">
        <v>95</v>
      </c>
      <c r="X3" s="16" t="s">
        <v>96</v>
      </c>
      <c r="Y3" s="16" t="s">
        <v>97</v>
      </c>
      <c r="Z3" s="16">
        <v>3340</v>
      </c>
      <c r="AA3" s="16">
        <v>100</v>
      </c>
      <c r="AD3" s="16"/>
      <c r="AE3" s="16"/>
      <c r="AF3" s="16"/>
      <c r="AG3" s="16"/>
      <c r="AH3" s="16">
        <v>3740.8</v>
      </c>
      <c r="AI3" s="16">
        <v>112</v>
      </c>
      <c r="AJ3" s="16"/>
      <c r="AK3" s="16"/>
      <c r="AL3" s="16" t="b">
        <v>0</v>
      </c>
      <c r="AM3" s="16" t="s">
        <v>88</v>
      </c>
      <c r="AN3" s="16" t="s">
        <v>89</v>
      </c>
      <c r="AO3" s="16" t="s">
        <v>90</v>
      </c>
      <c r="AP3" s="19">
        <v>42747.498194444444</v>
      </c>
    </row>
    <row r="25" spans="5:5" x14ac:dyDescent="0.15">
      <c r="E25" t="s">
        <v>122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N80"/>
  <sheetViews>
    <sheetView workbookViewId="0">
      <selection activeCell="J30" sqref="J30"/>
    </sheetView>
  </sheetViews>
  <sheetFormatPr defaultRowHeight="13.5" x14ac:dyDescent="0.15"/>
  <cols>
    <col min="2" max="2" width="11.625" bestFit="1" customWidth="1"/>
    <col min="3" max="3" width="11.5" customWidth="1"/>
    <col min="4" max="4" width="8.5" customWidth="1"/>
    <col min="5" max="5" width="10.25" customWidth="1"/>
    <col min="6" max="6" width="11" customWidth="1"/>
    <col min="9" max="9" width="12.25" customWidth="1"/>
    <col min="11" max="11" width="13.375" customWidth="1"/>
    <col min="12" max="12" width="12" customWidth="1"/>
    <col min="13" max="13" width="33.75" customWidth="1"/>
    <col min="14" max="14" width="28.625" customWidth="1"/>
  </cols>
  <sheetData>
    <row r="4" spans="2:14" x14ac:dyDescent="0.15">
      <c r="J4">
        <f>SUM(J6:J28)</f>
        <v>0</v>
      </c>
      <c r="N4" s="21">
        <f ca="1">SUM(N6:N19)</f>
        <v>1954560.3000000045</v>
      </c>
    </row>
    <row r="5" spans="2:14" x14ac:dyDescent="0.15">
      <c r="B5" t="s">
        <v>99</v>
      </c>
      <c r="C5" t="s">
        <v>100</v>
      </c>
      <c r="D5" t="s">
        <v>101</v>
      </c>
      <c r="E5" t="s">
        <v>102</v>
      </c>
      <c r="F5" t="s">
        <v>105</v>
      </c>
      <c r="J5" t="s">
        <v>107</v>
      </c>
      <c r="K5" t="s">
        <v>106</v>
      </c>
      <c r="L5" t="s">
        <v>120</v>
      </c>
      <c r="M5" t="s">
        <v>111</v>
      </c>
      <c r="N5" t="s">
        <v>108</v>
      </c>
    </row>
    <row r="6" spans="2:14" x14ac:dyDescent="0.15">
      <c r="B6" s="11">
        <v>42745</v>
      </c>
      <c r="C6" t="s">
        <v>103</v>
      </c>
      <c r="D6">
        <v>1</v>
      </c>
      <c r="E6">
        <v>3302.6</v>
      </c>
      <c r="F6">
        <f>E6*D6</f>
        <v>3302.6</v>
      </c>
      <c r="I6" t="s">
        <v>104</v>
      </c>
      <c r="J6">
        <f>SUMIF(C6:C60,"=if1703",D6:D60)</f>
        <v>0</v>
      </c>
      <c r="K6" s="27">
        <f ca="1">SUMIF(C6:C60,"=if1703",F6:F59)*300</f>
        <v>-224819.70000000091</v>
      </c>
      <c r="L6" s="20">
        <v>0</v>
      </c>
      <c r="M6" s="26">
        <f t="shared" ref="M6:M11" si="0">J6*L6*300</f>
        <v>0</v>
      </c>
      <c r="N6" s="21">
        <f t="shared" ref="N6:N11" ca="1" si="1">(M6-K6)</f>
        <v>224819.70000000091</v>
      </c>
    </row>
    <row r="7" spans="2:14" x14ac:dyDescent="0.15">
      <c r="B7" s="11">
        <v>42755</v>
      </c>
      <c r="C7" t="s">
        <v>119</v>
      </c>
      <c r="D7">
        <v>1</v>
      </c>
      <c r="E7">
        <v>3341</v>
      </c>
      <c r="F7">
        <v>3341</v>
      </c>
      <c r="I7" t="s">
        <v>136</v>
      </c>
      <c r="J7">
        <f>SUMIF(C6:C61,"=if1704",D6:D61)</f>
        <v>0</v>
      </c>
      <c r="K7" s="27">
        <f ca="1">SUMIF(C6:C61,"=if1704",F6:F60)*300</f>
        <v>-82559.700000000157</v>
      </c>
      <c r="L7" s="20">
        <v>0</v>
      </c>
      <c r="M7" s="26">
        <f t="shared" si="0"/>
        <v>0</v>
      </c>
      <c r="N7" s="21">
        <f t="shared" ca="1" si="1"/>
        <v>82559.700000000157</v>
      </c>
    </row>
    <row r="8" spans="2:14" x14ac:dyDescent="0.15">
      <c r="B8" s="11">
        <v>42772</v>
      </c>
      <c r="C8" t="s">
        <v>121</v>
      </c>
      <c r="D8">
        <v>1</v>
      </c>
      <c r="E8">
        <v>3356.2</v>
      </c>
      <c r="F8">
        <f t="shared" ref="F8:F14" si="2">E8*D8</f>
        <v>3356.2</v>
      </c>
      <c r="I8" t="s">
        <v>152</v>
      </c>
      <c r="J8">
        <f>SUMIF(C7:C62,"=if1705",D7:D62)</f>
        <v>0</v>
      </c>
      <c r="K8" s="27">
        <f ca="1">SUMIF(C7:C62,"=if1705",F7:F61)*300</f>
        <v>-27840.000000000055</v>
      </c>
      <c r="L8" s="20">
        <v>0</v>
      </c>
      <c r="M8" s="26">
        <f t="shared" si="0"/>
        <v>0</v>
      </c>
      <c r="N8" s="21">
        <f t="shared" ca="1" si="1"/>
        <v>27840.000000000055</v>
      </c>
    </row>
    <row r="9" spans="2:14" x14ac:dyDescent="0.15">
      <c r="B9" s="11">
        <v>42774</v>
      </c>
      <c r="C9" t="s">
        <v>103</v>
      </c>
      <c r="D9">
        <v>1</v>
      </c>
      <c r="E9">
        <v>3357</v>
      </c>
      <c r="F9">
        <f t="shared" si="2"/>
        <v>3357</v>
      </c>
      <c r="I9" t="s">
        <v>157</v>
      </c>
      <c r="J9">
        <f>SUMIF(C8:C63,"=if1706",D8:D63)</f>
        <v>0</v>
      </c>
      <c r="K9" s="27">
        <f ca="1">SUMIF(C8:C63,"=if1706",F8:F62)*300</f>
        <v>-91500.000000000276</v>
      </c>
      <c r="L9" s="20">
        <v>0</v>
      </c>
      <c r="M9" s="26">
        <f t="shared" si="0"/>
        <v>0</v>
      </c>
      <c r="N9" s="21">
        <f t="shared" ca="1" si="1"/>
        <v>91500.000000000276</v>
      </c>
    </row>
    <row r="10" spans="2:14" x14ac:dyDescent="0.15">
      <c r="C10" t="s">
        <v>103</v>
      </c>
      <c r="D10">
        <v>1</v>
      </c>
      <c r="E10">
        <v>3388.6</v>
      </c>
      <c r="F10">
        <f t="shared" si="2"/>
        <v>3388.6</v>
      </c>
      <c r="I10" t="s">
        <v>161</v>
      </c>
      <c r="J10">
        <f>SUMIF(C9:C64,"=if1709",D9:D64)</f>
        <v>0</v>
      </c>
      <c r="K10" s="27">
        <f ca="1">SUMIF(C9:C64,"=if1709",F9:F63)*300</f>
        <v>-216240.0000000002</v>
      </c>
      <c r="L10" s="20">
        <v>0</v>
      </c>
      <c r="M10" s="26">
        <f t="shared" si="0"/>
        <v>0</v>
      </c>
      <c r="N10" s="21">
        <f t="shared" ca="1" si="1"/>
        <v>216240.0000000002</v>
      </c>
    </row>
    <row r="11" spans="2:14" x14ac:dyDescent="0.15">
      <c r="C11" t="s">
        <v>103</v>
      </c>
      <c r="D11">
        <v>1</v>
      </c>
      <c r="E11">
        <v>3381.2</v>
      </c>
      <c r="F11">
        <f t="shared" si="2"/>
        <v>3381.2</v>
      </c>
      <c r="I11" t="s">
        <v>182</v>
      </c>
      <c r="J11">
        <f>SUMIF(C10:C94,"=if1712",D10:D94)</f>
        <v>0</v>
      </c>
      <c r="K11" s="27">
        <f>SUMIF(C10:C83,"=if1712",F10:F83)*300</f>
        <v>-1002360.9000000024</v>
      </c>
      <c r="L11" s="20">
        <v>0</v>
      </c>
      <c r="M11" s="26">
        <f t="shared" si="0"/>
        <v>0</v>
      </c>
      <c r="N11" s="21">
        <f t="shared" si="1"/>
        <v>1002360.9000000024</v>
      </c>
    </row>
    <row r="12" spans="2:14" x14ac:dyDescent="0.15">
      <c r="C12" t="s">
        <v>103</v>
      </c>
      <c r="D12">
        <v>1</v>
      </c>
      <c r="E12">
        <v>3392.6</v>
      </c>
      <c r="F12">
        <f t="shared" si="2"/>
        <v>3392.6</v>
      </c>
      <c r="I12" t="s">
        <v>176</v>
      </c>
      <c r="J12">
        <f>SUMIF(C11:C84,"=if1803",D11:D84)</f>
        <v>0</v>
      </c>
      <c r="K12" s="27">
        <f>SUMIF(C11:C80,"=if1803",F11:F80)*300</f>
        <v>-309240.00000000035</v>
      </c>
      <c r="L12" s="20">
        <v>0</v>
      </c>
      <c r="M12" s="26">
        <f t="shared" ref="M12" si="3">J12*L12*300</f>
        <v>0</v>
      </c>
      <c r="N12" s="21">
        <f t="shared" ref="N12" si="4">(M12-K12)</f>
        <v>309240.00000000035</v>
      </c>
    </row>
    <row r="13" spans="2:14" x14ac:dyDescent="0.15">
      <c r="B13" s="11">
        <v>42786</v>
      </c>
      <c r="C13" t="s">
        <v>124</v>
      </c>
      <c r="D13">
        <v>-1</v>
      </c>
      <c r="E13">
        <v>3460.2</v>
      </c>
      <c r="F13">
        <f t="shared" si="2"/>
        <v>-3460.2</v>
      </c>
    </row>
    <row r="14" spans="2:14" x14ac:dyDescent="0.15">
      <c r="B14" s="11">
        <v>42786</v>
      </c>
      <c r="C14" t="s">
        <v>124</v>
      </c>
      <c r="D14">
        <v>-1</v>
      </c>
      <c r="E14">
        <v>3461</v>
      </c>
      <c r="F14">
        <f t="shared" si="2"/>
        <v>-3461</v>
      </c>
    </row>
    <row r="15" spans="2:14" x14ac:dyDescent="0.15">
      <c r="B15" s="11">
        <v>42787</v>
      </c>
      <c r="C15" t="s">
        <v>103</v>
      </c>
      <c r="D15">
        <v>-1</v>
      </c>
      <c r="E15">
        <v>3464</v>
      </c>
      <c r="F15">
        <f t="shared" ref="F15" si="5">E15*D15</f>
        <v>-3464</v>
      </c>
      <c r="L15" s="20"/>
    </row>
    <row r="16" spans="2:14" x14ac:dyDescent="0.15">
      <c r="B16" s="11">
        <v>42789</v>
      </c>
      <c r="C16" t="s">
        <v>103</v>
      </c>
      <c r="D16">
        <v>-1</v>
      </c>
      <c r="E16">
        <v>3454</v>
      </c>
      <c r="F16">
        <f t="shared" ref="F16" si="6">E16*D16</f>
        <v>-3454</v>
      </c>
    </row>
    <row r="17" spans="2:13" x14ac:dyDescent="0.15">
      <c r="B17" s="11">
        <v>42800</v>
      </c>
      <c r="C17" t="s">
        <v>103</v>
      </c>
      <c r="D17">
        <v>1</v>
      </c>
      <c r="E17">
        <v>3426.2</v>
      </c>
      <c r="F17">
        <f t="shared" ref="F17" si="7">E17*D17</f>
        <v>3426.2</v>
      </c>
    </row>
    <row r="18" spans="2:13" x14ac:dyDescent="0.15">
      <c r="B18" s="11">
        <v>42803</v>
      </c>
      <c r="C18" t="s">
        <v>103</v>
      </c>
      <c r="D18">
        <v>-1</v>
      </c>
      <c r="E18">
        <v>3406.2</v>
      </c>
      <c r="F18">
        <f t="shared" ref="F18" si="8">E18*D18</f>
        <v>-3406.2</v>
      </c>
    </row>
    <row r="19" spans="2:13" x14ac:dyDescent="0.15">
      <c r="B19" s="11">
        <v>42807</v>
      </c>
      <c r="C19" t="s">
        <v>134</v>
      </c>
      <c r="D19">
        <v>1</v>
      </c>
      <c r="E19">
        <v>3427.8</v>
      </c>
      <c r="F19">
        <f t="shared" ref="F19:F22" si="9">E19*D19</f>
        <v>3427.8</v>
      </c>
    </row>
    <row r="20" spans="2:13" x14ac:dyDescent="0.15">
      <c r="B20" s="11">
        <v>42807</v>
      </c>
      <c r="C20" t="s">
        <v>135</v>
      </c>
      <c r="D20">
        <v>1</v>
      </c>
      <c r="E20">
        <v>3427.8</v>
      </c>
      <c r="F20">
        <f t="shared" si="9"/>
        <v>3427.8</v>
      </c>
    </row>
    <row r="21" spans="2:13" x14ac:dyDescent="0.15">
      <c r="B21" s="11">
        <v>42810</v>
      </c>
      <c r="C21" t="s">
        <v>103</v>
      </c>
      <c r="D21">
        <v>-3</v>
      </c>
      <c r="E21">
        <v>3483.1329999999998</v>
      </c>
      <c r="F21">
        <f t="shared" si="9"/>
        <v>-10449.398999999999</v>
      </c>
    </row>
    <row r="22" spans="2:13" x14ac:dyDescent="0.15">
      <c r="B22" s="11">
        <v>42810</v>
      </c>
      <c r="C22" t="s">
        <v>135</v>
      </c>
      <c r="D22">
        <v>3</v>
      </c>
      <c r="E22">
        <v>3462.933</v>
      </c>
      <c r="F22">
        <f t="shared" si="9"/>
        <v>10388.798999999999</v>
      </c>
    </row>
    <row r="23" spans="2:13" x14ac:dyDescent="0.15">
      <c r="B23" s="11">
        <v>42810</v>
      </c>
      <c r="C23" t="s">
        <v>137</v>
      </c>
      <c r="D23">
        <v>-1</v>
      </c>
      <c r="E23">
        <v>3457.4</v>
      </c>
      <c r="F23">
        <f t="shared" ref="F23:F24" si="10">E23*D23</f>
        <v>-3457.4</v>
      </c>
    </row>
    <row r="24" spans="2:13" x14ac:dyDescent="0.15">
      <c r="B24" s="11">
        <v>42814</v>
      </c>
      <c r="C24" t="s">
        <v>134</v>
      </c>
      <c r="D24">
        <v>1</v>
      </c>
      <c r="E24">
        <v>3419.2</v>
      </c>
      <c r="F24">
        <f t="shared" si="10"/>
        <v>3419.2</v>
      </c>
      <c r="M24" s="11"/>
    </row>
    <row r="25" spans="2:13" x14ac:dyDescent="0.15">
      <c r="B25" s="11">
        <v>42814</v>
      </c>
      <c r="C25" t="s">
        <v>134</v>
      </c>
      <c r="D25">
        <v>-1</v>
      </c>
      <c r="E25">
        <v>3419.4</v>
      </c>
      <c r="F25">
        <f t="shared" ref="F25" si="11">E25*D25</f>
        <v>-3419.4</v>
      </c>
      <c r="M25" s="11"/>
    </row>
    <row r="26" spans="2:13" x14ac:dyDescent="0.15">
      <c r="B26" s="11">
        <v>42815</v>
      </c>
      <c r="C26" t="s">
        <v>134</v>
      </c>
      <c r="D26">
        <v>1</v>
      </c>
      <c r="E26">
        <v>3434</v>
      </c>
      <c r="F26">
        <f t="shared" ref="F26" si="12">E26*D26</f>
        <v>3434</v>
      </c>
      <c r="M26" s="11"/>
    </row>
    <row r="27" spans="2:13" x14ac:dyDescent="0.15">
      <c r="B27" s="11">
        <v>42818</v>
      </c>
      <c r="C27" t="s">
        <v>134</v>
      </c>
      <c r="D27">
        <v>1</v>
      </c>
      <c r="E27">
        <v>3481.8</v>
      </c>
      <c r="F27">
        <f t="shared" ref="F27" si="13">E27*D27</f>
        <v>3481.8</v>
      </c>
      <c r="M27" s="11"/>
    </row>
    <row r="28" spans="2:13" x14ac:dyDescent="0.15">
      <c r="B28" s="11">
        <v>42824</v>
      </c>
      <c r="C28" t="s">
        <v>134</v>
      </c>
      <c r="D28">
        <v>-1</v>
      </c>
      <c r="E28">
        <v>3431.8</v>
      </c>
      <c r="F28">
        <f t="shared" ref="F28" si="14">E28*D28</f>
        <v>-3431.8</v>
      </c>
      <c r="M28" s="11"/>
    </row>
    <row r="29" spans="2:13" x14ac:dyDescent="0.15">
      <c r="B29" s="11">
        <v>42825</v>
      </c>
      <c r="C29" t="s">
        <v>152</v>
      </c>
      <c r="D29">
        <v>1</v>
      </c>
      <c r="E29">
        <v>3433</v>
      </c>
      <c r="F29">
        <f t="shared" ref="F29" si="15">E29*D29</f>
        <v>3433</v>
      </c>
      <c r="M29" s="11"/>
    </row>
    <row r="30" spans="2:13" x14ac:dyDescent="0.15">
      <c r="B30" s="11">
        <v>42830</v>
      </c>
      <c r="C30" t="s">
        <v>152</v>
      </c>
      <c r="D30">
        <v>1</v>
      </c>
      <c r="E30">
        <v>3492.2</v>
      </c>
      <c r="F30">
        <f t="shared" ref="F30:F31" si="16">E30*D30</f>
        <v>3492.2</v>
      </c>
      <c r="M30" s="11"/>
    </row>
    <row r="31" spans="2:13" x14ac:dyDescent="0.15">
      <c r="B31" s="11">
        <v>42830</v>
      </c>
      <c r="C31" t="s">
        <v>153</v>
      </c>
      <c r="D31">
        <v>1</v>
      </c>
      <c r="E31">
        <v>3504</v>
      </c>
      <c r="F31">
        <f t="shared" si="16"/>
        <v>3504</v>
      </c>
    </row>
    <row r="32" spans="2:13" x14ac:dyDescent="0.15">
      <c r="B32" s="11">
        <v>42832</v>
      </c>
      <c r="C32" t="s">
        <v>134</v>
      </c>
      <c r="D32">
        <v>1</v>
      </c>
      <c r="E32">
        <v>3507.4</v>
      </c>
      <c r="F32">
        <f t="shared" ref="F32" si="17">E32*D32</f>
        <v>3507.4</v>
      </c>
    </row>
    <row r="33" spans="2:6" x14ac:dyDescent="0.15">
      <c r="B33" s="11">
        <v>42835</v>
      </c>
      <c r="C33" t="s">
        <v>134</v>
      </c>
      <c r="D33">
        <v>-1</v>
      </c>
      <c r="E33">
        <v>3502</v>
      </c>
      <c r="F33">
        <f t="shared" ref="F33" si="18">E33*D33</f>
        <v>-3502</v>
      </c>
    </row>
    <row r="34" spans="2:6" x14ac:dyDescent="0.15">
      <c r="B34" s="11">
        <v>42836</v>
      </c>
      <c r="C34" t="s">
        <v>154</v>
      </c>
      <c r="D34">
        <v>-6</v>
      </c>
      <c r="E34">
        <v>3509.2330000000002</v>
      </c>
      <c r="F34">
        <f t="shared" ref="F34:F35" si="19">E34*D34</f>
        <v>-21055.398000000001</v>
      </c>
    </row>
    <row r="35" spans="2:6" x14ac:dyDescent="0.15">
      <c r="B35" s="11">
        <v>42836</v>
      </c>
      <c r="C35" t="s">
        <v>155</v>
      </c>
      <c r="D35">
        <v>-2</v>
      </c>
      <c r="E35">
        <v>3493</v>
      </c>
      <c r="F35">
        <f t="shared" si="19"/>
        <v>-6986</v>
      </c>
    </row>
    <row r="36" spans="2:6" x14ac:dyDescent="0.15">
      <c r="B36" s="11">
        <v>42860</v>
      </c>
      <c r="C36" t="s">
        <v>156</v>
      </c>
      <c r="D36">
        <v>2</v>
      </c>
      <c r="E36">
        <v>3344.6</v>
      </c>
      <c r="F36">
        <f t="shared" ref="F36" si="20">E36*D36</f>
        <v>6689.2</v>
      </c>
    </row>
    <row r="37" spans="2:6" x14ac:dyDescent="0.15">
      <c r="B37" s="11">
        <v>42863</v>
      </c>
      <c r="C37" t="s">
        <v>156</v>
      </c>
      <c r="D37">
        <v>-1</v>
      </c>
      <c r="E37">
        <v>3321</v>
      </c>
      <c r="F37">
        <f t="shared" ref="F37:F38" si="21">E37*D37</f>
        <v>-3321</v>
      </c>
    </row>
    <row r="38" spans="2:6" x14ac:dyDescent="0.15">
      <c r="B38" s="11">
        <v>42867</v>
      </c>
      <c r="C38" s="48" t="s">
        <v>158</v>
      </c>
      <c r="D38">
        <v>1</v>
      </c>
      <c r="E38">
        <v>3370</v>
      </c>
      <c r="F38">
        <f t="shared" si="21"/>
        <v>3370</v>
      </c>
    </row>
    <row r="39" spans="2:6" x14ac:dyDescent="0.15">
      <c r="B39" s="11">
        <v>42874</v>
      </c>
      <c r="C39" t="s">
        <v>159</v>
      </c>
      <c r="D39">
        <v>-1</v>
      </c>
      <c r="E39">
        <v>3402</v>
      </c>
      <c r="F39">
        <f t="shared" ref="F39:F40" si="22">E39*D39</f>
        <v>-3402</v>
      </c>
    </row>
    <row r="40" spans="2:6" x14ac:dyDescent="0.15">
      <c r="B40" s="11">
        <v>42874</v>
      </c>
      <c r="C40" s="48" t="s">
        <v>156</v>
      </c>
      <c r="D40">
        <v>1</v>
      </c>
      <c r="E40">
        <v>3384.6</v>
      </c>
      <c r="F40">
        <f t="shared" si="22"/>
        <v>3384.6</v>
      </c>
    </row>
    <row r="41" spans="2:6" x14ac:dyDescent="0.15">
      <c r="B41" s="11">
        <v>42880</v>
      </c>
      <c r="C41" t="s">
        <v>160</v>
      </c>
      <c r="D41">
        <v>1</v>
      </c>
      <c r="E41">
        <v>3419.8</v>
      </c>
      <c r="F41">
        <f t="shared" ref="F41:F42" si="23">E41*D41</f>
        <v>3419.8</v>
      </c>
    </row>
    <row r="42" spans="2:6" x14ac:dyDescent="0.15">
      <c r="B42" s="11">
        <v>42880</v>
      </c>
      <c r="C42" s="48" t="s">
        <v>156</v>
      </c>
      <c r="D42">
        <v>-1</v>
      </c>
      <c r="E42">
        <v>3485.8</v>
      </c>
      <c r="F42">
        <f t="shared" si="23"/>
        <v>-3485.8</v>
      </c>
    </row>
    <row r="43" spans="2:6" x14ac:dyDescent="0.15">
      <c r="B43" s="11">
        <v>42899</v>
      </c>
      <c r="C43" t="s">
        <v>160</v>
      </c>
      <c r="D43">
        <v>1</v>
      </c>
      <c r="E43">
        <v>3525.2</v>
      </c>
      <c r="F43">
        <f t="shared" ref="F43:F45" si="24">E43*D43</f>
        <v>3525.2</v>
      </c>
    </row>
    <row r="44" spans="2:6" x14ac:dyDescent="0.15">
      <c r="B44" s="11">
        <v>42899</v>
      </c>
      <c r="C44" s="48" t="s">
        <v>156</v>
      </c>
      <c r="D44">
        <v>-1</v>
      </c>
      <c r="E44">
        <v>3572</v>
      </c>
      <c r="F44">
        <f t="shared" si="24"/>
        <v>-3572</v>
      </c>
    </row>
    <row r="45" spans="2:6" x14ac:dyDescent="0.15">
      <c r="C45" s="48" t="s">
        <v>162</v>
      </c>
      <c r="D45">
        <v>1</v>
      </c>
      <c r="E45">
        <v>3469.4</v>
      </c>
      <c r="F45">
        <f t="shared" si="24"/>
        <v>3469.4</v>
      </c>
    </row>
    <row r="46" spans="2:6" x14ac:dyDescent="0.15">
      <c r="C46" s="48" t="s">
        <v>160</v>
      </c>
      <c r="D46">
        <v>-1</v>
      </c>
      <c r="E46">
        <v>3551</v>
      </c>
      <c r="F46">
        <f t="shared" ref="F46" si="25">E46*D46</f>
        <v>-3551</v>
      </c>
    </row>
    <row r="47" spans="2:6" x14ac:dyDescent="0.15">
      <c r="C47" s="48" t="s">
        <v>160</v>
      </c>
      <c r="D47">
        <v>-1</v>
      </c>
      <c r="E47">
        <v>3541.4</v>
      </c>
      <c r="F47">
        <f t="shared" ref="F47:F48" si="26">E47*D47</f>
        <v>-3541.4</v>
      </c>
    </row>
    <row r="48" spans="2:6" x14ac:dyDescent="0.15">
      <c r="B48" s="11">
        <v>42914</v>
      </c>
      <c r="C48" s="48" t="s">
        <v>163</v>
      </c>
      <c r="D48">
        <v>-1</v>
      </c>
      <c r="E48">
        <v>3604.6</v>
      </c>
      <c r="F48">
        <f t="shared" si="26"/>
        <v>-3604.6</v>
      </c>
    </row>
    <row r="49" spans="2:6" x14ac:dyDescent="0.15">
      <c r="B49" s="11">
        <v>42929</v>
      </c>
      <c r="C49" t="s">
        <v>164</v>
      </c>
      <c r="D49">
        <v>1</v>
      </c>
      <c r="E49">
        <v>3628</v>
      </c>
      <c r="F49">
        <f>E49*D49</f>
        <v>3628</v>
      </c>
    </row>
    <row r="50" spans="2:6" x14ac:dyDescent="0.15">
      <c r="B50" s="11">
        <v>42929</v>
      </c>
      <c r="C50" t="s">
        <v>164</v>
      </c>
      <c r="D50">
        <v>-1</v>
      </c>
      <c r="E50">
        <v>3633.6</v>
      </c>
      <c r="F50">
        <f t="shared" ref="F50:F51" si="27">E50*D50</f>
        <v>-3633.6</v>
      </c>
    </row>
    <row r="51" spans="2:6" x14ac:dyDescent="0.15">
      <c r="B51" s="11">
        <v>42930</v>
      </c>
      <c r="C51" t="s">
        <v>164</v>
      </c>
      <c r="D51">
        <v>1</v>
      </c>
      <c r="E51">
        <v>3652.6</v>
      </c>
      <c r="F51">
        <f t="shared" si="27"/>
        <v>3652.6</v>
      </c>
    </row>
    <row r="52" spans="2:6" x14ac:dyDescent="0.15">
      <c r="B52" s="11">
        <v>42930</v>
      </c>
      <c r="C52" t="s">
        <v>164</v>
      </c>
      <c r="D52">
        <v>-1</v>
      </c>
      <c r="E52">
        <v>3662</v>
      </c>
      <c r="F52">
        <f t="shared" ref="F52:F53" si="28">E52*D52</f>
        <v>-3662</v>
      </c>
    </row>
    <row r="53" spans="2:6" x14ac:dyDescent="0.15">
      <c r="B53" s="11">
        <v>42958</v>
      </c>
      <c r="C53" t="s">
        <v>172</v>
      </c>
      <c r="D53">
        <v>1</v>
      </c>
      <c r="E53">
        <v>3618.6</v>
      </c>
      <c r="F53">
        <f t="shared" si="28"/>
        <v>3618.6</v>
      </c>
    </row>
    <row r="54" spans="2:6" x14ac:dyDescent="0.15">
      <c r="B54" s="11">
        <v>42958</v>
      </c>
      <c r="C54" t="s">
        <v>173</v>
      </c>
      <c r="D54">
        <v>1</v>
      </c>
      <c r="E54">
        <v>3576.4</v>
      </c>
      <c r="F54">
        <f t="shared" ref="F54:F57" si="29">E54*D54</f>
        <v>3576.4</v>
      </c>
    </row>
    <row r="55" spans="2:6" x14ac:dyDescent="0.15">
      <c r="B55" s="11">
        <v>42958</v>
      </c>
      <c r="C55" t="s">
        <v>172</v>
      </c>
      <c r="D55">
        <v>1</v>
      </c>
      <c r="E55">
        <v>3618.8</v>
      </c>
      <c r="F55">
        <f t="shared" si="29"/>
        <v>3618.8</v>
      </c>
    </row>
    <row r="56" spans="2:6" x14ac:dyDescent="0.15">
      <c r="B56" s="11">
        <v>42975</v>
      </c>
      <c r="C56" t="s">
        <v>174</v>
      </c>
      <c r="D56">
        <v>7</v>
      </c>
      <c r="E56">
        <v>3808.971</v>
      </c>
      <c r="F56">
        <f t="shared" si="29"/>
        <v>26662.796999999999</v>
      </c>
    </row>
    <row r="57" spans="2:6" x14ac:dyDescent="0.15">
      <c r="B57" s="11">
        <v>42975</v>
      </c>
      <c r="C57" t="s">
        <v>175</v>
      </c>
      <c r="D57">
        <v>3</v>
      </c>
      <c r="E57">
        <v>3776.2</v>
      </c>
      <c r="F57">
        <f t="shared" si="29"/>
        <v>11328.599999999999</v>
      </c>
    </row>
    <row r="58" spans="2:6" x14ac:dyDescent="0.15">
      <c r="B58" s="11">
        <v>42976</v>
      </c>
      <c r="C58" t="s">
        <v>174</v>
      </c>
      <c r="D58">
        <v>1</v>
      </c>
      <c r="E58">
        <v>3795.2</v>
      </c>
      <c r="F58">
        <f t="shared" ref="F58" si="30">E58*D58</f>
        <v>3795.2</v>
      </c>
    </row>
    <row r="59" spans="2:6" x14ac:dyDescent="0.15">
      <c r="B59" s="11">
        <v>42985</v>
      </c>
      <c r="C59" t="s">
        <v>178</v>
      </c>
      <c r="D59">
        <v>-1</v>
      </c>
      <c r="E59">
        <v>3832</v>
      </c>
      <c r="F59">
        <f t="shared" ref="F59" si="31">E59*D59</f>
        <v>-3832</v>
      </c>
    </row>
    <row r="60" spans="2:6" x14ac:dyDescent="0.15">
      <c r="B60" s="11">
        <v>42992</v>
      </c>
      <c r="C60" t="s">
        <v>179</v>
      </c>
      <c r="D60">
        <v>2</v>
      </c>
      <c r="E60">
        <v>3803.8</v>
      </c>
      <c r="F60">
        <f t="shared" ref="F60" si="32">E60*D60</f>
        <v>7607.6</v>
      </c>
    </row>
    <row r="61" spans="2:6" x14ac:dyDescent="0.15">
      <c r="B61" s="11">
        <v>42992</v>
      </c>
      <c r="C61" t="s">
        <v>160</v>
      </c>
      <c r="D61">
        <v>-1</v>
      </c>
      <c r="E61">
        <v>3828.6</v>
      </c>
      <c r="F61">
        <f t="shared" ref="F61:F62" si="33">E61*D61</f>
        <v>-3828.6</v>
      </c>
    </row>
    <row r="62" spans="2:6" x14ac:dyDescent="0.15">
      <c r="B62" s="11">
        <v>42998</v>
      </c>
      <c r="C62" t="s">
        <v>173</v>
      </c>
      <c r="D62">
        <v>1</v>
      </c>
      <c r="E62">
        <v>3835</v>
      </c>
      <c r="F62">
        <f t="shared" si="33"/>
        <v>3835</v>
      </c>
    </row>
    <row r="63" spans="2:6" x14ac:dyDescent="0.15">
      <c r="B63" s="11">
        <v>43007</v>
      </c>
      <c r="C63" t="s">
        <v>173</v>
      </c>
      <c r="D63">
        <v>1</v>
      </c>
      <c r="E63">
        <v>3835</v>
      </c>
      <c r="F63">
        <f t="shared" ref="F63" si="34">E63*D63</f>
        <v>3835</v>
      </c>
    </row>
    <row r="64" spans="2:6" x14ac:dyDescent="0.15">
      <c r="B64" s="11">
        <v>43027</v>
      </c>
      <c r="C64" t="s">
        <v>173</v>
      </c>
      <c r="D64">
        <v>-1</v>
      </c>
      <c r="E64">
        <v>3925</v>
      </c>
      <c r="F64">
        <f t="shared" ref="F64:F65" si="35">E64*D64</f>
        <v>-3925</v>
      </c>
    </row>
    <row r="65" spans="2:6" x14ac:dyDescent="0.15">
      <c r="B65" s="11">
        <v>43034</v>
      </c>
      <c r="C65" t="s">
        <v>181</v>
      </c>
      <c r="D65">
        <v>-1</v>
      </c>
      <c r="E65">
        <v>3956.4</v>
      </c>
      <c r="F65">
        <f t="shared" si="35"/>
        <v>-3956.4</v>
      </c>
    </row>
    <row r="66" spans="2:6" x14ac:dyDescent="0.15">
      <c r="B66" s="11">
        <v>43035</v>
      </c>
      <c r="C66" t="s">
        <v>181</v>
      </c>
      <c r="D66">
        <v>-1</v>
      </c>
      <c r="E66">
        <v>4000</v>
      </c>
      <c r="F66">
        <f t="shared" ref="F66" si="36">E66*D66</f>
        <v>-4000</v>
      </c>
    </row>
    <row r="67" spans="2:6" x14ac:dyDescent="0.15">
      <c r="B67" s="11">
        <v>43038</v>
      </c>
      <c r="C67" t="s">
        <v>181</v>
      </c>
      <c r="D67">
        <v>-1</v>
      </c>
      <c r="E67">
        <v>4000</v>
      </c>
      <c r="F67">
        <f t="shared" ref="F67" si="37">E67*D67</f>
        <v>-4000</v>
      </c>
    </row>
    <row r="68" spans="2:6" x14ac:dyDescent="0.15">
      <c r="B68" s="11">
        <v>43046</v>
      </c>
      <c r="C68" t="s">
        <v>181</v>
      </c>
      <c r="D68">
        <v>-2</v>
      </c>
      <c r="E68">
        <v>4040.6</v>
      </c>
      <c r="F68">
        <f t="shared" ref="F68" si="38">E68*D68</f>
        <v>-8081.2</v>
      </c>
    </row>
    <row r="69" spans="2:6" x14ac:dyDescent="0.15">
      <c r="B69" s="11">
        <v>43047</v>
      </c>
      <c r="C69" t="s">
        <v>181</v>
      </c>
      <c r="D69">
        <v>-2</v>
      </c>
      <c r="E69">
        <v>4041.8</v>
      </c>
      <c r="F69">
        <f t="shared" ref="F69" si="39">E69*D69</f>
        <v>-8083.6</v>
      </c>
    </row>
    <row r="70" spans="2:6" x14ac:dyDescent="0.15">
      <c r="B70" s="11">
        <v>43049</v>
      </c>
      <c r="C70" t="s">
        <v>181</v>
      </c>
      <c r="D70">
        <v>-1</v>
      </c>
      <c r="E70">
        <v>4113</v>
      </c>
      <c r="F70">
        <f t="shared" ref="F70" si="40">E70*D70</f>
        <v>-4113</v>
      </c>
    </row>
    <row r="71" spans="2:6" x14ac:dyDescent="0.15">
      <c r="B71" s="11">
        <v>43052</v>
      </c>
      <c r="C71" t="s">
        <v>173</v>
      </c>
      <c r="D71">
        <v>-1</v>
      </c>
      <c r="E71">
        <v>4127</v>
      </c>
      <c r="F71">
        <f t="shared" ref="F71:F72" si="41">E71*D71</f>
        <v>-4127</v>
      </c>
    </row>
    <row r="72" spans="2:6" x14ac:dyDescent="0.15">
      <c r="B72" s="11">
        <v>43052</v>
      </c>
      <c r="C72" t="s">
        <v>179</v>
      </c>
      <c r="D72">
        <v>-1</v>
      </c>
      <c r="E72">
        <v>4126.2</v>
      </c>
      <c r="F72">
        <f t="shared" si="41"/>
        <v>-4126.2</v>
      </c>
    </row>
    <row r="73" spans="2:6" x14ac:dyDescent="0.15">
      <c r="B73" s="11">
        <v>43053</v>
      </c>
      <c r="C73" t="s">
        <v>173</v>
      </c>
      <c r="D73">
        <v>-1</v>
      </c>
      <c r="E73">
        <v>4099.3999999999996</v>
      </c>
      <c r="F73">
        <f t="shared" ref="F73" si="42">E73*D73</f>
        <v>-4099.3999999999996</v>
      </c>
    </row>
    <row r="74" spans="2:6" x14ac:dyDescent="0.15">
      <c r="B74" s="11">
        <v>43053</v>
      </c>
      <c r="C74" t="s">
        <v>179</v>
      </c>
      <c r="D74">
        <v>-1</v>
      </c>
      <c r="E74">
        <v>4109.3999999999996</v>
      </c>
      <c r="F74">
        <f t="shared" ref="F74" si="43">E74*D74</f>
        <v>-4109.3999999999996</v>
      </c>
    </row>
    <row r="75" spans="2:6" x14ac:dyDescent="0.15">
      <c r="B75" s="11">
        <v>43059</v>
      </c>
      <c r="C75" t="s">
        <v>192</v>
      </c>
      <c r="D75">
        <v>-1</v>
      </c>
      <c r="E75">
        <v>4146</v>
      </c>
      <c r="F75">
        <f t="shared" ref="F75" si="44">E75*D75</f>
        <v>-4146</v>
      </c>
    </row>
    <row r="76" spans="2:6" x14ac:dyDescent="0.15">
      <c r="B76" s="11">
        <v>43060</v>
      </c>
      <c r="C76" t="s">
        <v>192</v>
      </c>
      <c r="D76">
        <v>-2</v>
      </c>
      <c r="E76">
        <v>4164.8</v>
      </c>
      <c r="F76">
        <f t="shared" ref="F76" si="45">E76*D76</f>
        <v>-8329.6</v>
      </c>
    </row>
    <row r="77" spans="2:6" x14ac:dyDescent="0.15">
      <c r="B77" s="11">
        <v>43060</v>
      </c>
      <c r="C77" t="s">
        <v>192</v>
      </c>
      <c r="D77">
        <v>-2</v>
      </c>
      <c r="E77">
        <v>4193.3999999999996</v>
      </c>
      <c r="F77">
        <f t="shared" ref="F77" si="46">E77*D77</f>
        <v>-8386.7999999999993</v>
      </c>
    </row>
    <row r="78" spans="2:6" x14ac:dyDescent="0.15">
      <c r="B78" s="11">
        <v>43060</v>
      </c>
      <c r="C78" t="s">
        <v>192</v>
      </c>
      <c r="D78">
        <v>2</v>
      </c>
      <c r="E78">
        <v>4251.5</v>
      </c>
      <c r="F78">
        <f>E78*D78</f>
        <v>8503</v>
      </c>
    </row>
    <row r="79" spans="2:6" x14ac:dyDescent="0.15">
      <c r="B79" s="11">
        <v>43068</v>
      </c>
      <c r="C79" t="s">
        <v>173</v>
      </c>
      <c r="D79">
        <v>1</v>
      </c>
      <c r="E79">
        <v>3997.2</v>
      </c>
      <c r="F79">
        <f>E79*D79</f>
        <v>3997.2</v>
      </c>
    </row>
    <row r="80" spans="2:6" x14ac:dyDescent="0.15">
      <c r="B80" s="11">
        <v>43069</v>
      </c>
      <c r="C80" t="s">
        <v>173</v>
      </c>
      <c r="D80">
        <v>-1</v>
      </c>
      <c r="E80">
        <v>4029.2</v>
      </c>
      <c r="F80">
        <f>E80*D80</f>
        <v>-4029.2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32"/>
  <sheetViews>
    <sheetView tabSelected="1" zoomScaleNormal="100" workbookViewId="0">
      <selection activeCell="C3" sqref="C3:H3"/>
    </sheetView>
  </sheetViews>
  <sheetFormatPr defaultRowHeight="12" x14ac:dyDescent="0.15"/>
  <cols>
    <col min="1" max="1" width="38.375" style="1" customWidth="1"/>
    <col min="2" max="8" width="12.625" style="1" customWidth="1"/>
    <col min="9" max="9" width="23" style="1" customWidth="1"/>
    <col min="10" max="10" width="10.5" style="1" customWidth="1"/>
    <col min="11" max="11" width="12.5" style="1" customWidth="1"/>
    <col min="12" max="13" width="12.125" style="1" customWidth="1"/>
    <col min="14" max="14" width="7.625" style="1" customWidth="1"/>
    <col min="15" max="15" width="9" style="1"/>
    <col min="16" max="16" width="13" style="1" customWidth="1"/>
    <col min="17" max="17" width="12.25" style="1" bestFit="1" customWidth="1"/>
    <col min="18" max="16384" width="9" style="1"/>
  </cols>
  <sheetData>
    <row r="3" spans="1:13" x14ac:dyDescent="0.15">
      <c r="C3" s="33">
        <f ca="1">SUM(C7:C46)</f>
        <v>-3392899.7289964897</v>
      </c>
      <c r="D3" s="33">
        <f t="shared" ref="D3:E3" si="0">SUM(D7:D46)</f>
        <v>2808089.1426027399</v>
      </c>
      <c r="E3" s="33">
        <f t="shared" ca="1" si="0"/>
        <v>-584810.58639374992</v>
      </c>
      <c r="F3" s="34"/>
      <c r="G3" s="34">
        <f ca="1">fut_record!N4</f>
        <v>1954560.3000000045</v>
      </c>
      <c r="H3" s="33">
        <f ca="1">SUM(E3:G3)</f>
        <v>1369749.7136062547</v>
      </c>
    </row>
    <row r="4" spans="1:13" x14ac:dyDescent="0.15">
      <c r="A4" s="60" t="s">
        <v>45</v>
      </c>
      <c r="B4" s="60"/>
      <c r="C4" s="60"/>
      <c r="D4" s="60"/>
      <c r="E4" s="60"/>
      <c r="F4" s="60"/>
      <c r="G4" s="60"/>
      <c r="H4" s="60"/>
    </row>
    <row r="5" spans="1:13" ht="13.5" customHeight="1" x14ac:dyDescent="0.15">
      <c r="A5" s="12"/>
      <c r="B5" s="59" t="s">
        <v>38</v>
      </c>
      <c r="C5" s="59"/>
      <c r="D5" s="59"/>
      <c r="E5" s="59"/>
      <c r="F5" s="59" t="s">
        <v>39</v>
      </c>
      <c r="G5" s="59"/>
      <c r="H5" s="25"/>
    </row>
    <row r="6" spans="1:13" ht="13.5" x14ac:dyDescent="0.15">
      <c r="A6" s="13" t="s">
        <v>138</v>
      </c>
      <c r="B6" s="14" t="s">
        <v>42</v>
      </c>
      <c r="C6" s="14" t="s">
        <v>40</v>
      </c>
      <c r="D6" s="14" t="s">
        <v>35</v>
      </c>
      <c r="E6" s="14" t="s">
        <v>43</v>
      </c>
      <c r="F6" s="14" t="s">
        <v>41</v>
      </c>
      <c r="G6" s="14" t="s">
        <v>44</v>
      </c>
      <c r="H6" s="14" t="s">
        <v>37</v>
      </c>
      <c r="J6"/>
    </row>
    <row r="7" spans="1:13" ht="13.5" x14ac:dyDescent="0.15">
      <c r="A7" s="22" t="str">
        <f>risk_calc!C13</f>
        <v>20170110-SYPZ-IF1701-SF-C-91-Sell</v>
      </c>
      <c r="B7" s="15">
        <v>20000000</v>
      </c>
      <c r="C7" s="23">
        <f>risk_calc!P13</f>
        <v>-136443.517008166</v>
      </c>
      <c r="D7" s="23">
        <v>118518.84</v>
      </c>
      <c r="E7" s="23">
        <f t="shared" ref="E7:E12" si="1">D7+C7</f>
        <v>-17924.677008166007</v>
      </c>
      <c r="F7" s="15"/>
      <c r="G7" s="15"/>
      <c r="H7" s="23"/>
      <c r="K7"/>
    </row>
    <row r="8" spans="1:13" x14ac:dyDescent="0.15">
      <c r="A8" s="22" t="str">
        <f>risk_calc!C14</f>
        <v>20170112-SYPZ-A4-000300-SF-C-89-Sell</v>
      </c>
      <c r="B8" s="15">
        <v>20000000</v>
      </c>
      <c r="C8" s="23">
        <f>risk_calc!P14</f>
        <v>-146781.15926147101</v>
      </c>
      <c r="D8" s="23">
        <v>50759.9</v>
      </c>
      <c r="E8" s="23">
        <f t="shared" si="1"/>
        <v>-96021.259261471016</v>
      </c>
      <c r="F8" s="15"/>
      <c r="G8" s="15"/>
      <c r="H8" s="23"/>
    </row>
    <row r="9" spans="1:13" x14ac:dyDescent="0.15">
      <c r="A9" s="22" t="str">
        <f>risk_calc!C15</f>
        <v>20170120-SYPZ-A5-000300-SF-C-31</v>
      </c>
      <c r="B9" s="49"/>
      <c r="C9" s="23">
        <f>risk_calc!P15</f>
        <v>-158111.06968494999</v>
      </c>
      <c r="D9" s="23">
        <v>79444.460000000006</v>
      </c>
      <c r="E9" s="23">
        <f t="shared" si="1"/>
        <v>-78666.609684949988</v>
      </c>
      <c r="F9" s="49"/>
      <c r="G9" s="49"/>
      <c r="H9" s="49"/>
    </row>
    <row r="10" spans="1:13" x14ac:dyDescent="0.15">
      <c r="A10" s="22" t="str">
        <f>risk_calc!C16</f>
        <v>20170120-SYPZ-A6-000300-SF-P-31</v>
      </c>
      <c r="B10" s="49"/>
      <c r="C10" s="23">
        <f>risk_calc!P16</f>
        <v>0</v>
      </c>
      <c r="D10" s="23">
        <v>12373.83</v>
      </c>
      <c r="E10" s="23">
        <f t="shared" si="1"/>
        <v>12373.83</v>
      </c>
      <c r="F10" s="49"/>
      <c r="G10" s="49"/>
      <c r="H10" s="49"/>
    </row>
    <row r="11" spans="1:13" x14ac:dyDescent="0.15">
      <c r="A11" s="22" t="str">
        <f>risk_calc!C17</f>
        <v>20170126-PAZQ-000300</v>
      </c>
      <c r="B11" s="49"/>
      <c r="C11" s="23">
        <f>risk_calc!P17</f>
        <v>-36049.014827203398</v>
      </c>
      <c r="D11" s="23">
        <v>16096.438356164384</v>
      </c>
      <c r="E11" s="30">
        <f t="shared" si="1"/>
        <v>-19952.576471039014</v>
      </c>
      <c r="F11" s="49"/>
      <c r="G11" s="49"/>
      <c r="H11" s="49"/>
      <c r="L11" s="2"/>
    </row>
    <row r="12" spans="1:13" x14ac:dyDescent="0.15">
      <c r="A12" s="22" t="str">
        <f>risk_calc!C18</f>
        <v>20170222-SYPZ-A9-000300-SF-C-33</v>
      </c>
      <c r="B12" s="49"/>
      <c r="C12" s="23">
        <f>risk_calc!P18</f>
        <v>0</v>
      </c>
      <c r="D12" s="29">
        <v>17575.32</v>
      </c>
      <c r="E12" s="23">
        <f t="shared" si="1"/>
        <v>17575.32</v>
      </c>
      <c r="F12" s="49"/>
      <c r="G12" s="49"/>
      <c r="H12" s="49"/>
      <c r="L12" s="2"/>
    </row>
    <row r="13" spans="1:13" x14ac:dyDescent="0.15">
      <c r="A13" s="22" t="str">
        <f>risk_calc!C19</f>
        <v>20170227-ZRB-000300-SF-C</v>
      </c>
      <c r="B13" s="49"/>
      <c r="C13" s="23">
        <f>risk_calc!P19</f>
        <v>-1323.6658819275999</v>
      </c>
      <c r="D13" s="29">
        <v>5252.05</v>
      </c>
      <c r="E13" s="23">
        <f t="shared" ref="E13:E14" si="2">D13+C13</f>
        <v>3928.3841180724003</v>
      </c>
      <c r="F13" s="49"/>
      <c r="G13" s="49"/>
      <c r="H13" s="49"/>
      <c r="L13" s="2"/>
    </row>
    <row r="14" spans="1:13" x14ac:dyDescent="0.15">
      <c r="A14" s="22" t="str">
        <f>risk_calc!C20</f>
        <v>20170227-ZRB-000300-SF-P</v>
      </c>
      <c r="B14" s="49"/>
      <c r="C14" s="23">
        <f>risk_calc!P20</f>
        <v>0</v>
      </c>
      <c r="D14" s="29">
        <v>7619.18</v>
      </c>
      <c r="E14" s="23">
        <f t="shared" si="2"/>
        <v>7619.18</v>
      </c>
      <c r="F14" s="49"/>
      <c r="G14" s="49"/>
      <c r="H14" s="49"/>
      <c r="J14" s="28"/>
      <c r="L14" s="2"/>
    </row>
    <row r="15" spans="1:13" x14ac:dyDescent="0.15">
      <c r="A15" s="22" t="str">
        <f>risk_calc!C21</f>
        <v>20170310-SYPZ-000300-SF-C</v>
      </c>
      <c r="B15" s="49"/>
      <c r="C15" s="23">
        <f>risk_calc!P21</f>
        <v>-27982.583798804098</v>
      </c>
      <c r="D15" s="29">
        <v>21048.1</v>
      </c>
      <c r="E15" s="23">
        <f t="shared" ref="E15:E19" si="3">D15+C15</f>
        <v>-6934.4837988040999</v>
      </c>
      <c r="F15" s="49"/>
      <c r="G15" s="49"/>
      <c r="H15" s="49"/>
      <c r="K15" s="28"/>
    </row>
    <row r="16" spans="1:13" x14ac:dyDescent="0.15">
      <c r="A16" s="22" t="str">
        <f>risk_calc!C22</f>
        <v>20170310-SYPZ-000300-SF-P</v>
      </c>
      <c r="B16" s="49"/>
      <c r="C16" s="23">
        <f>risk_calc!P22</f>
        <v>0</v>
      </c>
      <c r="D16" s="29">
        <v>36328.839999999997</v>
      </c>
      <c r="E16" s="23">
        <f t="shared" si="3"/>
        <v>36328.839999999997</v>
      </c>
      <c r="F16" s="49"/>
      <c r="G16" s="49"/>
      <c r="H16" s="49"/>
      <c r="M16" s="3"/>
    </row>
    <row r="17" spans="1:13" x14ac:dyDescent="0.15">
      <c r="A17" s="22" t="str">
        <f>risk_calc!C23</f>
        <v>20170322-ZRB-000300-SF-C</v>
      </c>
      <c r="B17" s="49"/>
      <c r="C17" s="23">
        <f>risk_calc!P23</f>
        <v>0</v>
      </c>
      <c r="D17" s="49">
        <v>5234.79452054794</v>
      </c>
      <c r="E17" s="23">
        <f t="shared" si="3"/>
        <v>5234.79452054794</v>
      </c>
      <c r="F17" s="49"/>
      <c r="G17" s="49"/>
      <c r="H17" s="49"/>
      <c r="M17" s="3"/>
    </row>
    <row r="18" spans="1:13" x14ac:dyDescent="0.15">
      <c r="A18" s="22" t="str">
        <f>risk_calc!C24</f>
        <v>20170322-ZRB-000300-SF-P</v>
      </c>
      <c r="B18" s="49"/>
      <c r="C18" s="23">
        <f>risk_calc!P24</f>
        <v>-1058.67077963729</v>
      </c>
      <c r="D18" s="49">
        <v>5384.4246575342468</v>
      </c>
      <c r="E18" s="23">
        <f t="shared" si="3"/>
        <v>4325.7538778969565</v>
      </c>
      <c r="F18" s="49"/>
      <c r="G18" s="49"/>
      <c r="H18" s="49"/>
      <c r="M18" s="3"/>
    </row>
    <row r="19" spans="1:13" x14ac:dyDescent="0.15">
      <c r="A19" s="22" t="str">
        <f>risk_calc!C25</f>
        <v>20170330-PAZQ-000300-SF-C-33</v>
      </c>
      <c r="B19" s="49"/>
      <c r="C19" s="23">
        <f>risk_calc!P25</f>
        <v>-628.84331802156498</v>
      </c>
      <c r="D19" s="49">
        <v>2929.3150684931506</v>
      </c>
      <c r="E19" s="23">
        <f t="shared" si="3"/>
        <v>2300.4717504715854</v>
      </c>
      <c r="F19" s="49"/>
      <c r="G19" s="49"/>
      <c r="H19" s="49"/>
      <c r="M19" s="3"/>
    </row>
    <row r="20" spans="1:13" x14ac:dyDescent="0.15">
      <c r="A20" s="22" t="str">
        <f>risk_calc!C26</f>
        <v>20170505-SYPZ-A23-000300-SF-C-89</v>
      </c>
      <c r="B20" s="49"/>
      <c r="C20" s="23">
        <f>risk_calc!P26</f>
        <v>-150000</v>
      </c>
      <c r="D20" s="50">
        <v>58904.7</v>
      </c>
      <c r="E20" s="23">
        <f t="shared" ref="E20" si="4">D20+C20</f>
        <v>-91095.3</v>
      </c>
      <c r="F20" s="49"/>
      <c r="G20" s="49"/>
      <c r="H20" s="49"/>
      <c r="M20" s="3"/>
    </row>
    <row r="21" spans="1:13" x14ac:dyDescent="0.15">
      <c r="A21" s="22" t="str">
        <f>risk_calc!C27</f>
        <v>20170512-SYPZ-A21-000300-SF-C-88</v>
      </c>
      <c r="B21" s="49"/>
      <c r="C21" s="23">
        <f>risk_calc!P27</f>
        <v>-38454.794520547948</v>
      </c>
      <c r="D21" s="50">
        <v>29337.87</v>
      </c>
      <c r="E21" s="23">
        <f>D21+C21</f>
        <v>-9116.9245205479492</v>
      </c>
      <c r="F21" s="49"/>
      <c r="G21" s="49"/>
      <c r="H21" s="49"/>
      <c r="I21" s="58">
        <v>43142</v>
      </c>
      <c r="L21" s="24"/>
      <c r="M21" s="3"/>
    </row>
    <row r="22" spans="1:13" x14ac:dyDescent="0.15">
      <c r="A22" s="22" t="str">
        <f>risk_calc!C28</f>
        <v>20170616-SYPZ-A28-000300-SF-C-94</v>
      </c>
      <c r="B22" s="49"/>
      <c r="C22" s="23">
        <f>risk_calc!P28</f>
        <v>-120886.57534246576</v>
      </c>
      <c r="D22" s="50">
        <v>98091.26</v>
      </c>
      <c r="E22" s="23">
        <f t="shared" ref="E22" si="5">D22+C22</f>
        <v>-22795.315342465765</v>
      </c>
      <c r="F22" s="49"/>
      <c r="G22" s="49"/>
      <c r="H22" s="49"/>
      <c r="I22" s="58">
        <v>43111</v>
      </c>
      <c r="M22" s="3"/>
    </row>
    <row r="23" spans="1:13" x14ac:dyDescent="0.15">
      <c r="A23" s="22" t="str">
        <f>risk_calc!C29</f>
        <v>20170811-SYPZ-A32-000300-CPS-C-89-L1</v>
      </c>
      <c r="B23" s="49"/>
      <c r="C23" s="23">
        <f>risk_calc!P29</f>
        <v>-482129.66927185812</v>
      </c>
      <c r="D23" s="50">
        <v>137544.16</v>
      </c>
      <c r="E23" s="23">
        <f t="shared" ref="E23:E24" si="6">D23+C23</f>
        <v>-344585.50927185814</v>
      </c>
      <c r="I23" s="1">
        <f>I21-I22</f>
        <v>31</v>
      </c>
      <c r="M23" s="3"/>
    </row>
    <row r="24" spans="1:13" x14ac:dyDescent="0.15">
      <c r="A24" s="22" t="str">
        <f>risk_calc!C30</f>
        <v>20170811-SYPZ-A32-000300-CPS-C-89-L2</v>
      </c>
      <c r="B24" s="49"/>
      <c r="C24" s="23">
        <f>risk_calc!P30</f>
        <v>43225.559706866356</v>
      </c>
      <c r="D24" s="50"/>
      <c r="E24" s="23">
        <f t="shared" si="6"/>
        <v>43225.559706866356</v>
      </c>
      <c r="M24" s="3"/>
    </row>
    <row r="25" spans="1:13" x14ac:dyDescent="0.15">
      <c r="A25" s="22" t="str">
        <f>risk_calc!C31</f>
        <v>20170828-SYPZ-A29-000300-SF-C-182</v>
      </c>
      <c r="B25" s="49"/>
      <c r="C25" s="23">
        <f>risk_calc!P31</f>
        <v>-1994520.5479452056</v>
      </c>
      <c r="D25" s="50">
        <v>1853663.5</v>
      </c>
      <c r="E25" s="23">
        <f t="shared" ref="E25" si="7">D25+C25</f>
        <v>-140857.04794520559</v>
      </c>
      <c r="M25" s="3"/>
    </row>
    <row r="26" spans="1:13" x14ac:dyDescent="0.15">
      <c r="A26" s="22" t="str">
        <f>risk_calc!C32</f>
        <v>20170920-SYPZ-A36-000300-SF-C-91</v>
      </c>
      <c r="B26" s="49"/>
      <c r="C26" s="23">
        <f>risk_calc!P32</f>
        <v>-124657.53424657535</v>
      </c>
      <c r="D26" s="50">
        <v>101060.17</v>
      </c>
      <c r="E26" s="23">
        <f t="shared" ref="E26" si="8">D26+C26</f>
        <v>-23597.364246575351</v>
      </c>
      <c r="M26" s="3"/>
    </row>
    <row r="27" spans="1:13" x14ac:dyDescent="0.15">
      <c r="A27" s="22" t="str">
        <f>risk_calc!C33</f>
        <v>20170929-SYPZ-A37-000300-SF-C-180</v>
      </c>
      <c r="B27" s="49"/>
      <c r="C27" s="23">
        <f>risk_calc!P33</f>
        <v>0</v>
      </c>
      <c r="D27" s="50">
        <v>125254.26</v>
      </c>
      <c r="E27" s="23">
        <f t="shared" ref="E27:E28" si="9">D27+C27</f>
        <v>125254.26</v>
      </c>
      <c r="M27" s="3"/>
    </row>
    <row r="28" spans="1:13" x14ac:dyDescent="0.15">
      <c r="A28" s="22" t="str">
        <f>risk_calc!C34</f>
        <v>20171101-SYPZ-A42-000300-SF-P-27</v>
      </c>
      <c r="B28" s="49"/>
      <c r="C28" s="23">
        <f>risk_calc!P34</f>
        <v>0</v>
      </c>
      <c r="D28" s="50">
        <v>5673.1</v>
      </c>
      <c r="E28" s="23">
        <f t="shared" si="9"/>
        <v>5673.1</v>
      </c>
      <c r="M28" s="3"/>
    </row>
    <row r="29" spans="1:13" x14ac:dyDescent="0.15">
      <c r="A29" s="22" t="str">
        <f>risk_calc!C35</f>
        <v>20171101-SYPZ-A41-000300-SF-C-27</v>
      </c>
      <c r="B29" s="49"/>
      <c r="C29" s="23">
        <f>risk_calc!P35</f>
        <v>-4100.7979318005573</v>
      </c>
      <c r="D29" s="50">
        <v>5350.63</v>
      </c>
      <c r="E29" s="23">
        <f t="shared" ref="E29" si="10">D29+C29</f>
        <v>1249.8320681994428</v>
      </c>
      <c r="M29" s="3"/>
    </row>
    <row r="30" spans="1:13" x14ac:dyDescent="0.15">
      <c r="A30" s="22" t="str">
        <f>risk_calc!C36</f>
        <v>20171115-SYPZ-A43-000300-Dig-C-33</v>
      </c>
      <c r="B30" s="49"/>
      <c r="C30" s="23">
        <f>risk_calc!P36</f>
        <v>0</v>
      </c>
      <c r="D30" s="50">
        <v>6818.18</v>
      </c>
      <c r="E30" s="23">
        <f t="shared" ref="E30:E31" si="11">D30+C30</f>
        <v>6818.18</v>
      </c>
      <c r="M30" s="3"/>
    </row>
    <row r="31" spans="1:13" x14ac:dyDescent="0.15">
      <c r="A31" s="22" t="str">
        <f>risk_calc!C37</f>
        <v>20171115-SYPZ-A44-000300-Dig-P-33</v>
      </c>
      <c r="B31" s="49"/>
      <c r="C31" s="23">
        <f>risk_calc!P37</f>
        <v>-9493.1506797297807</v>
      </c>
      <c r="D31" s="50">
        <v>5402.68</v>
      </c>
      <c r="E31" s="23">
        <f t="shared" si="11"/>
        <v>-4090.4706797297804</v>
      </c>
      <c r="M31" s="3"/>
    </row>
    <row r="32" spans="1:13" x14ac:dyDescent="0.15">
      <c r="A32" s="22" t="str">
        <f>risk_calc!C38</f>
        <v>20171129-SYPZ-A45-000300-Dig-C-70</v>
      </c>
      <c r="B32" s="49"/>
      <c r="C32" s="23">
        <f ca="1">risk_calc!P38</f>
        <v>-3503.6942049918393</v>
      </c>
      <c r="D32" s="50">
        <v>2423.14</v>
      </c>
      <c r="E32" s="23">
        <f t="shared" ref="E32" ca="1" si="12">D32+C32</f>
        <v>-1080.5542049918395</v>
      </c>
      <c r="M32" s="3"/>
    </row>
  </sheetData>
  <mergeCells count="3">
    <mergeCell ref="F5:G5"/>
    <mergeCell ref="B5:E5"/>
    <mergeCell ref="A4:H4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D5"/>
  <sheetViews>
    <sheetView workbookViewId="0">
      <selection activeCell="J23" sqref="J23"/>
    </sheetView>
  </sheetViews>
  <sheetFormatPr defaultRowHeight="13.5" x14ac:dyDescent="0.15"/>
  <cols>
    <col min="2" max="2" width="10.5" bestFit="1" customWidth="1"/>
    <col min="3" max="3" width="10" customWidth="1"/>
    <col min="4" max="4" width="10.375" customWidth="1"/>
  </cols>
  <sheetData>
    <row r="4" spans="2:4" x14ac:dyDescent="0.15">
      <c r="B4" t="s">
        <v>33</v>
      </c>
      <c r="C4" t="s">
        <v>34</v>
      </c>
      <c r="D4" t="s">
        <v>36</v>
      </c>
    </row>
    <row r="5" spans="2:4" x14ac:dyDescent="0.15">
      <c r="B5" s="11">
        <v>42745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6"/>
  <sheetViews>
    <sheetView workbookViewId="0">
      <selection activeCell="E42" sqref="E42"/>
    </sheetView>
  </sheetViews>
  <sheetFormatPr defaultRowHeight="13.5" x14ac:dyDescent="0.15"/>
  <cols>
    <col min="2" max="2" width="11.375" customWidth="1"/>
    <col min="3" max="3" width="14.25" customWidth="1"/>
    <col min="4" max="4" width="20.5" bestFit="1" customWidth="1"/>
    <col min="8" max="8" width="12.875" customWidth="1"/>
    <col min="9" max="9" width="11.125" customWidth="1"/>
    <col min="10" max="10" width="12.625" customWidth="1"/>
    <col min="13" max="13" width="12.625" customWidth="1"/>
  </cols>
  <sheetData>
    <row r="1" spans="1:16" x14ac:dyDescent="0.1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6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x14ac:dyDescent="0.15">
      <c r="A4" s="5"/>
      <c r="B4" s="6"/>
      <c r="C4" s="6"/>
      <c r="D4" s="6"/>
      <c r="E4" s="6"/>
      <c r="F4" s="7"/>
      <c r="G4" s="4"/>
      <c r="H4" s="8"/>
      <c r="I4" s="8"/>
      <c r="J4" s="8"/>
      <c r="K4" s="9"/>
      <c r="L4" s="9"/>
      <c r="M4" s="10"/>
    </row>
    <row r="5" spans="1:16" x14ac:dyDescent="0.15">
      <c r="A5" s="5"/>
      <c r="B5" s="6"/>
      <c r="C5" s="6"/>
      <c r="D5" s="6"/>
      <c r="E5" s="6"/>
      <c r="F5" s="7"/>
      <c r="G5" s="4"/>
      <c r="H5" s="8"/>
      <c r="I5" s="8"/>
      <c r="J5" s="8"/>
      <c r="K5" s="9"/>
      <c r="L5" s="9"/>
      <c r="M5" s="10"/>
    </row>
    <row r="6" spans="1:16" x14ac:dyDescent="0.15">
      <c r="A6" s="5"/>
      <c r="B6" s="6"/>
      <c r="C6" s="6"/>
      <c r="D6" s="6"/>
      <c r="E6" s="6"/>
      <c r="F6" s="7"/>
      <c r="G6" s="4"/>
      <c r="H6" s="8"/>
      <c r="I6" s="8"/>
      <c r="J6" s="8"/>
      <c r="K6" s="9"/>
      <c r="L6" s="9"/>
      <c r="M6" s="10"/>
    </row>
    <row r="7" spans="1:16" x14ac:dyDescent="0.15">
      <c r="A7" s="5"/>
      <c r="B7" s="6"/>
      <c r="C7" s="6"/>
      <c r="D7" s="6"/>
      <c r="E7" s="6"/>
      <c r="F7" s="7"/>
      <c r="G7" s="4"/>
      <c r="H7" s="8"/>
      <c r="I7" s="8"/>
      <c r="J7" s="8"/>
      <c r="K7" s="9"/>
      <c r="L7" s="9"/>
      <c r="M7" s="10"/>
    </row>
    <row r="8" spans="1:16" x14ac:dyDescent="0.15">
      <c r="A8" s="5"/>
      <c r="B8" s="6"/>
      <c r="C8" s="6"/>
      <c r="D8" s="6"/>
      <c r="E8" s="6"/>
      <c r="F8" s="7"/>
      <c r="G8" s="4"/>
      <c r="H8" s="8"/>
      <c r="I8" s="8"/>
      <c r="J8" s="8"/>
      <c r="K8" s="9"/>
      <c r="L8" s="9"/>
      <c r="M8" s="10"/>
    </row>
    <row r="9" spans="1:16" x14ac:dyDescent="0.15">
      <c r="A9" s="5"/>
      <c r="B9" s="6"/>
      <c r="C9" s="6"/>
      <c r="D9" s="6"/>
      <c r="E9" s="6"/>
      <c r="F9" s="7"/>
      <c r="G9" s="4"/>
      <c r="H9" s="8"/>
      <c r="I9" s="8"/>
      <c r="J9" s="8"/>
      <c r="K9" s="9"/>
      <c r="L9" s="9"/>
      <c r="M9" s="10"/>
    </row>
    <row r="10" spans="1:16" x14ac:dyDescent="0.15">
      <c r="A10" s="5"/>
      <c r="B10" s="6"/>
      <c r="C10" s="6"/>
      <c r="D10" s="6"/>
      <c r="E10" s="6"/>
      <c r="F10" s="7"/>
      <c r="G10" s="4"/>
      <c r="H10" s="8"/>
      <c r="I10" s="8"/>
      <c r="J10" s="8"/>
      <c r="K10" s="9"/>
      <c r="L10" s="9"/>
      <c r="M10" s="10"/>
    </row>
    <row r="11" spans="1:16" x14ac:dyDescent="0.15">
      <c r="A11" s="5"/>
      <c r="B11" s="6"/>
      <c r="C11" s="6"/>
      <c r="D11" s="6"/>
      <c r="E11" s="6"/>
      <c r="F11" s="7"/>
      <c r="G11" s="4"/>
      <c r="H11" s="8"/>
      <c r="I11" s="8"/>
      <c r="J11" s="8"/>
      <c r="K11" s="9"/>
      <c r="L11" s="9"/>
      <c r="M11" s="10"/>
    </row>
    <row r="12" spans="1:16" x14ac:dyDescent="0.15">
      <c r="A12" s="5"/>
      <c r="B12" s="6"/>
      <c r="C12" s="6"/>
      <c r="D12" s="6"/>
      <c r="E12" s="6"/>
      <c r="F12" s="7"/>
      <c r="G12" s="4"/>
      <c r="H12" s="8"/>
      <c r="I12" s="8"/>
      <c r="J12" s="8"/>
      <c r="K12" s="9"/>
      <c r="L12" s="9"/>
      <c r="M12" s="10"/>
    </row>
    <row r="13" spans="1:16" x14ac:dyDescent="0.15">
      <c r="A13" s="5"/>
      <c r="B13" s="6"/>
      <c r="C13" s="6"/>
      <c r="D13" s="6"/>
      <c r="E13" s="6"/>
      <c r="F13" s="7"/>
      <c r="G13" s="4"/>
      <c r="H13" s="8"/>
      <c r="I13" s="8"/>
      <c r="J13" s="8"/>
      <c r="K13" s="9"/>
      <c r="L13" s="9"/>
      <c r="M13" s="10"/>
    </row>
    <row r="14" spans="1:16" x14ac:dyDescent="0.15">
      <c r="A14" s="5"/>
      <c r="B14" s="6"/>
      <c r="C14" s="6"/>
      <c r="D14" s="6"/>
      <c r="E14" s="6"/>
      <c r="F14" s="7"/>
      <c r="G14" s="4"/>
      <c r="H14" s="8"/>
      <c r="I14" s="8"/>
      <c r="J14" s="8"/>
      <c r="K14" s="9"/>
      <c r="L14" s="9"/>
      <c r="M14" s="10"/>
      <c r="P14">
        <v>0.23</v>
      </c>
    </row>
    <row r="23" spans="2:14" x14ac:dyDescent="0.15">
      <c r="F23">
        <v>100</v>
      </c>
      <c r="G23">
        <v>100</v>
      </c>
      <c r="H23">
        <v>116</v>
      </c>
      <c r="I23">
        <f>_xll.dnetDiscreteAdjustedBarrier(F23,H23,M23,1/365)</f>
        <v>116.63847958854792</v>
      </c>
      <c r="J23">
        <v>3</v>
      </c>
      <c r="K23">
        <v>0.25</v>
      </c>
      <c r="L23">
        <v>0.02</v>
      </c>
      <c r="M23">
        <v>0.18</v>
      </c>
      <c r="N23">
        <f>_xll.dnetStandardBarrierNGreeks("price","cuo",F23,G23,I23,J23,K23,L23,,M23)</f>
        <v>2.4754994556968182</v>
      </c>
    </row>
    <row r="24" spans="2:14" x14ac:dyDescent="0.15">
      <c r="M24">
        <v>0.14000000000000001</v>
      </c>
    </row>
    <row r="26" spans="2:14" x14ac:dyDescent="0.15">
      <c r="B26" s="31">
        <v>35077.629999999997</v>
      </c>
      <c r="C26">
        <v>34973.478062799753</v>
      </c>
      <c r="D26" s="32">
        <f>C26-B26</f>
        <v>-104.15193720024399</v>
      </c>
    </row>
    <row r="27" spans="2:14" x14ac:dyDescent="0.15">
      <c r="B27" s="31">
        <v>-23056.22</v>
      </c>
      <c r="C27">
        <v>-23119.995380034736</v>
      </c>
      <c r="D27" s="32">
        <f t="shared" ref="D27:D33" si="0">C27-B27</f>
        <v>-63.775380034734553</v>
      </c>
    </row>
    <row r="28" spans="2:14" x14ac:dyDescent="0.15">
      <c r="B28" s="31">
        <v>-78666.61</v>
      </c>
      <c r="C28">
        <v>-78666.609684949988</v>
      </c>
      <c r="D28" s="32">
        <f t="shared" si="0"/>
        <v>3.1505001243203878E-4</v>
      </c>
    </row>
    <row r="29" spans="2:14" x14ac:dyDescent="0.15">
      <c r="B29" s="31">
        <v>12373.83</v>
      </c>
      <c r="C29">
        <v>12373.83</v>
      </c>
      <c r="D29" s="32">
        <f t="shared" si="0"/>
        <v>0</v>
      </c>
    </row>
    <row r="30" spans="2:14" x14ac:dyDescent="0.15">
      <c r="B30" s="31">
        <v>-19952.580000000002</v>
      </c>
      <c r="C30">
        <v>-19952.576471039014</v>
      </c>
      <c r="D30" s="32">
        <f t="shared" si="0"/>
        <v>3.5289609877509065E-3</v>
      </c>
    </row>
    <row r="31" spans="2:14" x14ac:dyDescent="0.15">
      <c r="B31" s="31">
        <v>11889.54</v>
      </c>
      <c r="C31">
        <v>11813.204321325693</v>
      </c>
      <c r="D31" s="32">
        <f t="shared" si="0"/>
        <v>-76.335678674307928</v>
      </c>
    </row>
    <row r="32" spans="2:14" x14ac:dyDescent="0.15">
      <c r="B32" s="31">
        <v>2380.4699999999998</v>
      </c>
      <c r="C32">
        <v>2375.7868295566718</v>
      </c>
      <c r="D32" s="32">
        <f t="shared" si="0"/>
        <v>-4.683170443327981</v>
      </c>
    </row>
    <row r="33" spans="2:9" x14ac:dyDescent="0.15">
      <c r="B33" s="31">
        <v>2720.8</v>
      </c>
      <c r="C33">
        <v>2729.8373632939529</v>
      </c>
      <c r="D33" s="32">
        <f t="shared" si="0"/>
        <v>9.0373632939526942</v>
      </c>
    </row>
    <row r="34" spans="2:9" x14ac:dyDescent="0.15">
      <c r="B34" s="31">
        <f>SUM(B26:B33)</f>
        <v>-57233.140000000007</v>
      </c>
      <c r="C34" s="31">
        <f t="shared" ref="C34:D34" si="1">SUM(C26:C33)</f>
        <v>-57473.044959047678</v>
      </c>
      <c r="D34" s="31">
        <f t="shared" si="1"/>
        <v>-239.90495904766158</v>
      </c>
    </row>
    <row r="43" spans="2:9" x14ac:dyDescent="0.15">
      <c r="H43">
        <v>2945</v>
      </c>
      <c r="I43">
        <f>H43*5.85/100</f>
        <v>172.2825</v>
      </c>
    </row>
    <row r="45" spans="2:9" x14ac:dyDescent="0.15">
      <c r="D45">
        <f>_xll.dnetGBlackScholesNGreeks("vega","c",1,1,61/365,0.02,,0.36)</f>
        <v>1.6210664895011939E-3</v>
      </c>
      <c r="E45">
        <f>D45*2500*3000</f>
        <v>12157.998671258953</v>
      </c>
      <c r="G45">
        <v>5000</v>
      </c>
      <c r="H45">
        <f>G45*5.83%</f>
        <v>291.5</v>
      </c>
      <c r="I45">
        <f>H45*2945</f>
        <v>858467.5</v>
      </c>
    </row>
    <row r="46" spans="2:9" x14ac:dyDescent="0.15">
      <c r="D46">
        <f>_xll.dnetGBlackScholesNGreeks("vega","p",1,1,61/365,0.02,,0.36)</f>
        <v>1.6210664895011939E-3</v>
      </c>
      <c r="E46">
        <f>D46*2500*3000</f>
        <v>12157.998671258953</v>
      </c>
    </row>
  </sheetData>
  <sortState ref="B26:C33">
    <sortCondition descending="1" ref="C26"/>
  </sortState>
  <mergeCells count="1">
    <mergeCell ref="A1:M2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risk_calc</vt:lpstr>
      <vt:lpstr>opt_record</vt:lpstr>
      <vt:lpstr>fut_record</vt:lpstr>
      <vt:lpstr>pnl</vt:lpstr>
      <vt:lpstr>opt_cash_flow</vt:lpstr>
      <vt:lpstr>premium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2018-01-10T09:08:27Z</dcterms:modified>
</cp:coreProperties>
</file>