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2475" windowWidth="14805" windowHeight="5640"/>
  </bookViews>
  <sheets>
    <sheet name="risk_calc" sheetId="1" r:id="rId1"/>
    <sheet name="opt_record" sheetId="7" r:id="rId2"/>
    <sheet name="pnl" sheetId="4" r:id="rId3"/>
    <sheet name="opt_cash_flow" sheetId="5" r:id="rId4"/>
    <sheet name="fut_record" sheetId="3" r:id="rId5"/>
    <sheet name="Sheet2" sheetId="9" r:id="rId6"/>
    <sheet name="premium " sheetId="6" r:id="rId7"/>
  </sheets>
  <definedNames>
    <definedName name="_xlnm._FilterDatabase" localSheetId="4" hidden="1">fut_record!$B$5:$F$120</definedName>
  </definedNames>
  <calcPr calcId="152511" calcMode="manual"/>
</workbook>
</file>

<file path=xl/calcChain.xml><?xml version="1.0" encoding="utf-8"?>
<calcChain xmlns="http://schemas.openxmlformats.org/spreadsheetml/2006/main">
  <c r="A37" i="4" l="1"/>
  <c r="A38" i="4"/>
  <c r="A39" i="4"/>
  <c r="A40" i="4"/>
  <c r="H46" i="1"/>
  <c r="H45" i="1"/>
  <c r="H44" i="1"/>
  <c r="H43" i="1"/>
  <c r="S10" i="1"/>
  <c r="A35" i="4" l="1"/>
  <c r="A36" i="4"/>
  <c r="S46" i="1" l="1"/>
  <c r="U46" i="1" s="1"/>
  <c r="S45" i="1"/>
  <c r="U45" i="1" s="1"/>
  <c r="S43" i="1"/>
  <c r="U43" i="1" s="1"/>
  <c r="S44" i="1"/>
  <c r="U44" i="1" s="1"/>
  <c r="J17" i="3"/>
  <c r="L15" i="3"/>
  <c r="L17" i="3"/>
  <c r="S42" i="1" l="1"/>
  <c r="S41" i="1"/>
  <c r="M17" i="3"/>
  <c r="F135" i="3"/>
  <c r="K17" i="3" s="1"/>
  <c r="F134" i="3"/>
  <c r="H41" i="1" l="1"/>
  <c r="H42" i="1"/>
  <c r="N17" i="3"/>
  <c r="A33" i="4"/>
  <c r="A34" i="4"/>
  <c r="U42" i="1" l="1"/>
  <c r="U41" i="1"/>
  <c r="F133" i="3"/>
  <c r="A25" i="4" l="1"/>
  <c r="F132" i="3" l="1"/>
  <c r="F131" i="3" l="1"/>
  <c r="C31" i="4" l="1"/>
  <c r="E31" i="4" s="1"/>
  <c r="H37" i="1"/>
  <c r="F127" i="3"/>
  <c r="F128" i="3"/>
  <c r="F129" i="3"/>
  <c r="H35" i="1"/>
  <c r="F130" i="3"/>
  <c r="F126" i="3"/>
  <c r="J16" i="3"/>
  <c r="F125" i="3"/>
  <c r="A32" i="4"/>
  <c r="C3" i="1"/>
  <c r="B38" i="1"/>
  <c r="H38" i="1"/>
  <c r="F124" i="3"/>
  <c r="F123" i="3"/>
  <c r="F122" i="3"/>
  <c r="A31" i="4"/>
  <c r="J15" i="3"/>
  <c r="F121" i="3"/>
  <c r="K15" i="3" s="1"/>
  <c r="A30" i="4"/>
  <c r="B36" i="1"/>
  <c r="F120" i="3"/>
  <c r="F119" i="3"/>
  <c r="D3" i="4"/>
  <c r="A28" i="4"/>
  <c r="A29" i="4"/>
  <c r="A27" i="4"/>
  <c r="B33" i="1"/>
  <c r="F118" i="3"/>
  <c r="F117" i="3"/>
  <c r="F116" i="3"/>
  <c r="F115" i="3"/>
  <c r="F114" i="3"/>
  <c r="F113" i="3"/>
  <c r="F112" i="3"/>
  <c r="F111" i="3"/>
  <c r="F110" i="3"/>
  <c r="F109" i="3"/>
  <c r="F108" i="3"/>
  <c r="F107" i="3"/>
  <c r="F99" i="3"/>
  <c r="F106" i="3"/>
  <c r="F104" i="3"/>
  <c r="F105" i="3"/>
  <c r="J14" i="3"/>
  <c r="F103" i="3"/>
  <c r="A26" i="4"/>
  <c r="C26" i="4"/>
  <c r="E26" i="4" s="1"/>
  <c r="H32" i="1"/>
  <c r="H31" i="1"/>
  <c r="F102" i="3"/>
  <c r="F101" i="3"/>
  <c r="F100" i="3"/>
  <c r="J13" i="3"/>
  <c r="U31" i="1"/>
  <c r="A24" i="4"/>
  <c r="H30" i="1"/>
  <c r="H29" i="1"/>
  <c r="H36" i="1"/>
  <c r="H34" i="1"/>
  <c r="H33" i="1"/>
  <c r="F98" i="3"/>
  <c r="F97" i="3"/>
  <c r="F96" i="3"/>
  <c r="F95" i="3"/>
  <c r="F94" i="3"/>
  <c r="F93" i="3"/>
  <c r="F92" i="3"/>
  <c r="F91" i="3"/>
  <c r="F90" i="3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7" i="4"/>
  <c r="F89" i="3"/>
  <c r="F88" i="3"/>
  <c r="F87" i="3"/>
  <c r="F86" i="3"/>
  <c r="F85" i="3"/>
  <c r="J12" i="3"/>
  <c r="F84" i="3"/>
  <c r="F83" i="3"/>
  <c r="F82" i="3"/>
  <c r="B29" i="1"/>
  <c r="F81" i="3"/>
  <c r="F80" i="3"/>
  <c r="F79" i="3"/>
  <c r="F78" i="3"/>
  <c r="F77" i="3"/>
  <c r="F76" i="3"/>
  <c r="F75" i="3"/>
  <c r="F74" i="3"/>
  <c r="B28" i="1"/>
  <c r="F73" i="3"/>
  <c r="F72" i="3"/>
  <c r="F51" i="3"/>
  <c r="F60" i="3"/>
  <c r="F64" i="3"/>
  <c r="F6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58" i="3"/>
  <c r="F59" i="3"/>
  <c r="F61" i="3"/>
  <c r="F62" i="3"/>
  <c r="F63" i="3"/>
  <c r="F66" i="3"/>
  <c r="F67" i="3"/>
  <c r="F68" i="3"/>
  <c r="F69" i="3"/>
  <c r="F70" i="3"/>
  <c r="F71" i="3"/>
  <c r="B27" i="1"/>
  <c r="B25" i="1"/>
  <c r="J9" i="3"/>
  <c r="J11" i="3"/>
  <c r="J8" i="3"/>
  <c r="M8" i="3" s="1"/>
  <c r="H24" i="1"/>
  <c r="B24" i="1"/>
  <c r="H23" i="1"/>
  <c r="B23" i="1"/>
  <c r="B21" i="1"/>
  <c r="J10" i="3"/>
  <c r="M10" i="3" s="1"/>
  <c r="H19" i="1"/>
  <c r="H18" i="1"/>
  <c r="H14" i="1"/>
  <c r="H15" i="1"/>
  <c r="H16" i="1"/>
  <c r="H17" i="1"/>
  <c r="H13" i="1"/>
  <c r="B19" i="1"/>
  <c r="B18" i="1"/>
  <c r="B17" i="1"/>
  <c r="J7" i="3"/>
  <c r="M7" i="3" s="1"/>
  <c r="B14" i="1"/>
  <c r="B15" i="1"/>
  <c r="J6" i="3"/>
  <c r="M6" i="3" s="1"/>
  <c r="H28" i="1"/>
  <c r="H25" i="1"/>
  <c r="H26" i="1"/>
  <c r="H27" i="1"/>
  <c r="H22" i="1"/>
  <c r="H21" i="1"/>
  <c r="H20" i="1"/>
  <c r="U27" i="1"/>
  <c r="Z7" i="1"/>
  <c r="C24" i="4"/>
  <c r="E24" i="4" s="1"/>
  <c r="B13" i="1"/>
  <c r="C22" i="4"/>
  <c r="E22" i="4" s="1"/>
  <c r="C23" i="4"/>
  <c r="E23" i="4" s="1"/>
  <c r="C18" i="4"/>
  <c r="E18" i="4" s="1"/>
  <c r="C19" i="4"/>
  <c r="E19" i="4" s="1"/>
  <c r="C20" i="4"/>
  <c r="E20" i="4" s="1"/>
  <c r="C13" i="4"/>
  <c r="E13" i="4" s="1"/>
  <c r="C17" i="4"/>
  <c r="E17" i="4" s="1"/>
  <c r="C16" i="4"/>
  <c r="E16" i="4" s="1"/>
  <c r="C15" i="4"/>
  <c r="E15" i="4" s="1"/>
  <c r="C14" i="4"/>
  <c r="E14" i="4" s="1"/>
  <c r="E12" i="4"/>
  <c r="C11" i="4"/>
  <c r="E11" i="4" s="1"/>
  <c r="C9" i="4"/>
  <c r="E9" i="4" s="1"/>
  <c r="C10" i="4"/>
  <c r="E10" i="4" s="1"/>
  <c r="C8" i="4"/>
  <c r="E8" i="4" s="1"/>
  <c r="H8" i="4" s="1"/>
  <c r="H7" i="4"/>
  <c r="C7" i="4"/>
  <c r="C27" i="4"/>
  <c r="E27" i="4" s="1"/>
  <c r="C29" i="4"/>
  <c r="E29" i="4" s="1"/>
  <c r="C28" i="4"/>
  <c r="E28" i="4" s="1"/>
  <c r="AA31" i="1"/>
  <c r="S8" i="1"/>
  <c r="O31" i="1"/>
  <c r="AA27" i="1"/>
  <c r="L31" i="1"/>
  <c r="R46" i="1" l="1"/>
  <c r="R45" i="1"/>
  <c r="R44" i="1"/>
  <c r="R43" i="1"/>
  <c r="R42" i="1"/>
  <c r="R41" i="1"/>
  <c r="S40" i="1"/>
  <c r="S39" i="1"/>
  <c r="R35" i="1"/>
  <c r="R39" i="1"/>
  <c r="R40" i="1"/>
  <c r="E7" i="4"/>
  <c r="K6" i="3"/>
  <c r="N6" i="3" s="1"/>
  <c r="K9" i="3"/>
  <c r="K16" i="3"/>
  <c r="K14" i="3"/>
  <c r="K7" i="3"/>
  <c r="N7" i="3" s="1"/>
  <c r="K13" i="3"/>
  <c r="K11" i="3"/>
  <c r="K12" i="3"/>
  <c r="K10" i="3"/>
  <c r="N10" i="3" s="1"/>
  <c r="K8" i="3"/>
  <c r="N8" i="3" s="1"/>
  <c r="R34" i="1"/>
  <c r="R29" i="1"/>
  <c r="S36" i="1"/>
  <c r="U36" i="1" s="1"/>
  <c r="S17" i="1"/>
  <c r="U17" i="1" s="1"/>
  <c r="S34" i="1"/>
  <c r="U34" i="1" s="1"/>
  <c r="S29" i="1"/>
  <c r="U29" i="1" s="1"/>
  <c r="S20" i="1"/>
  <c r="U20" i="1" s="1"/>
  <c r="S13" i="1"/>
  <c r="U13" i="1" s="1"/>
  <c r="S16" i="1"/>
  <c r="U16" i="1" s="1"/>
  <c r="S25" i="1"/>
  <c r="U25" i="1" s="1"/>
  <c r="S37" i="1"/>
  <c r="U37" i="1" s="1"/>
  <c r="S23" i="1"/>
  <c r="U23" i="1" s="1"/>
  <c r="S30" i="1"/>
  <c r="U30" i="1" s="1"/>
  <c r="S14" i="1"/>
  <c r="U14" i="1" s="1"/>
  <c r="S38" i="1"/>
  <c r="U38" i="1" s="1"/>
  <c r="S19" i="1"/>
  <c r="U19" i="1" s="1"/>
  <c r="S22" i="1"/>
  <c r="U22" i="1" s="1"/>
  <c r="S21" i="1"/>
  <c r="U21" i="1" s="1"/>
  <c r="S35" i="1"/>
  <c r="U35" i="1" s="1"/>
  <c r="S32" i="1"/>
  <c r="U32" i="1" s="1"/>
  <c r="S24" i="1"/>
  <c r="U24" i="1" s="1"/>
  <c r="S15" i="1"/>
  <c r="U15" i="1" s="1"/>
  <c r="S33" i="1"/>
  <c r="U33" i="1" s="1"/>
  <c r="S28" i="1"/>
  <c r="U28" i="1" s="1"/>
  <c r="S26" i="1"/>
  <c r="U26" i="1" s="1"/>
  <c r="M14" i="3"/>
  <c r="S18" i="1"/>
  <c r="U18" i="1" s="1"/>
  <c r="M15" i="3"/>
  <c r="N15" i="3" s="1"/>
  <c r="M13" i="3"/>
  <c r="M12" i="3"/>
  <c r="M11" i="3"/>
  <c r="M16" i="3"/>
  <c r="M9" i="3"/>
  <c r="R38" i="1"/>
  <c r="J4" i="3"/>
  <c r="J11" i="1" s="1"/>
  <c r="AA29" i="1"/>
  <c r="AA23" i="1"/>
  <c r="K31" i="1"/>
  <c r="N31" i="1"/>
  <c r="P31" i="1"/>
  <c r="AA18" i="1"/>
  <c r="AA14" i="1"/>
  <c r="AA36" i="1"/>
  <c r="I31" i="1"/>
  <c r="AA33" i="1"/>
  <c r="AA13" i="1"/>
  <c r="AA21" i="1"/>
  <c r="P27" i="1"/>
  <c r="M31" i="1"/>
  <c r="AA19" i="1"/>
  <c r="AA22" i="1"/>
  <c r="AA20" i="1"/>
  <c r="AA38" i="1"/>
  <c r="AA17" i="1"/>
  <c r="J31" i="1"/>
  <c r="C25" i="4" l="1"/>
  <c r="E25" i="4" s="1"/>
  <c r="C21" i="4"/>
  <c r="N9" i="3"/>
  <c r="N16" i="3"/>
  <c r="N14" i="3"/>
  <c r="N12" i="3"/>
  <c r="U10" i="1"/>
  <c r="V10" i="1" s="1"/>
  <c r="N11" i="3"/>
  <c r="N13" i="3"/>
  <c r="M11" i="1"/>
  <c r="N36" i="1"/>
  <c r="I43" i="1"/>
  <c r="L42" i="1"/>
  <c r="O43" i="1"/>
  <c r="O45" i="1"/>
  <c r="L41" i="1"/>
  <c r="N45" i="1"/>
  <c r="I44" i="1"/>
  <c r="J41" i="1"/>
  <c r="P43" i="1"/>
  <c r="J42" i="1"/>
  <c r="L45" i="1"/>
  <c r="N44" i="1"/>
  <c r="M44" i="1"/>
  <c r="I46" i="1"/>
  <c r="K42" i="1"/>
  <c r="K44" i="1"/>
  <c r="P42" i="1"/>
  <c r="M36" i="1"/>
  <c r="O36" i="1"/>
  <c r="L36" i="1"/>
  <c r="P41" i="1"/>
  <c r="J45" i="1"/>
  <c r="O44" i="1"/>
  <c r="M42" i="1"/>
  <c r="J46" i="1"/>
  <c r="L44" i="1"/>
  <c r="P45" i="1"/>
  <c r="K36" i="1"/>
  <c r="I45" i="1"/>
  <c r="K41" i="1"/>
  <c r="K43" i="1"/>
  <c r="K45" i="1"/>
  <c r="N46" i="1"/>
  <c r="O42" i="1"/>
  <c r="M41" i="1"/>
  <c r="I42" i="1"/>
  <c r="P36" i="1"/>
  <c r="J44" i="1"/>
  <c r="I41" i="1"/>
  <c r="O46" i="1"/>
  <c r="L46" i="1"/>
  <c r="M46" i="1"/>
  <c r="O41" i="1"/>
  <c r="J36" i="1"/>
  <c r="I36" i="1"/>
  <c r="P46" i="1"/>
  <c r="N43" i="1"/>
  <c r="P44" i="1"/>
  <c r="L43" i="1"/>
  <c r="K46" i="1"/>
  <c r="M45" i="1"/>
  <c r="N41" i="1"/>
  <c r="N42" i="1"/>
  <c r="J43" i="1"/>
  <c r="M43" i="1"/>
  <c r="C38" i="4" l="1"/>
  <c r="E38" i="4" s="1"/>
  <c r="C37" i="4"/>
  <c r="E37" i="4" s="1"/>
  <c r="C40" i="4"/>
  <c r="E40" i="4" s="1"/>
  <c r="C39" i="4"/>
  <c r="E39" i="4" s="1"/>
  <c r="C36" i="4"/>
  <c r="E36" i="4" s="1"/>
  <c r="C35" i="4"/>
  <c r="E35" i="4" s="1"/>
  <c r="U40" i="1"/>
  <c r="H40" i="1"/>
  <c r="H39" i="1"/>
  <c r="U39" i="1"/>
  <c r="E21" i="4"/>
  <c r="C30" i="4"/>
  <c r="E30" i="4" s="1"/>
  <c r="N4" i="3"/>
  <c r="G3" i="4" s="1"/>
  <c r="C32" i="4"/>
  <c r="E32" i="4" s="1"/>
  <c r="K39" i="1"/>
  <c r="P39" i="1"/>
  <c r="P40" i="1"/>
  <c r="O39" i="1"/>
  <c r="I40" i="1"/>
  <c r="O40" i="1"/>
  <c r="I39" i="1"/>
  <c r="J40" i="1"/>
  <c r="C34" i="4" l="1"/>
  <c r="E34" i="4" s="1"/>
  <c r="C33" i="4"/>
  <c r="E33" i="4" s="1"/>
  <c r="O11" i="1"/>
  <c r="L39" i="1"/>
  <c r="N40" i="1"/>
  <c r="K40" i="1"/>
  <c r="M39" i="1"/>
  <c r="L40" i="1"/>
  <c r="J39" i="1"/>
  <c r="N39" i="1"/>
  <c r="M40" i="1"/>
  <c r="J10" i="1" l="1"/>
  <c r="J9" i="1" s="1"/>
  <c r="N11" i="1"/>
  <c r="E3" i="4"/>
  <c r="H3" i="4" s="1"/>
  <c r="C3" i="4"/>
</calcChain>
</file>

<file path=xl/sharedStrings.xml><?xml version="1.0" encoding="utf-8"?>
<sst xmlns="http://schemas.openxmlformats.org/spreadsheetml/2006/main" count="491" uniqueCount="227">
  <si>
    <t>deal_id</t>
    <phoneticPr fontId="2" type="noConversion"/>
  </si>
  <si>
    <t>实际本金</t>
    <phoneticPr fontId="2" type="noConversion"/>
  </si>
  <si>
    <t>实际本金(手数)</t>
    <phoneticPr fontId="2" type="noConversion"/>
  </si>
  <si>
    <t>delta(amt)</t>
    <phoneticPr fontId="2" type="noConversion"/>
  </si>
  <si>
    <t>delta(qty)</t>
    <phoneticPr fontId="2" type="noConversion"/>
  </si>
  <si>
    <t>delta+(qty)</t>
    <phoneticPr fontId="2" type="noConversion"/>
  </si>
  <si>
    <t>delta-(qty)</t>
    <phoneticPr fontId="2" type="noConversion"/>
  </si>
  <si>
    <t>gammap</t>
    <phoneticPr fontId="2" type="noConversion"/>
  </si>
  <si>
    <t>vega</t>
    <phoneticPr fontId="2" type="noConversion"/>
  </si>
  <si>
    <t>theta</t>
    <phoneticPr fontId="2" type="noConversion"/>
  </si>
  <si>
    <t>mkt_value</t>
    <phoneticPr fontId="2" type="noConversion"/>
  </si>
  <si>
    <t>x1</t>
    <phoneticPr fontId="2" type="noConversion"/>
  </si>
  <si>
    <t>x2</t>
    <phoneticPr fontId="2" type="noConversion"/>
  </si>
  <si>
    <t>h1</t>
    <phoneticPr fontId="2" type="noConversion"/>
  </si>
  <si>
    <t>h2</t>
    <phoneticPr fontId="2" type="noConversion"/>
  </si>
  <si>
    <t>rebate</t>
    <phoneticPr fontId="2" type="noConversion"/>
  </si>
  <si>
    <t>obsv_end</t>
    <phoneticPr fontId="2" type="noConversion"/>
  </si>
  <si>
    <t>expiration</t>
    <phoneticPr fontId="2" type="noConversion"/>
  </si>
  <si>
    <t>Today</t>
    <phoneticPr fontId="2" type="noConversion"/>
  </si>
  <si>
    <t>Int.Rate</t>
    <phoneticPr fontId="2" type="noConversion"/>
  </si>
  <si>
    <t>Volatility</t>
    <phoneticPr fontId="2" type="noConversion"/>
  </si>
  <si>
    <t>under_value</t>
    <phoneticPr fontId="2" type="noConversion"/>
  </si>
  <si>
    <t>option</t>
    <phoneticPr fontId="2" type="noConversion"/>
  </si>
  <si>
    <t>type</t>
    <phoneticPr fontId="2" type="noConversion"/>
  </si>
  <si>
    <t>SF</t>
    <phoneticPr fontId="2" type="noConversion"/>
  </si>
  <si>
    <t>s</t>
    <phoneticPr fontId="2" type="noConversion"/>
  </si>
  <si>
    <t>Carry</t>
    <phoneticPr fontId="2" type="noConversion"/>
  </si>
  <si>
    <t>cuo</t>
    <phoneticPr fontId="2" type="noConversion"/>
  </si>
  <si>
    <t>direction</t>
    <phoneticPr fontId="2" type="noConversion"/>
  </si>
  <si>
    <t>sell</t>
    <phoneticPr fontId="2" type="noConversion"/>
  </si>
  <si>
    <t>posi</t>
    <phoneticPr fontId="2" type="noConversion"/>
  </si>
  <si>
    <t>init_price</t>
    <phoneticPr fontId="2" type="noConversion"/>
  </si>
  <si>
    <t>date</t>
    <phoneticPr fontId="2" type="noConversion"/>
  </si>
  <si>
    <t>cash_flow</t>
    <phoneticPr fontId="2" type="noConversion"/>
  </si>
  <si>
    <t>total cash</t>
    <phoneticPr fontId="2" type="noConversion"/>
  </si>
  <si>
    <t>total_cash</t>
    <phoneticPr fontId="2" type="noConversion"/>
  </si>
  <si>
    <t>ytd p/l</t>
    <phoneticPr fontId="2" type="noConversion"/>
  </si>
  <si>
    <t>option</t>
    <phoneticPr fontId="2" type="noConversion"/>
  </si>
  <si>
    <t>future</t>
    <phoneticPr fontId="2" type="noConversion"/>
  </si>
  <si>
    <t>market value</t>
    <phoneticPr fontId="2" type="noConversion"/>
  </si>
  <si>
    <t>market value</t>
    <phoneticPr fontId="2" type="noConversion"/>
  </si>
  <si>
    <t>notional</t>
    <phoneticPr fontId="2" type="noConversion"/>
  </si>
  <si>
    <t>date</t>
    <phoneticPr fontId="2" type="noConversion"/>
  </si>
  <si>
    <t>total opt p/l</t>
    <phoneticPr fontId="2" type="noConversion"/>
  </si>
  <si>
    <t>total hedge p/l</t>
    <phoneticPr fontId="2" type="noConversion"/>
  </si>
  <si>
    <t xml:space="preserve">Index option valuation &amp; hedging daily report(单位 元) </t>
    <phoneticPr fontId="2" type="noConversion"/>
  </si>
  <si>
    <t>deal_id</t>
  </si>
  <si>
    <t>ctpt_name</t>
  </si>
  <si>
    <t>ctpt_code</t>
  </si>
  <si>
    <t>trd_date</t>
  </si>
  <si>
    <t>exp_date</t>
  </si>
  <si>
    <t>obsv_beg_date</t>
  </si>
  <si>
    <t>obsv_end_date</t>
  </si>
  <si>
    <t>setl_date</t>
  </si>
  <si>
    <t>prem_date</t>
  </si>
  <si>
    <t>opt_tenor</t>
  </si>
  <si>
    <t>prod_tenor</t>
  </si>
  <si>
    <t>book_style</t>
  </si>
  <si>
    <t>under_asset</t>
  </si>
  <si>
    <t>initial_price</t>
  </si>
  <si>
    <t>annual_notion</t>
  </si>
  <si>
    <t>real_notion</t>
  </si>
  <si>
    <t>under_qty</t>
  </si>
  <si>
    <t>prem</t>
  </si>
  <si>
    <t>prem_rate</t>
  </si>
  <si>
    <t>rebate_cash</t>
  </si>
  <si>
    <t>rebate_rate</t>
  </si>
  <si>
    <t>opt_struct</t>
  </si>
  <si>
    <t>opt_struct_abbrv</t>
  </si>
  <si>
    <t>opt_style</t>
  </si>
  <si>
    <t>opt_style_abbrv</t>
  </si>
  <si>
    <t>x1</t>
  </si>
  <si>
    <t>x1_per</t>
  </si>
  <si>
    <t>x2</t>
  </si>
  <si>
    <t>x2_per</t>
  </si>
  <si>
    <t>x3</t>
  </si>
  <si>
    <t>x3_per</t>
  </si>
  <si>
    <t>x4</t>
  </si>
  <si>
    <t>x4_per</t>
  </si>
  <si>
    <t>b1</t>
  </si>
  <si>
    <t>b1_per</t>
  </si>
  <si>
    <t>b2</t>
  </si>
  <si>
    <t>b2_per</t>
  </si>
  <si>
    <t>continuouse_obsv</t>
  </si>
  <si>
    <t>deal_stat</t>
  </si>
  <si>
    <t>deal_direct</t>
  </si>
  <si>
    <t>b2bflg</t>
  </si>
  <si>
    <t>create_time</t>
  </si>
  <si>
    <t>confirmd</t>
  </si>
  <si>
    <t>short</t>
  </si>
  <si>
    <t>Normal</t>
  </si>
  <si>
    <t>收益凭证</t>
  </si>
  <si>
    <t>SYPZ</t>
  </si>
  <si>
    <t>Swap Style</t>
  </si>
  <si>
    <t>单边鲨鱼鳍</t>
  </si>
  <si>
    <t>SF</t>
  </si>
  <si>
    <t>看涨</t>
  </si>
  <si>
    <t>C</t>
  </si>
  <si>
    <t>20170110-SYPZ-399300-SF-C-91-Sell</t>
  </si>
  <si>
    <t>date</t>
    <phoneticPr fontId="2" type="noConversion"/>
  </si>
  <si>
    <t>ticker code</t>
    <phoneticPr fontId="2" type="noConversion"/>
  </si>
  <si>
    <t>qty</t>
    <phoneticPr fontId="2" type="noConversion"/>
  </si>
  <si>
    <t>deal price</t>
    <phoneticPr fontId="2" type="noConversion"/>
  </si>
  <si>
    <t>trade cost</t>
    <phoneticPr fontId="2" type="noConversion"/>
  </si>
  <si>
    <t>total cost</t>
    <phoneticPr fontId="2" type="noConversion"/>
  </si>
  <si>
    <t>position</t>
    <phoneticPr fontId="2" type="noConversion"/>
  </si>
  <si>
    <t>p/l</t>
    <phoneticPr fontId="2" type="noConversion"/>
  </si>
  <si>
    <t>adjusted x1</t>
    <phoneticPr fontId="2" type="noConversion"/>
  </si>
  <si>
    <t>20170112-SYPZ-A4-000300-SF-C-89-Sell</t>
  </si>
  <si>
    <t>total value1</t>
    <phoneticPr fontId="2" type="noConversion"/>
  </si>
  <si>
    <t>pdo</t>
    <phoneticPr fontId="2" type="noConversion"/>
  </si>
  <si>
    <t>closeprice</t>
    <phoneticPr fontId="2" type="noConversion"/>
  </si>
  <si>
    <t xml:space="preserve"> </t>
    <phoneticPr fontId="2" type="noConversion"/>
  </si>
  <si>
    <t>ic1703</t>
    <phoneticPr fontId="2" type="noConversion"/>
  </si>
  <si>
    <t>ic1703</t>
    <phoneticPr fontId="2" type="noConversion"/>
  </si>
  <si>
    <t>real_vol</t>
    <phoneticPr fontId="2" type="noConversion"/>
  </si>
  <si>
    <t>20170224-SYPZ-000905-SF-C-31</t>
    <phoneticPr fontId="2" type="noConversion"/>
  </si>
  <si>
    <t>20170224-SYPZ-000905-SF-P-31</t>
    <phoneticPr fontId="2" type="noConversion"/>
  </si>
  <si>
    <t>VAN</t>
    <phoneticPr fontId="2" type="noConversion"/>
  </si>
  <si>
    <t>c</t>
    <phoneticPr fontId="2" type="noConversion"/>
  </si>
  <si>
    <t>buy</t>
    <phoneticPr fontId="2" type="noConversion"/>
  </si>
  <si>
    <t>ic1704</t>
    <phoneticPr fontId="2" type="noConversion"/>
  </si>
  <si>
    <t>20170324-SYPZ-A1-000905/AU1712-SF-C-31</t>
    <phoneticPr fontId="2" type="noConversion"/>
  </si>
  <si>
    <t>two assets</t>
    <phoneticPr fontId="2" type="noConversion"/>
  </si>
  <si>
    <t>ic1704</t>
    <phoneticPr fontId="2" type="noConversion"/>
  </si>
  <si>
    <t>ic</t>
    <phoneticPr fontId="2" type="noConversion"/>
  </si>
  <si>
    <t>au</t>
    <phoneticPr fontId="2" type="noConversion"/>
  </si>
  <si>
    <t>ic1706</t>
    <phoneticPr fontId="2" type="noConversion"/>
  </si>
  <si>
    <t>20170406-SYPZ-A13-000905-SF-C-29</t>
    <phoneticPr fontId="2" type="noConversion"/>
  </si>
  <si>
    <t>ic1704</t>
    <phoneticPr fontId="2" type="noConversion"/>
  </si>
  <si>
    <t>ic1705</t>
    <phoneticPr fontId="2" type="noConversion"/>
  </si>
  <si>
    <t>ic1706</t>
    <phoneticPr fontId="2" type="noConversion"/>
  </si>
  <si>
    <t>mau(t+d)</t>
  </si>
  <si>
    <t>mau(t+d)</t>
    <phoneticPr fontId="2" type="noConversion"/>
  </si>
  <si>
    <t>ic1704</t>
    <phoneticPr fontId="2" type="noConversion"/>
  </si>
  <si>
    <t>ic1705</t>
    <phoneticPr fontId="2" type="noConversion"/>
  </si>
  <si>
    <t>ic1706</t>
    <phoneticPr fontId="2" type="noConversion"/>
  </si>
  <si>
    <t>ic1705</t>
    <phoneticPr fontId="2" type="noConversion"/>
  </si>
  <si>
    <t>ic1705</t>
    <phoneticPr fontId="2" type="noConversion"/>
  </si>
  <si>
    <t>ic1706</t>
    <phoneticPr fontId="2" type="noConversion"/>
  </si>
  <si>
    <t>ic1705</t>
    <phoneticPr fontId="2" type="noConversion"/>
  </si>
  <si>
    <t>pdo</t>
    <phoneticPr fontId="2" type="noConversion"/>
  </si>
  <si>
    <t>20170421-SYPZ-A17-000905-SF-C-31</t>
    <phoneticPr fontId="2" type="noConversion"/>
  </si>
  <si>
    <t>20170421-SYPZ-A18-000905-SF-P-31</t>
    <phoneticPr fontId="2" type="noConversion"/>
  </si>
  <si>
    <t>ic1705</t>
    <phoneticPr fontId="2" type="noConversion"/>
  </si>
  <si>
    <t>ic1706</t>
    <phoneticPr fontId="2" type="noConversion"/>
  </si>
  <si>
    <t>20170427-SYPZ-A19-000905-SF-C-34</t>
    <phoneticPr fontId="2" type="noConversion"/>
  </si>
  <si>
    <t>ic1705</t>
    <phoneticPr fontId="2" type="noConversion"/>
  </si>
  <si>
    <t>ic1706</t>
    <phoneticPr fontId="2" type="noConversion"/>
  </si>
  <si>
    <t>ic1706</t>
  </si>
  <si>
    <t>ic1706</t>
    <phoneticPr fontId="2" type="noConversion"/>
  </si>
  <si>
    <t>ic1705</t>
  </si>
  <si>
    <t>IC1706</t>
  </si>
  <si>
    <t>IC1709</t>
  </si>
  <si>
    <t>IC1705</t>
  </si>
  <si>
    <t>ic1709</t>
    <phoneticPr fontId="2" type="noConversion"/>
  </si>
  <si>
    <t>IC1709</t>
    <phoneticPr fontId="2" type="noConversion"/>
  </si>
  <si>
    <t>IC1706</t>
    <phoneticPr fontId="2" type="noConversion"/>
  </si>
  <si>
    <t>20170310-SYPZ-A12-000905-CPS-C-94-L2</t>
    <phoneticPr fontId="2" type="noConversion"/>
  </si>
  <si>
    <t>IC1709</t>
    <phoneticPr fontId="2" type="noConversion"/>
  </si>
  <si>
    <t>20170526-SYPZ-A26-000905-CPS-C-94-l2</t>
    <phoneticPr fontId="2" type="noConversion"/>
  </si>
  <si>
    <t>SF</t>
    <phoneticPr fontId="2" type="noConversion"/>
  </si>
  <si>
    <t>20170428-SYPZ-A20-000905-VAN-C-31</t>
    <phoneticPr fontId="2" type="noConversion"/>
  </si>
  <si>
    <t>VAN</t>
    <phoneticPr fontId="2" type="noConversion"/>
  </si>
  <si>
    <t>c</t>
    <phoneticPr fontId="2" type="noConversion"/>
  </si>
  <si>
    <t>IC1707</t>
    <phoneticPr fontId="2" type="noConversion"/>
  </si>
  <si>
    <t>ic1707</t>
    <phoneticPr fontId="2" type="noConversion"/>
  </si>
  <si>
    <t>20170310-SYPZ-A12-000905-CPS-C-94-L1</t>
    <phoneticPr fontId="2" type="noConversion"/>
  </si>
  <si>
    <t>c</t>
    <phoneticPr fontId="2" type="noConversion"/>
  </si>
  <si>
    <t>IC1709</t>
    <phoneticPr fontId="2" type="noConversion"/>
  </si>
  <si>
    <t>IC1707</t>
    <phoneticPr fontId="2" type="noConversion"/>
  </si>
  <si>
    <t>DIGIT</t>
    <phoneticPr fontId="2" type="noConversion"/>
  </si>
  <si>
    <t>20170628-EDS-A30/A31-000905-DIG-C-30</t>
    <phoneticPr fontId="2" type="noConversion"/>
  </si>
  <si>
    <t>20170628-SYPZ-A30/A31-000905-AC-182</t>
    <phoneticPr fontId="2" type="noConversion"/>
  </si>
  <si>
    <t>AC</t>
    <phoneticPr fontId="2" type="noConversion"/>
  </si>
  <si>
    <t>IC1712</t>
    <phoneticPr fontId="2" type="noConversion"/>
  </si>
  <si>
    <t>ic1712</t>
    <phoneticPr fontId="2" type="noConversion"/>
  </si>
  <si>
    <t>20170407-SYPZ-A14-000905-SF-C-94</t>
    <phoneticPr fontId="2" type="noConversion"/>
  </si>
  <si>
    <t>20170601-SYPZ-A27-000905-VAN-C-60</t>
    <phoneticPr fontId="2" type="noConversion"/>
  </si>
  <si>
    <t>20170526-SYPZ-A24-000905-SF-C-180-EDS</t>
    <phoneticPr fontId="2" type="noConversion"/>
  </si>
  <si>
    <t>IC1708</t>
    <phoneticPr fontId="2" type="noConversion"/>
  </si>
  <si>
    <t>ic1708</t>
    <phoneticPr fontId="2" type="noConversion"/>
  </si>
  <si>
    <t>20170602-SYPZ-A25-000905-SF-C-94</t>
    <phoneticPr fontId="2" type="noConversion"/>
  </si>
  <si>
    <t>cuo</t>
    <phoneticPr fontId="2" type="noConversion"/>
  </si>
  <si>
    <t>20170526-SYPZ-A26-000905-CPS-C-94-l1</t>
    <phoneticPr fontId="2" type="noConversion"/>
  </si>
  <si>
    <t>VAN</t>
    <phoneticPr fontId="2" type="noConversion"/>
  </si>
  <si>
    <t>c</t>
    <phoneticPr fontId="2" type="noConversion"/>
  </si>
  <si>
    <t>sell</t>
    <phoneticPr fontId="2" type="noConversion"/>
  </si>
  <si>
    <t>20170526-SYPZ-A24-000905-SF-C-180</t>
    <phoneticPr fontId="2" type="noConversion"/>
  </si>
  <si>
    <t>p</t>
    <phoneticPr fontId="2" type="noConversion"/>
  </si>
  <si>
    <t>sell</t>
    <phoneticPr fontId="2" type="noConversion"/>
  </si>
  <si>
    <t>cicc</t>
    <phoneticPr fontId="2" type="noConversion"/>
  </si>
  <si>
    <t>CICC</t>
    <phoneticPr fontId="2" type="noConversion"/>
  </si>
  <si>
    <t>CICC</t>
  </si>
  <si>
    <t>ic1709</t>
  </si>
  <si>
    <t>ic1709</t>
    <phoneticPr fontId="2" type="noConversion"/>
  </si>
  <si>
    <t>IC1709</t>
    <phoneticPr fontId="2" type="noConversion"/>
  </si>
  <si>
    <t>CICC</t>
    <phoneticPr fontId="2" type="noConversion"/>
  </si>
  <si>
    <t>ic1803</t>
    <phoneticPr fontId="2" type="noConversion"/>
  </si>
  <si>
    <t>20170929-SYPZ-A38-000905-AC-180</t>
  </si>
  <si>
    <t>20170911-SYPZ-A33-000905-SF-C-30</t>
    <phoneticPr fontId="2" type="noConversion"/>
  </si>
  <si>
    <t>ic1711</t>
    <phoneticPr fontId="2" type="noConversion"/>
  </si>
  <si>
    <t>20170921-SYPZ-A34-000905-Dig-C-32</t>
    <phoneticPr fontId="2" type="noConversion"/>
  </si>
  <si>
    <t>20170921-SYPZ-A35-000905-Dig-P-32</t>
    <phoneticPr fontId="2" type="noConversion"/>
  </si>
  <si>
    <t>ic1712</t>
    <phoneticPr fontId="2" type="noConversion"/>
  </si>
  <si>
    <t>20171018-SYPZ-A40-000905-SF-C-33</t>
    <phoneticPr fontId="2" type="noConversion"/>
  </si>
  <si>
    <t>Dig</t>
    <phoneticPr fontId="2" type="noConversion"/>
  </si>
  <si>
    <t>Dig</t>
    <phoneticPr fontId="2" type="noConversion"/>
  </si>
  <si>
    <t>c</t>
    <phoneticPr fontId="2" type="noConversion"/>
  </si>
  <si>
    <t>sell</t>
    <phoneticPr fontId="2" type="noConversion"/>
  </si>
  <si>
    <t>20171213-SYPZ-A48-000905-Dig-P-33</t>
  </si>
  <si>
    <t>20171213-SYPZ-A47-000905-Dig-C-33</t>
  </si>
  <si>
    <t>ic1801</t>
    <phoneticPr fontId="2" type="noConversion"/>
  </si>
  <si>
    <t>20171227-SYPZ-A49-000905-Dig-C-33</t>
  </si>
  <si>
    <t>20171227-SYPZ-A50-000905-Dig-P-33</t>
  </si>
  <si>
    <t>ic1803</t>
    <phoneticPr fontId="2" type="noConversion"/>
  </si>
  <si>
    <t>20180110-SYPZ-A52-000905-CPS-P-28-1</t>
    <phoneticPr fontId="2" type="noConversion"/>
  </si>
  <si>
    <t>20180110-SYPZ-A52-000905-CPS-P-28-2</t>
    <phoneticPr fontId="2" type="noConversion"/>
  </si>
  <si>
    <t>20180110-SYPZ-A51-000905-CPS-C-28-1</t>
    <phoneticPr fontId="2" type="noConversion"/>
  </si>
  <si>
    <t>20180110-SYPZ-A51-000905-CPS-C-28-2</t>
    <phoneticPr fontId="2" type="noConversion"/>
  </si>
  <si>
    <t>CPS</t>
    <phoneticPr fontId="2" type="noConversion"/>
  </si>
  <si>
    <t>c</t>
    <phoneticPr fontId="2" type="noConversion"/>
  </si>
  <si>
    <t>sell</t>
    <phoneticPr fontId="2" type="noConversion"/>
  </si>
  <si>
    <t>CPS</t>
    <phoneticPr fontId="2" type="noConversion"/>
  </si>
  <si>
    <t>buy</t>
    <phoneticPr fontId="2" type="noConversion"/>
  </si>
  <si>
    <t>20170927-SYPZ-A39-000905-SF-C-91</t>
    <phoneticPr fontId="2" type="noConversion"/>
  </si>
  <si>
    <t>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</si>
</sst>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0"/>
    <numFmt numFmtId="177" formatCode="_ * #,##0_ ;_ * \-#,##0_ ;_ * &quot;-&quot;??_ ;_ @_ "/>
    <numFmt numFmtId="178" formatCode="###,###,##0.0000"/>
    <numFmt numFmtId="179" formatCode="#,##0.0_ "/>
    <numFmt numFmtId="180" formatCode="###,###,##0.00"/>
    <numFmt numFmtId="181" formatCode="0.0"/>
    <numFmt numFmtId="182" formatCode="#,##0.000_ "/>
    <numFmt numFmtId="183" formatCode="###,###,##0"/>
    <numFmt numFmtId="184" formatCode="0.00000000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FF00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MS Shell Dlg 2"/>
      <family val="2"/>
    </font>
    <font>
      <sz val="9"/>
      <color rgb="FF000000"/>
      <name val="宋体"/>
      <family val="3"/>
      <charset val="134"/>
      <scheme val="minor"/>
    </font>
    <font>
      <sz val="9"/>
      <color theme="4" tint="-0.249977111117893"/>
      <name val="宋体"/>
      <family val="2"/>
      <scheme val="minor"/>
    </font>
    <font>
      <sz val="9"/>
      <color theme="4" tint="-0.249977111117893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3" fillId="0" borderId="0" xfId="0" applyFont="1"/>
    <xf numFmtId="2" fontId="3" fillId="0" borderId="0" xfId="0" applyNumberFormat="1" applyFont="1"/>
    <xf numFmtId="1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47" fontId="0" fillId="0" borderId="0" xfId="0" applyNumberFormat="1" applyAlignment="1">
      <alignment vertical="center"/>
    </xf>
    <xf numFmtId="178" fontId="0" fillId="0" borderId="0" xfId="0" applyNumberFormat="1"/>
    <xf numFmtId="179" fontId="0" fillId="0" borderId="0" xfId="0" applyNumberFormat="1"/>
    <xf numFmtId="14" fontId="3" fillId="5" borderId="1" xfId="0" applyNumberFormat="1" applyFont="1" applyFill="1" applyBorder="1"/>
    <xf numFmtId="181" fontId="3" fillId="7" borderId="1" xfId="0" applyNumberFormat="1" applyFont="1" applyFill="1" applyBorder="1"/>
    <xf numFmtId="44" fontId="3" fillId="0" borderId="0" xfId="0" applyNumberFormat="1" applyFont="1"/>
    <xf numFmtId="0" fontId="5" fillId="3" borderId="1" xfId="0" applyFont="1" applyFill="1" applyBorder="1" applyAlignment="1">
      <alignment horizontal="center"/>
    </xf>
    <xf numFmtId="183" fontId="0" fillId="0" borderId="0" xfId="0" applyNumberFormat="1"/>
    <xf numFmtId="177" fontId="0" fillId="0" borderId="0" xfId="1" applyNumberFormat="1" applyFont="1" applyAlignment="1"/>
    <xf numFmtId="181" fontId="3" fillId="0" borderId="0" xfId="0" applyNumberFormat="1" applyFont="1"/>
    <xf numFmtId="177" fontId="3" fillId="0" borderId="0" xfId="1" applyNumberFormat="1" applyFont="1" applyAlignment="1"/>
    <xf numFmtId="0" fontId="3" fillId="2" borderId="0" xfId="0" applyFont="1" applyFill="1"/>
    <xf numFmtId="181" fontId="3" fillId="2" borderId="0" xfId="0" applyNumberFormat="1" applyFont="1" applyFill="1"/>
    <xf numFmtId="0" fontId="6" fillId="0" borderId="0" xfId="0" applyFont="1"/>
    <xf numFmtId="22" fontId="6" fillId="0" borderId="0" xfId="0" applyNumberFormat="1" applyFont="1"/>
    <xf numFmtId="182" fontId="6" fillId="0" borderId="0" xfId="0" applyNumberFormat="1" applyFont="1"/>
    <xf numFmtId="176" fontId="6" fillId="0" borderId="0" xfId="0" applyNumberFormat="1" applyFont="1"/>
    <xf numFmtId="43" fontId="3" fillId="2" borderId="0" xfId="1" applyFont="1" applyFill="1" applyAlignment="1"/>
    <xf numFmtId="4" fontId="3" fillId="0" borderId="0" xfId="0" applyNumberFormat="1" applyFont="1"/>
    <xf numFmtId="0" fontId="6" fillId="9" borderId="0" xfId="0" applyFont="1" applyFill="1"/>
    <xf numFmtId="22" fontId="6" fillId="9" borderId="0" xfId="0" applyNumberFormat="1" applyFont="1" applyFill="1"/>
    <xf numFmtId="180" fontId="6" fillId="9" borderId="0" xfId="0" applyNumberFormat="1" applyFont="1" applyFill="1"/>
    <xf numFmtId="0" fontId="6" fillId="9" borderId="0" xfId="0" applyFont="1" applyFill="1" applyAlignment="1">
      <alignment vertical="center"/>
    </xf>
    <xf numFmtId="43" fontId="3" fillId="0" borderId="0" xfId="0" applyNumberFormat="1" applyFont="1"/>
    <xf numFmtId="0" fontId="7" fillId="0" borderId="0" xfId="0" applyFont="1" applyAlignment="1">
      <alignment vertical="center" readingOrder="1"/>
    </xf>
    <xf numFmtId="178" fontId="6" fillId="0" borderId="0" xfId="0" applyNumberFormat="1" applyFont="1"/>
    <xf numFmtId="14" fontId="0" fillId="7" borderId="0" xfId="0" applyNumberFormat="1" applyFill="1"/>
    <xf numFmtId="0" fontId="0" fillId="7" borderId="0" xfId="0" applyFill="1"/>
    <xf numFmtId="0" fontId="6" fillId="10" borderId="0" xfId="0" applyFont="1" applyFill="1"/>
    <xf numFmtId="0" fontId="0" fillId="0" borderId="0" xfId="0" applyNumberFormat="1"/>
    <xf numFmtId="43" fontId="0" fillId="0" borderId="0" xfId="1" applyFont="1" applyAlignment="1"/>
    <xf numFmtId="184" fontId="6" fillId="9" borderId="0" xfId="0" applyNumberFormat="1" applyFont="1" applyFill="1"/>
    <xf numFmtId="0" fontId="8" fillId="10" borderId="0" xfId="0" applyFont="1" applyFill="1"/>
    <xf numFmtId="180" fontId="6" fillId="0" borderId="0" xfId="0" applyNumberFormat="1" applyFont="1"/>
    <xf numFmtId="0" fontId="9" fillId="0" borderId="0" xfId="0" applyFont="1"/>
    <xf numFmtId="0" fontId="9" fillId="10" borderId="0" xfId="0" applyFont="1" applyFill="1"/>
    <xf numFmtId="0" fontId="10" fillId="10" borderId="0" xfId="0" applyFont="1" applyFill="1"/>
    <xf numFmtId="22" fontId="10" fillId="0" borderId="0" xfId="0" applyNumberFormat="1" applyFont="1"/>
    <xf numFmtId="180" fontId="10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 t="e">
        <v>#N/A</v>
        <stp/>
        <stp>ic1803</stp>
        <stp>LastPrice</stp>
        <tr r="L15" s="3"/>
      </tp>
      <tp t="e">
        <v>#N/A</v>
        <stp/>
        <stp>au1712</stp>
        <stp>Rt_Price</stp>
        <tr r="S8" s="1"/>
      </tp>
      <tp>
        <v>6423.2</v>
        <stp/>
        <stp>ic1801</stp>
        <stp>LastPrice</stp>
        <tr r="L17" s="3"/>
      </tp>
      <tp t="b">
        <v>0</v>
        <stp/>
        <stp>000905.sh</stp>
        <stp>LastPrice</stp>
        <tr r="S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A47"/>
  <sheetViews>
    <sheetView tabSelected="1" topLeftCell="I10" zoomScaleNormal="100" workbookViewId="0">
      <selection activeCell="V49" sqref="V49"/>
    </sheetView>
  </sheetViews>
  <sheetFormatPr defaultRowHeight="11.25" x14ac:dyDescent="0.15"/>
  <cols>
    <col min="1" max="1" width="9" style="24"/>
    <col min="2" max="2" width="9.125" style="24" bestFit="1" customWidth="1"/>
    <col min="3" max="3" width="34.375" style="24" customWidth="1"/>
    <col min="4" max="4" width="10.75" style="24" customWidth="1"/>
    <col min="5" max="6" width="6.75" style="24" customWidth="1"/>
    <col min="7" max="7" width="11" style="24" customWidth="1"/>
    <col min="8" max="8" width="10.5" style="24" customWidth="1"/>
    <col min="9" max="9" width="13.625" style="24" customWidth="1"/>
    <col min="10" max="10" width="12.5" style="24" customWidth="1"/>
    <col min="11" max="13" width="9.5" style="24" bestFit="1" customWidth="1"/>
    <col min="14" max="14" width="10.5" style="24" bestFit="1" customWidth="1"/>
    <col min="15" max="15" width="9.75" style="24" bestFit="1" customWidth="1"/>
    <col min="16" max="16" width="13" style="24" bestFit="1" customWidth="1"/>
    <col min="17" max="17" width="15.25" style="24" bestFit="1" customWidth="1"/>
    <col min="18" max="18" width="14.25" style="24" customWidth="1"/>
    <col min="19" max="21" width="12.125" style="24" customWidth="1"/>
    <col min="22" max="22" width="9.5" style="24" bestFit="1" customWidth="1"/>
    <col min="23" max="23" width="9" style="24"/>
    <col min="24" max="24" width="9.125" style="24" bestFit="1" customWidth="1"/>
    <col min="25" max="25" width="9" style="24"/>
    <col min="26" max="27" width="9.125" style="24" bestFit="1" customWidth="1"/>
    <col min="28" max="16384" width="9" style="24"/>
  </cols>
  <sheetData>
    <row r="2" spans="2:27" x14ac:dyDescent="0.15">
      <c r="C2" s="24" t="s">
        <v>18</v>
      </c>
    </row>
    <row r="3" spans="2:27" x14ac:dyDescent="0.15">
      <c r="C3" s="25">
        <f ca="1">NOW()</f>
        <v>43111.715332175925</v>
      </c>
      <c r="Q3" s="25"/>
      <c r="R3" s="25"/>
    </row>
    <row r="4" spans="2:27" x14ac:dyDescent="0.15">
      <c r="C4" s="24" t="s">
        <v>19</v>
      </c>
    </row>
    <row r="5" spans="2:27" x14ac:dyDescent="0.15">
      <c r="C5" s="24">
        <v>0.02</v>
      </c>
    </row>
    <row r="6" spans="2:27" x14ac:dyDescent="0.15">
      <c r="C6" s="24" t="s">
        <v>20</v>
      </c>
      <c r="E6" s="24" t="s">
        <v>115</v>
      </c>
    </row>
    <row r="7" spans="2:27" x14ac:dyDescent="0.15">
      <c r="C7" s="24">
        <v>0.15</v>
      </c>
      <c r="E7" s="24">
        <v>0.14499999999999999</v>
      </c>
      <c r="S7" s="24" t="s">
        <v>126</v>
      </c>
      <c r="Z7" s="24">
        <f>Z13*91/365</f>
        <v>4.9863013698630138E-3</v>
      </c>
    </row>
    <row r="8" spans="2:27" x14ac:dyDescent="0.15">
      <c r="C8" s="24" t="s">
        <v>26</v>
      </c>
      <c r="S8" s="24" t="e">
        <f>RTD("wdf.rtq",,"au1712","Rt_Price")</f>
        <v>#N/A</v>
      </c>
    </row>
    <row r="9" spans="2:27" x14ac:dyDescent="0.15">
      <c r="C9" s="24">
        <v>0</v>
      </c>
      <c r="J9" s="24" t="e">
        <f>J10+J11-J18-J17</f>
        <v>#VALUE!</v>
      </c>
      <c r="S9" s="24" t="s">
        <v>125</v>
      </c>
    </row>
    <row r="10" spans="2:27" x14ac:dyDescent="0.15">
      <c r="J10" s="24" t="e">
        <f>SUM(J13:J49)</f>
        <v>#VALUE!</v>
      </c>
      <c r="S10" s="36">
        <f>RTD("wdf.rtq",,"000905.sh","LastPrice")</f>
        <v>0</v>
      </c>
      <c r="T10" s="24">
        <v>1</v>
      </c>
      <c r="U10" s="26">
        <f>S10-S13</f>
        <v>0</v>
      </c>
      <c r="V10" s="27" t="e">
        <f>U10/S10</f>
        <v>#DIV/0!</v>
      </c>
    </row>
    <row r="11" spans="2:27" x14ac:dyDescent="0.15">
      <c r="J11" s="24">
        <f>fut_record!J4</f>
        <v>4</v>
      </c>
      <c r="M11" s="24">
        <f>SUM(M13:M35)</f>
        <v>0</v>
      </c>
      <c r="N11" s="24" t="e">
        <f>SUM(N13:N82)*S10*200</f>
        <v>#VALUE!</v>
      </c>
      <c r="O11" s="24" t="e">
        <f>SUM(O13:O89)</f>
        <v>#VALUE!</v>
      </c>
      <c r="S11" s="24">
        <v>3</v>
      </c>
    </row>
    <row r="12" spans="2:27" x14ac:dyDescent="0.15">
      <c r="B12" s="24" t="s">
        <v>30</v>
      </c>
      <c r="C12" s="24" t="s">
        <v>0</v>
      </c>
      <c r="D12" s="24" t="s">
        <v>22</v>
      </c>
      <c r="E12" s="24" t="s">
        <v>23</v>
      </c>
      <c r="F12" s="24" t="s">
        <v>28</v>
      </c>
      <c r="G12" s="24" t="s">
        <v>1</v>
      </c>
      <c r="H12" s="24" t="s">
        <v>2</v>
      </c>
      <c r="I12" s="24" t="s">
        <v>3</v>
      </c>
      <c r="J12" s="24" t="s">
        <v>4</v>
      </c>
      <c r="K12" s="24" t="s">
        <v>5</v>
      </c>
      <c r="L12" s="24" t="s">
        <v>6</v>
      </c>
      <c r="M12" s="24" t="s">
        <v>7</v>
      </c>
      <c r="N12" s="24" t="s">
        <v>8</v>
      </c>
      <c r="O12" s="24" t="s">
        <v>9</v>
      </c>
      <c r="P12" s="24" t="s">
        <v>10</v>
      </c>
      <c r="Q12" s="24" t="s">
        <v>16</v>
      </c>
      <c r="R12" s="24" t="s">
        <v>17</v>
      </c>
      <c r="S12" s="24" t="s">
        <v>21</v>
      </c>
      <c r="T12" s="24" t="s">
        <v>31</v>
      </c>
      <c r="U12" s="24" t="s">
        <v>25</v>
      </c>
      <c r="V12" s="24" t="s">
        <v>11</v>
      </c>
      <c r="W12" s="24" t="s">
        <v>12</v>
      </c>
      <c r="X12" s="24" t="s">
        <v>13</v>
      </c>
      <c r="Y12" s="24" t="s">
        <v>14</v>
      </c>
      <c r="Z12" s="24" t="s">
        <v>15</v>
      </c>
      <c r="AA12" s="24" t="s">
        <v>107</v>
      </c>
    </row>
    <row r="13" spans="2:27" s="30" customFormat="1" x14ac:dyDescent="0.15">
      <c r="B13" s="30">
        <f>IF(F13="sell",-1,1)</f>
        <v>-1</v>
      </c>
      <c r="C13" s="30" t="s">
        <v>116</v>
      </c>
      <c r="D13" s="30" t="s">
        <v>24</v>
      </c>
      <c r="E13" s="30" t="s">
        <v>27</v>
      </c>
      <c r="F13" s="30" t="s">
        <v>29</v>
      </c>
      <c r="G13" s="30">
        <v>3019060.2739726026</v>
      </c>
      <c r="H13" s="30">
        <f>G13/T13/200</f>
        <v>2.3308994930434213</v>
      </c>
      <c r="P13" s="30">
        <v>-18581.930758541701</v>
      </c>
      <c r="Q13" s="31">
        <v>42821.625</v>
      </c>
      <c r="R13" s="30">
        <v>0</v>
      </c>
      <c r="S13" s="32">
        <f>$S$10</f>
        <v>0</v>
      </c>
      <c r="T13" s="32">
        <v>6476.17</v>
      </c>
      <c r="U13" s="30">
        <f t="shared" ref="U13:U16" si="0">S13/T13</f>
        <v>0</v>
      </c>
      <c r="V13" s="30">
        <v>1</v>
      </c>
      <c r="X13" s="30">
        <v>1.0900000000000001</v>
      </c>
      <c r="Z13" s="30">
        <v>0.02</v>
      </c>
      <c r="AA13" s="30">
        <f>_xll.dnetDiscreteAdjustedBarrier(U13,X13,$C$7,1/365)</f>
        <v>1.0949973004254816</v>
      </c>
    </row>
    <row r="14" spans="2:27" s="30" customFormat="1" x14ac:dyDescent="0.15">
      <c r="B14" s="30">
        <f t="shared" ref="B14:B15" si="1">IF(F14="sell",-1,1)</f>
        <v>-1</v>
      </c>
      <c r="C14" s="30" t="s">
        <v>117</v>
      </c>
      <c r="D14" s="30" t="s">
        <v>24</v>
      </c>
      <c r="E14" s="30" t="s">
        <v>110</v>
      </c>
      <c r="F14" s="30" t="s">
        <v>29</v>
      </c>
      <c r="G14" s="33">
        <v>401980.82191780821</v>
      </c>
      <c r="H14" s="30">
        <f t="shared" ref="H14:H17" si="2">G14/T14/200</f>
        <v>0.31035382171700882</v>
      </c>
      <c r="P14" s="30">
        <v>0</v>
      </c>
      <c r="Q14" s="31">
        <v>42821.625</v>
      </c>
      <c r="R14" s="30">
        <v>0</v>
      </c>
      <c r="S14" s="32">
        <f t="shared" ref="S14:S16" si="3">$S$10</f>
        <v>0</v>
      </c>
      <c r="T14" s="32">
        <v>6476.17</v>
      </c>
      <c r="U14" s="30">
        <f t="shared" si="0"/>
        <v>0</v>
      </c>
      <c r="V14" s="30">
        <v>0.96</v>
      </c>
      <c r="X14" s="30">
        <v>0.87</v>
      </c>
      <c r="Z14" s="30">
        <v>0.02</v>
      </c>
      <c r="AA14" s="30">
        <f>_xll.dnetDiscreteAdjustedBarrier(U14,X14,$C$7,1/365)</f>
        <v>0.87398867098180633</v>
      </c>
    </row>
    <row r="15" spans="2:27" s="30" customFormat="1" x14ac:dyDescent="0.15">
      <c r="B15" s="30">
        <f t="shared" si="1"/>
        <v>-1</v>
      </c>
      <c r="C15" s="30" t="s">
        <v>167</v>
      </c>
      <c r="D15" s="30" t="s">
        <v>118</v>
      </c>
      <c r="E15" s="30" t="s">
        <v>168</v>
      </c>
      <c r="F15" s="30" t="s">
        <v>29</v>
      </c>
      <c r="G15" s="30">
        <v>1545205.4794520547</v>
      </c>
      <c r="H15" s="30">
        <f t="shared" si="2"/>
        <v>1.1982201077650272</v>
      </c>
      <c r="P15" s="30">
        <v>0</v>
      </c>
      <c r="Q15" s="31">
        <v>42898.625</v>
      </c>
      <c r="R15" s="30">
        <v>0</v>
      </c>
      <c r="S15" s="32">
        <f t="shared" si="3"/>
        <v>0</v>
      </c>
      <c r="T15" s="32">
        <v>6447.92</v>
      </c>
      <c r="U15" s="30">
        <f t="shared" si="0"/>
        <v>0</v>
      </c>
      <c r="V15" s="30">
        <v>1.01</v>
      </c>
    </row>
    <row r="16" spans="2:27" s="30" customFormat="1" x14ac:dyDescent="0.15">
      <c r="B16" s="30">
        <v>1</v>
      </c>
      <c r="C16" s="30" t="s">
        <v>158</v>
      </c>
      <c r="D16" s="30" t="s">
        <v>118</v>
      </c>
      <c r="E16" s="30" t="s">
        <v>168</v>
      </c>
      <c r="F16" s="30" t="s">
        <v>120</v>
      </c>
      <c r="G16" s="30">
        <v>1545205.4794520501</v>
      </c>
      <c r="H16" s="30">
        <f t="shared" si="2"/>
        <v>1.1982201077650236</v>
      </c>
      <c r="P16" s="30">
        <v>0</v>
      </c>
      <c r="Q16" s="31">
        <v>42898.625</v>
      </c>
      <c r="R16" s="30">
        <v>0</v>
      </c>
      <c r="S16" s="32">
        <f t="shared" si="3"/>
        <v>0</v>
      </c>
      <c r="T16" s="32">
        <v>6447.92</v>
      </c>
      <c r="U16" s="30">
        <f t="shared" si="0"/>
        <v>0</v>
      </c>
      <c r="V16" s="30">
        <v>1.1599999999999999</v>
      </c>
    </row>
    <row r="17" spans="1:27" s="30" customFormat="1" x14ac:dyDescent="0.15">
      <c r="A17" s="30" t="s">
        <v>123</v>
      </c>
      <c r="B17" s="30">
        <f>IF(F17="sell",-1,1)</f>
        <v>-1</v>
      </c>
      <c r="C17" s="30" t="s">
        <v>122</v>
      </c>
      <c r="D17" s="30" t="s">
        <v>24</v>
      </c>
      <c r="E17" s="30" t="s">
        <v>27</v>
      </c>
      <c r="F17" s="30" t="s">
        <v>29</v>
      </c>
      <c r="G17" s="30">
        <v>264731.50684931508</v>
      </c>
      <c r="H17" s="30">
        <f t="shared" si="2"/>
        <v>0.20218945566514865</v>
      </c>
      <c r="P17" s="30">
        <v>0</v>
      </c>
      <c r="Q17" s="31">
        <v>42849.625</v>
      </c>
      <c r="R17" s="30">
        <v>0</v>
      </c>
      <c r="S17" s="32">
        <f>$S$10</f>
        <v>0</v>
      </c>
      <c r="T17" s="32">
        <v>6546.62</v>
      </c>
      <c r="U17" s="30">
        <f t="shared" ref="U17" si="4">S17/T17</f>
        <v>0</v>
      </c>
      <c r="V17" s="30">
        <v>1.01</v>
      </c>
      <c r="X17" s="30">
        <v>1.0900000000000001</v>
      </c>
      <c r="Z17" s="30">
        <v>0.05</v>
      </c>
      <c r="AA17" s="30">
        <f>_xll.dnetDiscreteAdjustedBarrier(U17,X17,$C$7,1/365)</f>
        <v>1.0949973004254816</v>
      </c>
    </row>
    <row r="18" spans="1:27" s="30" customFormat="1" x14ac:dyDescent="0.15">
      <c r="B18" s="30">
        <f>IF(F18="sell",-1,1)</f>
        <v>-1</v>
      </c>
      <c r="C18" s="30" t="s">
        <v>122</v>
      </c>
      <c r="D18" s="30" t="s">
        <v>24</v>
      </c>
      <c r="E18" s="30" t="s">
        <v>27</v>
      </c>
      <c r="F18" s="30" t="s">
        <v>29</v>
      </c>
      <c r="G18" s="33">
        <v>264731.50684931502</v>
      </c>
      <c r="H18" s="30">
        <f>G18/T18/1000</f>
        <v>0.93893068575745708</v>
      </c>
      <c r="P18" s="30">
        <v>-969.38917316596405</v>
      </c>
      <c r="Q18" s="31">
        <v>42849.625</v>
      </c>
      <c r="R18" s="30">
        <v>0</v>
      </c>
      <c r="S18" s="32" t="e">
        <f>$S$8</f>
        <v>#N/A</v>
      </c>
      <c r="T18" s="32">
        <v>281.95</v>
      </c>
      <c r="U18" s="30" t="e">
        <f t="shared" ref="U18:U19" si="5">S18/T18</f>
        <v>#N/A</v>
      </c>
      <c r="V18" s="30">
        <v>1.01</v>
      </c>
      <c r="X18" s="30">
        <v>1.0900000000000001</v>
      </c>
      <c r="Z18" s="30">
        <v>0.05</v>
      </c>
      <c r="AA18" s="30" t="e">
        <f>_xll.dnetDiscreteAdjustedBarrier(U18,X18,$C$7,1/365)</f>
        <v>#VALUE!</v>
      </c>
    </row>
    <row r="19" spans="1:27" s="30" customFormat="1" x14ac:dyDescent="0.15">
      <c r="B19" s="30">
        <f>IF(F19="sell",-1,1)</f>
        <v>-1</v>
      </c>
      <c r="C19" s="30" t="s">
        <v>128</v>
      </c>
      <c r="D19" s="30" t="s">
        <v>24</v>
      </c>
      <c r="E19" s="30" t="s">
        <v>27</v>
      </c>
      <c r="F19" s="30" t="s">
        <v>29</v>
      </c>
      <c r="G19" s="30">
        <v>15890410.958904101</v>
      </c>
      <c r="H19" s="30">
        <f>G19/T19/200</f>
        <v>12.112239950991363</v>
      </c>
      <c r="P19" s="30">
        <v>0</v>
      </c>
      <c r="Q19" s="31">
        <v>42860.625</v>
      </c>
      <c r="R19" s="30">
        <v>0</v>
      </c>
      <c r="S19" s="32">
        <f>$S$10</f>
        <v>0</v>
      </c>
      <c r="T19" s="32">
        <v>6559.6500000000005</v>
      </c>
      <c r="U19" s="30">
        <f t="shared" si="5"/>
        <v>0</v>
      </c>
      <c r="V19" s="30">
        <v>1</v>
      </c>
      <c r="X19" s="30">
        <v>1.0900000000000001</v>
      </c>
      <c r="Z19" s="30">
        <v>0.02</v>
      </c>
      <c r="AA19" s="30">
        <f>_xll.dnetDiscreteAdjustedBarrier(U19,X19,$C$7,1/365)</f>
        <v>1.0949973004254816</v>
      </c>
    </row>
    <row r="20" spans="1:27" s="30" customFormat="1" x14ac:dyDescent="0.15">
      <c r="B20" s="30">
        <v>-1</v>
      </c>
      <c r="C20" s="30" t="s">
        <v>177</v>
      </c>
      <c r="D20" s="30" t="s">
        <v>24</v>
      </c>
      <c r="E20" s="30" t="s">
        <v>27</v>
      </c>
      <c r="F20" s="30" t="s">
        <v>29</v>
      </c>
      <c r="G20" s="30">
        <v>902400</v>
      </c>
      <c r="H20" s="30">
        <f t="shared" ref="H20" si="6">G20/T20/200</f>
        <v>0.68584666037365882</v>
      </c>
      <c r="P20" s="30">
        <v>0</v>
      </c>
      <c r="Q20" s="31">
        <v>42926.625</v>
      </c>
      <c r="R20" s="30">
        <v>0</v>
      </c>
      <c r="S20" s="32">
        <f>$S$10</f>
        <v>0</v>
      </c>
      <c r="T20" s="32">
        <v>6578.73</v>
      </c>
      <c r="U20" s="30">
        <f t="shared" ref="U20:U21" si="7">S20/T20</f>
        <v>0</v>
      </c>
      <c r="V20" s="30">
        <v>1</v>
      </c>
      <c r="X20" s="30">
        <v>1.1000000000000001</v>
      </c>
      <c r="Z20" s="30">
        <v>2.5000000000000001E-2</v>
      </c>
      <c r="AA20" s="30">
        <f>_xll.dnetDiscreteAdjustedBarrier(U20,X20,$C$7,1/365)</f>
        <v>1.1050431472183759</v>
      </c>
    </row>
    <row r="21" spans="1:27" s="30" customFormat="1" x14ac:dyDescent="0.15">
      <c r="B21" s="30">
        <f>IF(F21="sell",-1,1)</f>
        <v>-1</v>
      </c>
      <c r="C21" s="30" t="s">
        <v>142</v>
      </c>
      <c r="D21" s="30" t="s">
        <v>24</v>
      </c>
      <c r="E21" s="30" t="s">
        <v>27</v>
      </c>
      <c r="F21" s="30" t="s">
        <v>29</v>
      </c>
      <c r="G21" s="30">
        <v>3143654.7945205481</v>
      </c>
      <c r="H21" s="30">
        <f>G21/T21/200</f>
        <v>2.4946829758237943</v>
      </c>
      <c r="P21" s="30">
        <v>0</v>
      </c>
      <c r="Q21" s="31">
        <v>42877.625</v>
      </c>
      <c r="R21" s="30">
        <v>0</v>
      </c>
      <c r="S21" s="32">
        <f>$S$10</f>
        <v>0</v>
      </c>
      <c r="T21" s="32">
        <v>6300.71</v>
      </c>
      <c r="U21" s="30">
        <f t="shared" si="7"/>
        <v>0</v>
      </c>
      <c r="V21" s="30">
        <v>1</v>
      </c>
      <c r="X21" s="30">
        <v>1.075</v>
      </c>
      <c r="Z21" s="30">
        <v>2.5000000000000001E-2</v>
      </c>
      <c r="AA21" s="30">
        <f>_xll.dnetDiscreteAdjustedBarrier(U21,X21,$C$7,1/365)</f>
        <v>1.0799285302361401</v>
      </c>
    </row>
    <row r="22" spans="1:27" s="30" customFormat="1" x14ac:dyDescent="0.15">
      <c r="B22" s="30">
        <v>-1</v>
      </c>
      <c r="C22" s="30" t="s">
        <v>143</v>
      </c>
      <c r="D22" s="30" t="s">
        <v>24</v>
      </c>
      <c r="E22" s="30" t="s">
        <v>141</v>
      </c>
      <c r="F22" s="30" t="s">
        <v>29</v>
      </c>
      <c r="G22" s="30">
        <v>187528.76712328766</v>
      </c>
      <c r="H22" s="30">
        <f t="shared" ref="H22" si="8">G22/T22/200</f>
        <v>0.1488155835796979</v>
      </c>
      <c r="P22" s="30">
        <v>-7571.2085972133054</v>
      </c>
      <c r="Q22" s="31">
        <v>42877.625</v>
      </c>
      <c r="R22" s="30">
        <v>0</v>
      </c>
      <c r="S22" s="32">
        <f>$S$10</f>
        <v>0</v>
      </c>
      <c r="T22" s="32">
        <v>6300.71</v>
      </c>
      <c r="U22" s="30">
        <f t="shared" ref="U22:U24" si="9">S22/T22</f>
        <v>0</v>
      </c>
      <c r="V22" s="30">
        <v>0.97499999999999998</v>
      </c>
      <c r="X22" s="30">
        <v>0.9</v>
      </c>
      <c r="Z22" s="30">
        <v>2.5000000000000001E-2</v>
      </c>
      <c r="AA22" s="30">
        <f>_xll.dnetDiscreteAdjustedBarrier(U22,X22,$C$7,1/365)</f>
        <v>0.90412621136048943</v>
      </c>
    </row>
    <row r="23" spans="1:27" s="30" customFormat="1" x14ac:dyDescent="0.15">
      <c r="B23" s="30">
        <f>IF(F23="sell",-1,1)</f>
        <v>-1</v>
      </c>
      <c r="C23" s="30" t="s">
        <v>146</v>
      </c>
      <c r="D23" s="30" t="s">
        <v>161</v>
      </c>
      <c r="E23" s="30" t="s">
        <v>27</v>
      </c>
      <c r="F23" s="30" t="s">
        <v>29</v>
      </c>
      <c r="G23" s="30">
        <v>37260273.97260274</v>
      </c>
      <c r="H23" s="30">
        <f>G23/T23/200</f>
        <v>30.085972879707651</v>
      </c>
      <c r="P23" s="30">
        <v>0</v>
      </c>
      <c r="Q23" s="31">
        <v>42886.625</v>
      </c>
      <c r="R23" s="30">
        <v>0</v>
      </c>
      <c r="S23" s="32">
        <f>$S$10</f>
        <v>0</v>
      </c>
      <c r="T23" s="32">
        <v>6192.3</v>
      </c>
      <c r="U23" s="30">
        <f t="shared" si="9"/>
        <v>0</v>
      </c>
      <c r="V23" s="30">
        <v>1</v>
      </c>
      <c r="X23" s="30">
        <v>1.08</v>
      </c>
      <c r="Z23" s="30">
        <v>0.02</v>
      </c>
      <c r="AA23" s="30">
        <f>_xll.dnetDiscreteAdjustedBarrier(U23,X23,$C$7,1/365)</f>
        <v>1.0849514536325873</v>
      </c>
    </row>
    <row r="24" spans="1:27" s="30" customFormat="1" x14ac:dyDescent="0.15">
      <c r="B24" s="30">
        <f t="shared" ref="B24" si="10">IF(F24="sell",-1,1)</f>
        <v>-1</v>
      </c>
      <c r="C24" s="30" t="s">
        <v>162</v>
      </c>
      <c r="D24" s="30" t="s">
        <v>163</v>
      </c>
      <c r="E24" s="30" t="s">
        <v>164</v>
      </c>
      <c r="F24" s="30" t="s">
        <v>29</v>
      </c>
      <c r="G24" s="30">
        <v>5095890.4109589038</v>
      </c>
      <c r="H24" s="30">
        <f t="shared" ref="H24" si="11">G24/T24/200</f>
        <v>4.1017428040545862</v>
      </c>
      <c r="P24" s="30">
        <v>0</v>
      </c>
      <c r="Q24" s="31">
        <v>42886.625</v>
      </c>
      <c r="R24" s="30">
        <v>0</v>
      </c>
      <c r="S24" s="32">
        <f t="shared" ref="S24:S26" si="12">$S$10</f>
        <v>0</v>
      </c>
      <c r="T24" s="32">
        <v>6211.86</v>
      </c>
      <c r="U24" s="30">
        <f t="shared" si="9"/>
        <v>0</v>
      </c>
      <c r="V24" s="30">
        <v>1</v>
      </c>
    </row>
    <row r="25" spans="1:27" s="30" customFormat="1" x14ac:dyDescent="0.15">
      <c r="B25" s="30">
        <f t="shared" ref="B25" si="13">IF(F25="sell",-1,1)</f>
        <v>-1</v>
      </c>
      <c r="C25" s="30" t="s">
        <v>184</v>
      </c>
      <c r="D25" s="30" t="s">
        <v>185</v>
      </c>
      <c r="E25" s="30" t="s">
        <v>186</v>
      </c>
      <c r="F25" s="30" t="s">
        <v>187</v>
      </c>
      <c r="G25" s="30">
        <v>2575342.4657534244</v>
      </c>
      <c r="H25" s="30">
        <f t="shared" ref="H25" si="14">G25/T25/200</f>
        <v>2.2060761956657218</v>
      </c>
      <c r="P25" s="30">
        <v>-233526.71061905802</v>
      </c>
      <c r="Q25" s="31">
        <v>42975.625</v>
      </c>
      <c r="R25" s="30">
        <v>0</v>
      </c>
      <c r="S25" s="32">
        <f t="shared" si="12"/>
        <v>0</v>
      </c>
      <c r="T25" s="32">
        <v>5836.93</v>
      </c>
      <c r="U25" s="30">
        <f t="shared" ref="U25" si="15">S25/T25</f>
        <v>0</v>
      </c>
      <c r="V25" s="30">
        <v>1.01</v>
      </c>
    </row>
    <row r="26" spans="1:27" s="30" customFormat="1" x14ac:dyDescent="0.15">
      <c r="B26" s="30">
        <v>1</v>
      </c>
      <c r="C26" s="30" t="s">
        <v>160</v>
      </c>
      <c r="D26" s="30" t="s">
        <v>118</v>
      </c>
      <c r="E26" s="30" t="s">
        <v>119</v>
      </c>
      <c r="F26" s="30" t="s">
        <v>120</v>
      </c>
      <c r="G26" s="30">
        <v>2575342.4657534244</v>
      </c>
      <c r="H26" s="30">
        <f t="shared" ref="H26" si="16">G26/T26/200</f>
        <v>2.2060761956657218</v>
      </c>
      <c r="P26" s="30">
        <v>27499.313358783886</v>
      </c>
      <c r="Q26" s="31">
        <v>42975.625</v>
      </c>
      <c r="R26" s="30">
        <v>0</v>
      </c>
      <c r="S26" s="32">
        <f t="shared" si="12"/>
        <v>0</v>
      </c>
      <c r="T26" s="32">
        <v>5836.93</v>
      </c>
      <c r="U26" s="30">
        <f t="shared" ref="U26:U27" si="17">S26/T26</f>
        <v>0</v>
      </c>
      <c r="V26" s="30">
        <v>1.0900000000000001</v>
      </c>
    </row>
    <row r="27" spans="1:27" s="30" customFormat="1" x14ac:dyDescent="0.15">
      <c r="B27" s="30">
        <f>IF(F27="sell",-1,1)</f>
        <v>-1</v>
      </c>
      <c r="C27" s="30" t="s">
        <v>188</v>
      </c>
      <c r="D27" s="30" t="s">
        <v>24</v>
      </c>
      <c r="E27" s="30" t="s">
        <v>27</v>
      </c>
      <c r="F27" s="30" t="s">
        <v>29</v>
      </c>
      <c r="G27" s="30">
        <v>25643835.616438355</v>
      </c>
      <c r="H27" s="30">
        <f>G27/T27/200</f>
        <v>21.966886373862934</v>
      </c>
      <c r="P27" s="30">
        <f>B27*_xll.dnetStandardBarrierNGreeks("price",E27,U27,V27,AA27,Z27,R27/365,$C$5,$C$9,$C$7,0.01)*G27</f>
        <v>0</v>
      </c>
      <c r="Q27" s="31">
        <v>43061.625</v>
      </c>
      <c r="R27" s="30">
        <v>1E-3</v>
      </c>
      <c r="S27" s="32">
        <v>6564.68</v>
      </c>
      <c r="T27" s="32">
        <v>5836.93</v>
      </c>
      <c r="U27" s="30">
        <f t="shared" si="17"/>
        <v>1.1246802685658386</v>
      </c>
      <c r="V27" s="30">
        <v>1</v>
      </c>
      <c r="X27" s="30">
        <v>1.1200000000000001</v>
      </c>
      <c r="Z27" s="30">
        <v>0</v>
      </c>
      <c r="AA27" s="30">
        <f>_xll.dnetDiscreteAdjustedBarrier(U27,X27,$C$7,1/365)</f>
        <v>1.114888593356016</v>
      </c>
    </row>
    <row r="28" spans="1:27" s="30" customFormat="1" x14ac:dyDescent="0.15">
      <c r="B28" s="30">
        <f t="shared" ref="B28" si="18">IF(F28="sell",-1,1)</f>
        <v>-1</v>
      </c>
      <c r="C28" s="30" t="s">
        <v>178</v>
      </c>
      <c r="D28" s="30" t="s">
        <v>118</v>
      </c>
      <c r="E28" s="30" t="s">
        <v>164</v>
      </c>
      <c r="F28" s="30" t="s">
        <v>29</v>
      </c>
      <c r="G28" s="30">
        <v>8876712.3287671227</v>
      </c>
      <c r="H28" s="30">
        <f t="shared" ref="H28" si="19">G28/T28/200</f>
        <v>7.7729530024230495</v>
      </c>
      <c r="P28" s="30">
        <v>-914099.27308495156</v>
      </c>
      <c r="Q28" s="31">
        <v>42947.625</v>
      </c>
      <c r="R28" s="30">
        <v>0</v>
      </c>
      <c r="S28" s="32">
        <f t="shared" ref="S28" si="20">$S$10</f>
        <v>0</v>
      </c>
      <c r="T28" s="32">
        <v>5710</v>
      </c>
      <c r="U28" s="30">
        <f t="shared" ref="U28:U30" si="21">S28/T28</f>
        <v>0</v>
      </c>
      <c r="V28" s="30">
        <v>1</v>
      </c>
    </row>
    <row r="29" spans="1:27" s="30" customFormat="1" x14ac:dyDescent="0.15">
      <c r="B29" s="30">
        <f>IF(F29="sell",-1,1)</f>
        <v>-1</v>
      </c>
      <c r="C29" s="30" t="s">
        <v>182</v>
      </c>
      <c r="D29" s="30" t="s">
        <v>24</v>
      </c>
      <c r="E29" s="30" t="s">
        <v>183</v>
      </c>
      <c r="F29" s="30" t="s">
        <v>29</v>
      </c>
      <c r="G29" s="30">
        <v>5325293.1506849313</v>
      </c>
      <c r="H29" s="30">
        <f t="shared" ref="H29:H35" si="22">G29/T29/200</f>
        <v>4.6126242530861141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-133132.32876712299</v>
      </c>
      <c r="Q29" s="31">
        <v>42982.625</v>
      </c>
      <c r="R29" s="30">
        <f ca="1">Q29-$C$3</f>
        <v>-129.09033217592514</v>
      </c>
      <c r="S29" s="32">
        <f>$S$10</f>
        <v>0</v>
      </c>
      <c r="T29" s="32">
        <v>5772.52</v>
      </c>
      <c r="U29" s="30">
        <f t="shared" si="21"/>
        <v>0</v>
      </c>
      <c r="V29" s="30">
        <v>1</v>
      </c>
      <c r="X29" s="30">
        <v>1.1000000000000001</v>
      </c>
      <c r="Z29" s="30">
        <v>2.5000000000000001E-2</v>
      </c>
      <c r="AA29" s="30">
        <f>_xll.dnetDiscreteAdjustedBarrier(U29,X29,$C$7,1/365)</f>
        <v>1.1050431472183759</v>
      </c>
    </row>
    <row r="30" spans="1:27" s="30" customFormat="1" x14ac:dyDescent="0.15">
      <c r="B30" s="30">
        <v>1</v>
      </c>
      <c r="C30" s="30" t="s">
        <v>172</v>
      </c>
      <c r="D30" s="30" t="s">
        <v>171</v>
      </c>
      <c r="E30" s="30" t="s">
        <v>119</v>
      </c>
      <c r="F30" s="30" t="s">
        <v>120</v>
      </c>
      <c r="G30" s="30">
        <v>1232876.7123287672</v>
      </c>
      <c r="H30" s="30">
        <f t="shared" si="22"/>
        <v>1.0128443746837252</v>
      </c>
      <c r="P30" s="30">
        <v>0</v>
      </c>
      <c r="Q30" s="31">
        <v>42944.625</v>
      </c>
      <c r="R30" s="30">
        <v>0</v>
      </c>
      <c r="S30" s="32">
        <f>$S$10</f>
        <v>0</v>
      </c>
      <c r="T30" s="32">
        <v>6086.21</v>
      </c>
      <c r="U30" s="30">
        <f t="shared" si="21"/>
        <v>0</v>
      </c>
      <c r="V30" s="30">
        <v>1.03</v>
      </c>
      <c r="Z30" s="30">
        <v>4.7500000000000001E-2</v>
      </c>
    </row>
    <row r="31" spans="1:27" s="30" customFormat="1" x14ac:dyDescent="0.15">
      <c r="B31" s="30">
        <v>1</v>
      </c>
      <c r="C31" s="30" t="s">
        <v>179</v>
      </c>
      <c r="D31" s="30" t="s">
        <v>24</v>
      </c>
      <c r="E31" s="30" t="s">
        <v>27</v>
      </c>
      <c r="F31" s="30" t="s">
        <v>29</v>
      </c>
      <c r="G31" s="30">
        <v>20000000</v>
      </c>
      <c r="H31" s="30">
        <f t="shared" si="22"/>
        <v>15.959144589849984</v>
      </c>
      <c r="I31" s="30">
        <f>B31*_xll.dnetStandardBarrierNGreeks("delta",E31,U31,V31,AA31,Z31,R31/365,$C$5,$C$9,$C$7,0.01)*G31</f>
        <v>0</v>
      </c>
      <c r="J31" s="30">
        <f>B31*_xll.dnetStandardBarrierNGreeks("delta",E31,U31,V31,AA31,Z31,R31/365,$C$5,$C$9,$C$7,0.0001)*H31</f>
        <v>0</v>
      </c>
      <c r="K31" s="30">
        <f>B31*_xll.dnetStandardBarrierNGreeks("delta+",E31,U31,V31,X31,Z31,R31/365,$C$5,$C$9,$C$7,0.0001)*H31</f>
        <v>0</v>
      </c>
      <c r="L31" s="30">
        <f>B31*_xll.dnetStandardBarrierNGreeks("delta-",E31,U31,V31,X31,Z31,R31/365,$C$5,$C$9,$C$7,0.01)*H31</f>
        <v>0</v>
      </c>
      <c r="M31" s="30">
        <f>B31*_xll.dnetStandardBarrierNGreeks("gammap",E31,U31,V31,X31,Z31,R31/365,$C$5,$C$9,$C$7,0.01)*H31</f>
        <v>0</v>
      </c>
      <c r="N31" s="30">
        <f>B31*_xll.dnetStandardBarrierNGreeks("vega",E31,U31,V31,X31,Z31,R31/365,$C$5,$C$9,$C$7,0.01)*H31</f>
        <v>0</v>
      </c>
      <c r="O31" s="30">
        <f>B31*_xll.dnetStandardBarrierNGreeks("theta",E31,U31,V31,X31,Z31,R31/365,$C$5,$C$9,$C$7,0.01)*G31</f>
        <v>0</v>
      </c>
      <c r="P31" s="30">
        <f>B31*_xll.dnetStandardBarrierNGreeks("price",E31,U31,V31,AA31,Z31,R31/365,$C$5,$C$9,$C$7,0.01)*G31</f>
        <v>0</v>
      </c>
      <c r="Q31" s="31">
        <v>43061.625</v>
      </c>
      <c r="R31" s="30">
        <v>1E-3</v>
      </c>
      <c r="S31" s="32">
        <v>6564.68</v>
      </c>
      <c r="T31" s="32">
        <v>6266</v>
      </c>
      <c r="U31" s="30">
        <f t="shared" ref="U31" si="23">S31/T31</f>
        <v>1.0476667730609639</v>
      </c>
      <c r="V31" s="30">
        <v>0.95754867539099908</v>
      </c>
      <c r="X31" s="30">
        <v>1.043408873284392</v>
      </c>
      <c r="Z31" s="30">
        <v>0</v>
      </c>
      <c r="AA31" s="30">
        <f>_xll.dnetDiscreteAdjustedBarrier(U31,X31,$C$7,1/365)</f>
        <v>1.0386470098493048</v>
      </c>
    </row>
    <row r="32" spans="1:27" s="30" customFormat="1" x14ac:dyDescent="0.15">
      <c r="B32" s="30">
        <v>-1</v>
      </c>
      <c r="C32" s="30" t="s">
        <v>173</v>
      </c>
      <c r="D32" s="30" t="s">
        <v>174</v>
      </c>
      <c r="G32" s="30">
        <v>15000000</v>
      </c>
      <c r="H32" s="30">
        <f t="shared" si="22"/>
        <v>12.322939891985325</v>
      </c>
      <c r="P32" s="30">
        <v>-84306.69</v>
      </c>
      <c r="Q32" s="31"/>
      <c r="S32" s="32">
        <f>S10</f>
        <v>0</v>
      </c>
      <c r="T32" s="32">
        <v>6086.21</v>
      </c>
      <c r="U32" s="30">
        <f>S32/T32</f>
        <v>0</v>
      </c>
      <c r="V32" s="30">
        <v>1.03</v>
      </c>
    </row>
    <row r="33" spans="2:27" s="30" customFormat="1" x14ac:dyDescent="0.15">
      <c r="B33" s="30">
        <f>IF(F33="sell",-1,1)</f>
        <v>-1</v>
      </c>
      <c r="C33" s="30" t="s">
        <v>200</v>
      </c>
      <c r="D33" s="30" t="s">
        <v>24</v>
      </c>
      <c r="E33" s="30" t="s">
        <v>183</v>
      </c>
      <c r="F33" s="30" t="s">
        <v>29</v>
      </c>
      <c r="G33" s="30">
        <v>1643835.6164383562</v>
      </c>
      <c r="H33" s="30">
        <f t="shared" si="22"/>
        <v>1.2360354007955001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-4162.9672298791784</v>
      </c>
      <c r="Q33" s="31">
        <v>43019.625</v>
      </c>
      <c r="R33" s="30">
        <v>0</v>
      </c>
      <c r="S33" s="32">
        <f t="shared" ref="S33:S46" si="24">$S$10</f>
        <v>0</v>
      </c>
      <c r="T33" s="32">
        <v>6649.63</v>
      </c>
      <c r="U33" s="30">
        <f t="shared" ref="U33" si="25">S33/T33</f>
        <v>0</v>
      </c>
      <c r="V33" s="30">
        <v>1</v>
      </c>
      <c r="X33" s="30">
        <v>1.08</v>
      </c>
      <c r="Z33" s="30">
        <v>2.5000000000000001E-2</v>
      </c>
      <c r="AA33" s="30">
        <f>_xll.dnetDiscreteAdjustedBarrier(U33,X33,$C$7,1/365)</f>
        <v>1.0849514536325873</v>
      </c>
    </row>
    <row r="34" spans="2:27" s="30" customFormat="1" x14ac:dyDescent="0.15">
      <c r="B34" s="30">
        <v>-1</v>
      </c>
      <c r="C34" s="30" t="s">
        <v>203</v>
      </c>
      <c r="D34" s="30" t="s">
        <v>171</v>
      </c>
      <c r="E34" s="30" t="s">
        <v>189</v>
      </c>
      <c r="F34" s="30" t="s">
        <v>190</v>
      </c>
      <c r="G34" s="30">
        <v>280810.9589041096</v>
      </c>
      <c r="H34" s="30">
        <f t="shared" si="22"/>
        <v>0.21234787917825002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1">
        <v>43031.625</v>
      </c>
      <c r="R34" s="30">
        <f ca="1">Q34-$C$3</f>
        <v>-80.090332175925141</v>
      </c>
      <c r="S34" s="32">
        <f t="shared" si="24"/>
        <v>0</v>
      </c>
      <c r="T34" s="32">
        <v>6612.05</v>
      </c>
      <c r="U34" s="30">
        <f t="shared" ref="U34" si="26">S34/T34</f>
        <v>0</v>
      </c>
      <c r="V34" s="30">
        <v>1</v>
      </c>
      <c r="Z34" s="30">
        <v>6.5000000000000002E-2</v>
      </c>
    </row>
    <row r="35" spans="2:27" s="30" customFormat="1" x14ac:dyDescent="0.15">
      <c r="B35" s="30">
        <v>-1</v>
      </c>
      <c r="C35" s="30" t="s">
        <v>202</v>
      </c>
      <c r="D35" s="30" t="s">
        <v>171</v>
      </c>
      <c r="E35" s="30" t="s">
        <v>168</v>
      </c>
      <c r="F35" s="30" t="s">
        <v>29</v>
      </c>
      <c r="G35" s="30">
        <v>3598816.4383561644</v>
      </c>
      <c r="H35" s="30">
        <f t="shared" si="22"/>
        <v>2.7214074593780784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-233923.06849315099</v>
      </c>
      <c r="Q35" s="31">
        <v>43031.625</v>
      </c>
      <c r="R35" s="30">
        <f ca="1">Q35-$C$3</f>
        <v>-80.090332175925141</v>
      </c>
      <c r="S35" s="32">
        <f t="shared" si="24"/>
        <v>0</v>
      </c>
      <c r="T35" s="32">
        <v>6612.05</v>
      </c>
      <c r="U35" s="30">
        <f t="shared" ref="U35:U37" si="27">S35/T35</f>
        <v>0</v>
      </c>
      <c r="V35" s="30">
        <v>1</v>
      </c>
      <c r="Z35" s="30">
        <v>6.5000000000000002E-2</v>
      </c>
    </row>
    <row r="36" spans="2:27" s="30" customFormat="1" x14ac:dyDescent="0.15">
      <c r="B36" s="30">
        <f>IF(F36="sell",-1,1)</f>
        <v>-1</v>
      </c>
      <c r="C36" s="30" t="s">
        <v>225</v>
      </c>
      <c r="D36" s="30" t="s">
        <v>161</v>
      </c>
      <c r="E36" s="30" t="s">
        <v>183</v>
      </c>
      <c r="F36" s="30" t="s">
        <v>187</v>
      </c>
      <c r="G36" s="30">
        <v>4986301.3698630137</v>
      </c>
      <c r="H36" s="30">
        <f t="shared" ref="H36" si="28">G36/T36/200</f>
        <v>3.7871755498614745</v>
      </c>
      <c r="I36" s="30" t="e">
        <f>B36*_xll.dnetStandardBarrierNGreeks("delta",E36,U36,V36,AA36,Z36,R36/365,$C$5,$C$9,$C$7,0.01)*G36</f>
        <v>#VALUE!</v>
      </c>
      <c r="J36" s="30" t="e">
        <f>B36*_xll.dnetStandardBarrierNGreeks("delta",E36,U36,V36,AA36,Z36,R36/365,$C$5,$C$9,$C$7,0.0001)*H36</f>
        <v>#VALUE!</v>
      </c>
      <c r="K36" s="30" t="e">
        <f>B36*_xll.dnetStandardBarrierNGreeks("delta+",E36,U36,V36,X36,Z36,R36/365,$C$5,$C$9,$C$7,0.0001)*H36</f>
        <v>#VALUE!</v>
      </c>
      <c r="L36" s="30" t="e">
        <f>B36*_xll.dnetStandardBarrierNGreeks("delta-",E36,U36,V36,X36,Z36,R36/365,$C$5,$C$9,$C$7,0.01)*H36</f>
        <v>#VALUE!</v>
      </c>
      <c r="M36" s="30" t="e">
        <f>B36*_xll.dnetStandardBarrierNGreeks("gammap",E36,U36,V36,X36,Z36,R36/365,$C$5,$C$9,$C$7,0.01)*H36</f>
        <v>#VALUE!</v>
      </c>
      <c r="N36" s="30" t="e">
        <f>B36*_xll.dnetStandardBarrierNGreeks("vega",E36,U36,V36,X36,Z36,R36/365,$C$5,$C$9,$C$7,0.01)*H36</f>
        <v>#VALUE!</v>
      </c>
      <c r="O36" s="30" t="e">
        <f>B36*_xll.dnetStandardBarrierNGreeks("theta",E36,U36,V36,X36,Z36,R36/365,$C$5,$C$9,$C$7,0.01)*G36</f>
        <v>#VALUE!</v>
      </c>
      <c r="P36" s="30" t="e">
        <f>B36*_xll.dnetStandardBarrierNGreeks("price",E36,U36,V36,AA36,Z36,R36/365,$C$5,$C$9,$C$7,0.01)*G36</f>
        <v>#VALUE!</v>
      </c>
      <c r="Q36" s="31">
        <v>43096.625</v>
      </c>
      <c r="R36" s="30">
        <v>9.9999999999999995E-7</v>
      </c>
      <c r="S36" s="32">
        <f t="shared" si="24"/>
        <v>0</v>
      </c>
      <c r="T36" s="32">
        <v>6583.14</v>
      </c>
      <c r="U36" s="30">
        <f t="shared" si="27"/>
        <v>0</v>
      </c>
      <c r="V36" s="30">
        <v>1</v>
      </c>
      <c r="X36" s="30">
        <v>1.0900000000000001</v>
      </c>
      <c r="Z36" s="30">
        <v>2.5000000000000001E-2</v>
      </c>
      <c r="AA36" s="30">
        <f>_xll.dnetDiscreteAdjustedBarrier(U36,X36,$C$7,1/365)</f>
        <v>1.0949973004254816</v>
      </c>
    </row>
    <row r="37" spans="2:27" s="45" customFormat="1" ht="10.5" customHeight="1" x14ac:dyDescent="0.15">
      <c r="B37" s="45">
        <v>-1</v>
      </c>
      <c r="C37" s="46" t="s">
        <v>199</v>
      </c>
      <c r="D37" s="45" t="s">
        <v>226</v>
      </c>
      <c r="G37" s="45">
        <v>30000000</v>
      </c>
      <c r="H37" s="47">
        <f>G37/T37/200</f>
        <v>22.716052374130353</v>
      </c>
      <c r="J37" s="45">
        <v>-4.3600000000000003</v>
      </c>
      <c r="P37" s="45">
        <v>318081</v>
      </c>
      <c r="Q37" s="48">
        <v>43069</v>
      </c>
      <c r="S37" s="49">
        <f t="shared" si="24"/>
        <v>0</v>
      </c>
      <c r="T37" s="49">
        <v>6603.26</v>
      </c>
      <c r="U37" s="45">
        <f t="shared" si="27"/>
        <v>0</v>
      </c>
    </row>
    <row r="38" spans="2:27" s="30" customFormat="1" x14ac:dyDescent="0.15">
      <c r="B38" s="30">
        <f>IF(F38="sell",-1,1)</f>
        <v>-1</v>
      </c>
      <c r="C38" s="30" t="s">
        <v>205</v>
      </c>
      <c r="D38" s="30" t="s">
        <v>24</v>
      </c>
      <c r="E38" s="30" t="s">
        <v>27</v>
      </c>
      <c r="F38" s="30" t="s">
        <v>29</v>
      </c>
      <c r="G38" s="30">
        <v>904109.58904109593</v>
      </c>
      <c r="H38" s="30">
        <f t="shared" ref="H38" si="29">G38/T38/200</f>
        <v>0.6887467464021122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42">
        <v>0</v>
      </c>
      <c r="Q38" s="31">
        <v>43059.625</v>
      </c>
      <c r="R38" s="30">
        <f ca="1">Q38-$C$3</f>
        <v>-52.090332175925141</v>
      </c>
      <c r="S38" s="32">
        <f t="shared" si="24"/>
        <v>0</v>
      </c>
      <c r="T38" s="32">
        <v>6563.4400000000005</v>
      </c>
      <c r="U38" s="30">
        <f t="shared" ref="U38:U40" si="30">S38/T38</f>
        <v>0</v>
      </c>
      <c r="V38" s="30">
        <v>1.02</v>
      </c>
      <c r="X38" s="30">
        <v>1.08</v>
      </c>
      <c r="Z38" s="30">
        <v>0</v>
      </c>
      <c r="AA38" s="30">
        <f>_xll.dnetDiscreteAdjustedBarrier(U38,X38,$C$7,1/365)</f>
        <v>1.0849514536325873</v>
      </c>
    </row>
    <row r="39" spans="2:27" ht="10.5" customHeight="1" x14ac:dyDescent="0.15">
      <c r="B39" s="24">
        <v>-1</v>
      </c>
      <c r="C39" s="43" t="s">
        <v>210</v>
      </c>
      <c r="D39" s="24" t="s">
        <v>206</v>
      </c>
      <c r="E39" s="24" t="s">
        <v>189</v>
      </c>
      <c r="F39" s="24" t="s">
        <v>29</v>
      </c>
      <c r="G39" s="24">
        <v>63287.67123287671</v>
      </c>
      <c r="H39" s="39">
        <f t="shared" ref="H39:H46" si="31">G39/T39/200</f>
        <v>5.0408822093780836E-2</v>
      </c>
      <c r="I39" s="24" t="e">
        <f ca="1">B39*_xll.dnetCashOrNothingNGreeks("delta",E39,U39,V39,Z39,R39/365,$C$5,$C$9,$C$7,0.01)*G39</f>
        <v>#VALUE!</v>
      </c>
      <c r="J39" s="24" t="e">
        <f ca="1">B39*_xll.dnetCashOrNothingNGreeks("delta",E39,U39,V39,Z39,R39/365,$C$5,$C$9,$C$7,0.01)*H39</f>
        <v>#VALUE!</v>
      </c>
      <c r="K39" s="24" t="e">
        <f ca="1">B39*_xll.dnetCashOrNothingNGreeks("delta",E39,U39,V39,Z39,R39/365,$C$5,$C$9,$C$7,0.01)*H39</f>
        <v>#VALUE!</v>
      </c>
      <c r="L39" s="24" t="e">
        <f ca="1">B39*_xll.dnetCashOrNothingNGreeks("delta",E39,U39,V39,Z39,R39/365,$C$5,$C$9,$C$7,0.01)*H39</f>
        <v>#VALUE!</v>
      </c>
      <c r="M39" s="24" t="e">
        <f ca="1">B39*_xll.dnetCashOrNothingNGreeks("gammap",E39,U39,V39,Z39,R39/365,$C$5,$C$9,$C$7,0.01)*H39</f>
        <v>#VALUE!</v>
      </c>
      <c r="N39" s="24">
        <f ca="1">B39*_xll.dnetCashOrNothingNGreeks("vega",E39,U39,V39,Z39,R39/365,$C$5,$C$9,$C$7,0.01)*H39</f>
        <v>0</v>
      </c>
      <c r="O39" s="24">
        <f ca="1">B39*_xll.dnetCashOrNothingNGreeks("theta",E39,U39,V39,Z39,R39/365,$C$5,$C$9,$C$7,0.01)*G39</f>
        <v>-0.22536603482508957</v>
      </c>
      <c r="P39" s="24">
        <f ca="1">B39*_xll.dnetCashOrNothingNGreeks("price",E39,U39,V39,Z39,R39/365,$C$5,$C$9,$C$7,0.01)*G39</f>
        <v>-4112.8174535585295</v>
      </c>
      <c r="Q39" s="25">
        <v>43115.625</v>
      </c>
      <c r="R39" s="24">
        <f t="shared" ref="R39:R40" ca="1" si="32">Q39-$C$3</f>
        <v>3.9096678240748588</v>
      </c>
      <c r="S39" s="44">
        <f t="shared" si="24"/>
        <v>0</v>
      </c>
      <c r="T39" s="44">
        <v>6277.44</v>
      </c>
      <c r="U39" s="24">
        <f t="shared" si="30"/>
        <v>0</v>
      </c>
      <c r="V39" s="24">
        <v>1</v>
      </c>
      <c r="Z39" s="24">
        <v>6.5000000000000002E-2</v>
      </c>
    </row>
    <row r="40" spans="2:27" ht="10.5" customHeight="1" x14ac:dyDescent="0.15">
      <c r="B40" s="24">
        <v>-1</v>
      </c>
      <c r="C40" s="43" t="s">
        <v>211</v>
      </c>
      <c r="D40" s="24" t="s">
        <v>207</v>
      </c>
      <c r="E40" s="24" t="s">
        <v>208</v>
      </c>
      <c r="F40" s="24" t="s">
        <v>209</v>
      </c>
      <c r="G40" s="24">
        <v>61569.863013698632</v>
      </c>
      <c r="H40" s="39">
        <f t="shared" si="31"/>
        <v>4.9040582636949645E-2</v>
      </c>
      <c r="I40" s="24" t="e">
        <f ca="1">B40*_xll.dnetCashOrNothingNGreeks("delta",E40,U40,V40,Z40,R40/365,$C$5,$C$9,$C$7,0.01)*G40</f>
        <v>#VALUE!</v>
      </c>
      <c r="J40" s="24" t="e">
        <f ca="1">B40*_xll.dnetCashOrNothingNGreeks("delta",E40,U40,V40,Z40,R40/365,$C$5,$C$9,$C$7,0.01)*H40</f>
        <v>#VALUE!</v>
      </c>
      <c r="K40" s="24" t="e">
        <f ca="1">B40*_xll.dnetCashOrNothingNGreeks("delta",E40,U40,V40,Z40,R40/365,$C$5,$C$9,$C$7,0.01)*H40</f>
        <v>#VALUE!</v>
      </c>
      <c r="L40" s="24" t="e">
        <f ca="1">B40*_xll.dnetCashOrNothingNGreeks("delta",E40,U40,V40,Z40,R40/365,$C$5,$C$9,$C$7,0.01)*H40</f>
        <v>#VALUE!</v>
      </c>
      <c r="M40" s="24" t="e">
        <f ca="1">B40*_xll.dnetCashOrNothingNGreeks("gammap",E40,U40,V40,Z40,R40/365,$C$5,$C$9,$C$7,0.01)*H40</f>
        <v>#VALUE!</v>
      </c>
      <c r="N40" s="24">
        <f ca="1">B40*_xll.dnetCashOrNothingNGreeks("vega",E40,U40,V40,Z40,R40/365,$C$5,$C$9,$C$7,0.01)*H40</f>
        <v>0</v>
      </c>
      <c r="O40" s="24">
        <f ca="1">B40*_xll.dnetCashOrNothingNGreeks("theta",E40,U40,V40,Z40,R40/365,$C$5,$C$9,$C$7,0.01)*G40</f>
        <v>0</v>
      </c>
      <c r="P40" s="24">
        <f ca="1">B40*_xll.dnetCashOrNothingNGreeks("price",E40,U40,V40,Z40,R40/365,$C$5,$C$9,$C$7,0.01)*G40</f>
        <v>0</v>
      </c>
      <c r="Q40" s="25">
        <v>43115.625</v>
      </c>
      <c r="R40" s="24">
        <f t="shared" ca="1" si="32"/>
        <v>3.9096678240748588</v>
      </c>
      <c r="S40" s="44">
        <f t="shared" si="24"/>
        <v>0</v>
      </c>
      <c r="T40" s="44">
        <v>6277.44</v>
      </c>
      <c r="U40" s="24">
        <f t="shared" si="30"/>
        <v>0</v>
      </c>
      <c r="V40" s="24">
        <v>1</v>
      </c>
      <c r="Z40" s="24">
        <v>6.5000000000000002E-2</v>
      </c>
    </row>
    <row r="41" spans="2:27" ht="10.5" customHeight="1" x14ac:dyDescent="0.15">
      <c r="B41" s="24">
        <v>-1</v>
      </c>
      <c r="C41" s="43" t="s">
        <v>214</v>
      </c>
      <c r="D41" s="24" t="s">
        <v>206</v>
      </c>
      <c r="E41" s="24" t="s">
        <v>189</v>
      </c>
      <c r="F41" s="24" t="s">
        <v>29</v>
      </c>
      <c r="G41" s="24">
        <v>9041.0958904109593</v>
      </c>
      <c r="H41" s="39">
        <f t="shared" si="31"/>
        <v>7.3229193283906591E-3</v>
      </c>
      <c r="I41" s="24" t="e">
        <f ca="1">B41*_xll.dnetCashOrNothingNGreeks("delta",E41,U41,V41,Z41,R41/365,$C$5,$C$9,$C$7,0.01)*G41</f>
        <v>#VALUE!</v>
      </c>
      <c r="J41" s="24" t="e">
        <f ca="1">B41*_xll.dnetCashOrNothingNGreeks("delta",E41,U41,V41,Z41,R41/365,$C$5,$C$9,$C$7,0.01)*H41</f>
        <v>#VALUE!</v>
      </c>
      <c r="K41" s="24" t="e">
        <f ca="1">B41*_xll.dnetCashOrNothingNGreeks("delta",E41,U41,V41,Z41,R41/365,$C$5,$C$9,$C$7,0.01)*H41</f>
        <v>#VALUE!</v>
      </c>
      <c r="L41" s="24" t="e">
        <f ca="1">B41*_xll.dnetCashOrNothingNGreeks("delta",E41,U41,V41,Z41,R41/365,$C$5,$C$9,$C$7,0.01)*H41</f>
        <v>#VALUE!</v>
      </c>
      <c r="M41" s="24" t="e">
        <f ca="1">B41*_xll.dnetCashOrNothingNGreeks("gammap",E41,U41,V41,Z41,R41/365,$C$5,$C$9,$C$7,0.01)*H41</f>
        <v>#VALUE!</v>
      </c>
      <c r="N41" s="24">
        <f ca="1">B41*_xll.dnetCashOrNothingNGreeks("vega",E41,U41,V41,Z41,R41/365,$C$5,$C$9,$C$7,0.01)*H41</f>
        <v>0</v>
      </c>
      <c r="O41" s="24">
        <f ca="1">B41*_xll.dnetCashOrNothingNGreeks("theta",E41,U41,V41,Z41,R41/365,$C$5,$C$9,$C$7,0.01)*G41</f>
        <v>-3.464511039773871E-2</v>
      </c>
      <c r="P41" s="24">
        <f ca="1">B41*_xll.dnetCashOrNothingNGreeks("price",E41,U41,V41,Z41,R41/365,$C$5,$C$9,$C$7,0.01)*G41</f>
        <v>-632.2559423621783</v>
      </c>
      <c r="Q41" s="25">
        <v>43129.625</v>
      </c>
      <c r="R41" s="24">
        <f t="shared" ref="R41:R44" ca="1" si="33">Q41-$C$3</f>
        <v>17.909667824074859</v>
      </c>
      <c r="S41" s="44">
        <f t="shared" si="24"/>
        <v>0</v>
      </c>
      <c r="T41" s="44">
        <v>6173.15</v>
      </c>
      <c r="U41" s="24">
        <f t="shared" ref="U41:U44" si="34">S41/T41</f>
        <v>0</v>
      </c>
      <c r="V41" s="24">
        <v>1</v>
      </c>
      <c r="Z41" s="24">
        <v>7.0000000000000007E-2</v>
      </c>
    </row>
    <row r="42" spans="2:27" ht="10.5" customHeight="1" x14ac:dyDescent="0.15">
      <c r="B42" s="24">
        <v>-1</v>
      </c>
      <c r="C42" s="43" t="s">
        <v>213</v>
      </c>
      <c r="D42" s="24" t="s">
        <v>206</v>
      </c>
      <c r="E42" s="24" t="s">
        <v>119</v>
      </c>
      <c r="F42" s="24" t="s">
        <v>29</v>
      </c>
      <c r="G42" s="24">
        <v>140136.98630136985</v>
      </c>
      <c r="H42" s="39">
        <f t="shared" si="31"/>
        <v>0.1135052495900552</v>
      </c>
      <c r="I42" s="24" t="e">
        <f ca="1">B42*_xll.dnetCashOrNothingNGreeks("delta",E42,U42,V42,Z42,R42/365,$C$5,$C$9,$C$7,0.01)*G42</f>
        <v>#VALUE!</v>
      </c>
      <c r="J42" s="24" t="e">
        <f ca="1">B42*_xll.dnetCashOrNothingNGreeks("delta",E42,U42,V42,Z42,R42/365,$C$5,$C$9,$C$7,0.01)*H42</f>
        <v>#VALUE!</v>
      </c>
      <c r="K42" s="24" t="e">
        <f ca="1">B42*_xll.dnetCashOrNothingNGreeks("delta",E42,U42,V42,Z42,R42/365,$C$5,$C$9,$C$7,0.01)*H42</f>
        <v>#VALUE!</v>
      </c>
      <c r="L42" s="24" t="e">
        <f ca="1">B42*_xll.dnetCashOrNothingNGreeks("delta",E42,U42,V42,Z42,R42/365,$C$5,$C$9,$C$7,0.01)*H42</f>
        <v>#VALUE!</v>
      </c>
      <c r="M42" s="24" t="e">
        <f ca="1">B42*_xll.dnetCashOrNothingNGreeks("gammap",E42,U42,V42,Z42,R42/365,$C$5,$C$9,$C$7,0.01)*H42</f>
        <v>#VALUE!</v>
      </c>
      <c r="N42" s="24">
        <f ca="1">B42*_xll.dnetCashOrNothingNGreeks("vega",E42,U42,V42,Z42,R42/365,$C$5,$C$9,$C$7,0.01)*H42</f>
        <v>0</v>
      </c>
      <c r="O42" s="24">
        <f ca="1">B42*_xll.dnetCashOrNothingNGreeks("theta",E42,U42,V42,Z42,R42/365,$C$5,$C$9,$C$7,0.01)*G42</f>
        <v>0</v>
      </c>
      <c r="P42" s="24">
        <f ca="1">B42*_xll.dnetCashOrNothingNGreeks("price",E42,U42,V42,Z42,R42/365,$C$5,$C$9,$C$7,0.01)*G42</f>
        <v>0</v>
      </c>
      <c r="Q42" s="25">
        <v>43129.625</v>
      </c>
      <c r="R42" s="24">
        <f t="shared" ca="1" si="33"/>
        <v>17.909667824074859</v>
      </c>
      <c r="S42" s="44">
        <f t="shared" si="24"/>
        <v>0</v>
      </c>
      <c r="T42" s="44">
        <v>6173.15</v>
      </c>
      <c r="U42" s="24">
        <f t="shared" si="34"/>
        <v>0</v>
      </c>
      <c r="V42" s="24">
        <v>1</v>
      </c>
      <c r="Z42" s="24">
        <v>7.0000000000000007E-2</v>
      </c>
    </row>
    <row r="43" spans="2:27" ht="10.5" customHeight="1" x14ac:dyDescent="0.15">
      <c r="B43" s="24">
        <v>-1</v>
      </c>
      <c r="C43" s="43" t="s">
        <v>218</v>
      </c>
      <c r="D43" s="24" t="s">
        <v>220</v>
      </c>
      <c r="E43" s="24" t="s">
        <v>221</v>
      </c>
      <c r="F43" s="24" t="s">
        <v>222</v>
      </c>
      <c r="G43" s="24">
        <v>164241.09589041097</v>
      </c>
      <c r="H43" s="39">
        <f t="shared" si="31"/>
        <v>0.12823120804672863</v>
      </c>
      <c r="I43" s="24" t="e">
        <f ca="1">B43*_xll.dnetGBlackScholesNGreeks("delta",E43,U43,V43,R43/365,$C$5,$C$9,$C$7,0.01)*G43</f>
        <v>#VALUE!</v>
      </c>
      <c r="J43" s="24" t="e">
        <f ca="1">B43*_xll.dnetGBlackScholesNGreeks("delta",E43,U43,V43,R43/365,$C$5,$C$9,$C$7,0.01)*H43</f>
        <v>#VALUE!</v>
      </c>
      <c r="K43" s="24">
        <f ca="1">B43*_xll.dnetGBlackScholesNGreeks("delta+",E43,U43,V43,R43/365,$C$5,$C$9,$C$7,0.01)*H43</f>
        <v>0</v>
      </c>
      <c r="L43" s="24" t="e">
        <f ca="1">B43*_xll.dnetGBlackScholesNGreeks("delta-",E43,U43,V43,R43/365,$C$5,$C$9,$C$7,0.01)*H43</f>
        <v>#VALUE!</v>
      </c>
      <c r="M43" s="24" t="e">
        <f ca="1">B43*_xll.dnetGBlackScholesNGreeks("gammap",E43,U43,V43,R43/365,$C$5,$C$9,$C$7,0.01)*H43</f>
        <v>#VALUE!</v>
      </c>
      <c r="N43" s="24">
        <f ca="1">B43*_xll.dnetGBlackScholesNGreeks("vega",E43,U43,V43,R43/365,$C$5,$C$9,$C$7,0.01)*H43</f>
        <v>0</v>
      </c>
      <c r="O43" s="24">
        <f ca="1">B43*_xll.dnetGBlackScholesNGreeks("theta",E43,U43,V43,R43/365,$C$5,$C$9,$C$7,0.01)*G43</f>
        <v>0</v>
      </c>
      <c r="P43" s="24">
        <f ca="1">B43*_xll.dnetGBlackScholesNGreeks("price",E43,U43,V43,R43/365,$C$5,$C$9,$C$7,0.01)*G43</f>
        <v>0</v>
      </c>
      <c r="Q43" s="25">
        <v>43138.645833333336</v>
      </c>
      <c r="R43" s="24">
        <f t="shared" ca="1" si="33"/>
        <v>26.930501157410617</v>
      </c>
      <c r="S43" s="44">
        <f t="shared" si="24"/>
        <v>0</v>
      </c>
      <c r="T43" s="44">
        <v>6404.1</v>
      </c>
      <c r="U43" s="24">
        <f t="shared" si="34"/>
        <v>0</v>
      </c>
      <c r="V43" s="24">
        <v>1</v>
      </c>
    </row>
    <row r="44" spans="2:27" ht="10.5" customHeight="1" x14ac:dyDescent="0.15">
      <c r="B44" s="24">
        <v>1</v>
      </c>
      <c r="C44" s="43" t="s">
        <v>219</v>
      </c>
      <c r="D44" s="24" t="s">
        <v>223</v>
      </c>
      <c r="E44" s="24" t="s">
        <v>164</v>
      </c>
      <c r="F44" s="24" t="s">
        <v>224</v>
      </c>
      <c r="G44" s="24">
        <v>164241.09589041097</v>
      </c>
      <c r="H44" s="39">
        <f t="shared" si="31"/>
        <v>0.12823120804672863</v>
      </c>
      <c r="I44" s="24" t="e">
        <f ca="1">B44*_xll.dnetGBlackScholesNGreeks("delta",E44,U44,V44,R44/365,$C$5,$C$9,$C$7,0.01)*G44</f>
        <v>#VALUE!</v>
      </c>
      <c r="J44" s="24" t="e">
        <f ca="1">B44*_xll.dnetGBlackScholesNGreeks("delta",E44,U44,V44,R44/365,$C$5,$C$9,$C$7,0.01)*H44</f>
        <v>#VALUE!</v>
      </c>
      <c r="K44" s="24">
        <f ca="1">B44*_xll.dnetGBlackScholesNGreeks("delta+",E44,U44,V44,R44/365,$C$5,$C$9,$C$7,0.01)*H44</f>
        <v>0</v>
      </c>
      <c r="L44" s="24" t="e">
        <f ca="1">B44*_xll.dnetGBlackScholesNGreeks("delta-",E44,U44,V44,R44/365,$C$5,$C$9,$C$7,0.01)*H44</f>
        <v>#VALUE!</v>
      </c>
      <c r="M44" s="24" t="e">
        <f ca="1">B44*_xll.dnetGBlackScholesNGreeks("gammap",E44,U44,V44,R44/365,$C$5,$C$9,$C$7,0.01)*H44</f>
        <v>#VALUE!</v>
      </c>
      <c r="N44" s="24">
        <f ca="1">B44*_xll.dnetGBlackScholesNGreeks("vega",E44,U44,V44,R44/365,$C$5,$C$9,$C$7,0.01)*H44</f>
        <v>0</v>
      </c>
      <c r="O44" s="24">
        <f ca="1">B44*_xll.dnetGBlackScholesNGreeks("theta",E44,U44,V44,R44/365,$C$5,$C$9,$C$7,0.01)*G44</f>
        <v>0</v>
      </c>
      <c r="P44" s="24">
        <f ca="1">B44*_xll.dnetGBlackScholesNGreeks("price",E44,U44,V44,R44/365,$C$5,$C$9,$C$7,0.01)*G44</f>
        <v>0</v>
      </c>
      <c r="Q44" s="25">
        <v>43138.645833333336</v>
      </c>
      <c r="R44" s="24">
        <f t="shared" ca="1" si="33"/>
        <v>26.930501157410617</v>
      </c>
      <c r="S44" s="44">
        <f t="shared" si="24"/>
        <v>0</v>
      </c>
      <c r="T44" s="44">
        <v>6404.1</v>
      </c>
      <c r="U44" s="24">
        <f t="shared" si="34"/>
        <v>0</v>
      </c>
      <c r="V44" s="24">
        <v>1.0900000000000001</v>
      </c>
    </row>
    <row r="45" spans="2:27" ht="10.5" customHeight="1" x14ac:dyDescent="0.15">
      <c r="B45" s="24">
        <v>-1</v>
      </c>
      <c r="C45" s="43" t="s">
        <v>216</v>
      </c>
      <c r="D45" s="24" t="s">
        <v>223</v>
      </c>
      <c r="E45" s="24" t="s">
        <v>189</v>
      </c>
      <c r="F45" s="24" t="s">
        <v>187</v>
      </c>
      <c r="G45" s="24">
        <v>84383.561643835623</v>
      </c>
      <c r="H45" s="39">
        <f t="shared" si="31"/>
        <v>6.5863527947370437E-2</v>
      </c>
      <c r="I45" s="24" t="e">
        <f ca="1">B45*_xll.dnetGBlackScholesNGreeks("delta",E45,U45,V45,R45/365,$C$5,$C$9,$C$7,0.01)*G45</f>
        <v>#VALUE!</v>
      </c>
      <c r="J45" s="24" t="e">
        <f ca="1">B45*_xll.dnetGBlackScholesNGreeks("delta",E45,U45,V45,R45/365,$C$5,$C$9,$C$7,0.01)*H45</f>
        <v>#VALUE!</v>
      </c>
      <c r="K45" s="24">
        <f ca="1">B45*_xll.dnetGBlackScholesNGreeks("delta+",E45,U45,V45,R45/365,$C$5,$C$9,$C$7,0.01)*H45</f>
        <v>6.5766408508662985E-2</v>
      </c>
      <c r="L45" s="24" t="e">
        <f ca="1">B45*_xll.dnetGBlackScholesNGreeks("delta-",E45,U45,V45,R45/365,$C$5,$C$9,$C$7,0.01)*H45</f>
        <v>#VALUE!</v>
      </c>
      <c r="M45" s="24" t="e">
        <f ca="1">B45*_xll.dnetGBlackScholesNGreeks("gammap",E45,U45,V45,R45/365,$C$5,$C$9,$C$7,0.01)*H45</f>
        <v>#VALUE!</v>
      </c>
      <c r="N45" s="24">
        <f ca="1">B45*_xll.dnetGBlackScholesNGreeks("vega",E45,U45,V45,R45/365,$C$5,$C$9,$C$7,0.01)*H45</f>
        <v>0</v>
      </c>
      <c r="O45" s="24">
        <f ca="1">B45*_xll.dnetGBlackScholesNGreeks("theta",E45,U45,V45,R45/365,$C$5,$C$9,$C$7,0.01)*G45</f>
        <v>-4.5939799828193193</v>
      </c>
      <c r="P45" s="24">
        <f ca="1">B45*_xll.dnetGBlackScholesNGreeks("price",E45,U45,V45,R45/365,$C$5,$C$9,$C$7,0.01)*G45</f>
        <v>-83837.837717474715</v>
      </c>
      <c r="Q45" s="25">
        <v>43138.645833333336</v>
      </c>
      <c r="R45" s="24">
        <f t="shared" ref="R45:R46" ca="1" si="35">Q45-$C$3</f>
        <v>26.930501157410617</v>
      </c>
      <c r="S45" s="44">
        <f t="shared" si="24"/>
        <v>0</v>
      </c>
      <c r="T45" s="44">
        <v>6405.94</v>
      </c>
      <c r="U45" s="24">
        <f t="shared" ref="U45:U46" si="36">S45/T45</f>
        <v>0</v>
      </c>
      <c r="V45" s="24">
        <v>0.995</v>
      </c>
    </row>
    <row r="46" spans="2:27" ht="10.5" customHeight="1" x14ac:dyDescent="0.15">
      <c r="B46" s="24">
        <v>1</v>
      </c>
      <c r="C46" s="43" t="s">
        <v>217</v>
      </c>
      <c r="D46" s="24" t="s">
        <v>223</v>
      </c>
      <c r="E46" s="24" t="s">
        <v>189</v>
      </c>
      <c r="F46" s="24" t="s">
        <v>224</v>
      </c>
      <c r="G46" s="24">
        <v>84383.561643835623</v>
      </c>
      <c r="H46" s="39">
        <f t="shared" si="31"/>
        <v>6.5863527947370437E-2</v>
      </c>
      <c r="I46" s="24" t="e">
        <f ca="1">B46*_xll.dnetGBlackScholesNGreeks("delta",E46,U46,V46,R46/365,$C$5,$C$9,$C$7,0.01)*G46</f>
        <v>#VALUE!</v>
      </c>
      <c r="J46" s="24" t="e">
        <f ca="1">B46*_xll.dnetGBlackScholesNGreeks("delta",E46,U46,V46,R46/365,$C$5,$C$9,$C$7,0.01)*H46</f>
        <v>#VALUE!</v>
      </c>
      <c r="K46" s="24">
        <f ca="1">B46*_xll.dnetGBlackScholesNGreeks("delta+",E46,U46,V46,R46/365,$C$5,$C$9,$C$7,0.01)*H46</f>
        <v>-6.5766408508662985E-2</v>
      </c>
      <c r="L46" s="24" t="e">
        <f ca="1">B46*_xll.dnetGBlackScholesNGreeks("delta-",E46,U46,V46,R46/365,$C$5,$C$9,$C$7,0.01)*H46</f>
        <v>#VALUE!</v>
      </c>
      <c r="M46" s="24" t="e">
        <f ca="1">B46*_xll.dnetGBlackScholesNGreeks("gammap",E46,U46,V46,R46/365,$C$5,$C$9,$C$7,0.01)*H46</f>
        <v>#VALUE!</v>
      </c>
      <c r="N46" s="24">
        <f ca="1">B46*_xll.dnetGBlackScholesNGreeks("vega",E46,U46,V46,R46/365,$C$5,$C$9,$C$7,0.01)*H46</f>
        <v>0</v>
      </c>
      <c r="O46" s="24">
        <f ca="1">B46*_xll.dnetGBlackScholesNGreeks("theta",E46,U46,V46,R46/365,$C$5,$C$9,$C$7,0.01)*G46</f>
        <v>4.1784441049792846</v>
      </c>
      <c r="P46" s="24">
        <f ca="1">B46*_xll.dnetGBlackScholesNGreeks("price",E46,U46,V46,R46/365,$C$5,$C$9,$C$7,0.01)*G46</f>
        <v>76254.515712879016</v>
      </c>
      <c r="Q46" s="25">
        <v>43138.645833333336</v>
      </c>
      <c r="R46" s="24">
        <f t="shared" ca="1" si="35"/>
        <v>26.930501157410617</v>
      </c>
      <c r="S46" s="44">
        <f t="shared" si="24"/>
        <v>0</v>
      </c>
      <c r="T46" s="44">
        <v>6405.94</v>
      </c>
      <c r="U46" s="24">
        <f t="shared" si="36"/>
        <v>0</v>
      </c>
      <c r="V46" s="24">
        <v>0.90500000000000003</v>
      </c>
    </row>
    <row r="47" spans="2:27" ht="10.5" customHeight="1" x14ac:dyDescent="0.15">
      <c r="C47" s="43"/>
      <c r="H47" s="39"/>
      <c r="Q47" s="25"/>
      <c r="S47" s="44"/>
      <c r="T47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25"/>
  <sheetViews>
    <sheetView topLeftCell="A4" workbookViewId="0">
      <selection activeCell="I12" sqref="I12"/>
    </sheetView>
  </sheetViews>
  <sheetFormatPr defaultRowHeight="13.5" x14ac:dyDescent="0.15"/>
  <cols>
    <col min="13" max="13" width="7.5" customWidth="1"/>
  </cols>
  <sheetData>
    <row r="1" spans="1:42" s="8" customFormat="1" x14ac:dyDescent="0.15">
      <c r="A1" s="8" t="s">
        <v>46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55</v>
      </c>
      <c r="K1" s="8" t="s">
        <v>56</v>
      </c>
      <c r="L1" s="8" t="s">
        <v>57</v>
      </c>
      <c r="M1" s="8" t="s">
        <v>58</v>
      </c>
      <c r="N1" s="8" t="s">
        <v>59</v>
      </c>
      <c r="O1" s="8" t="s">
        <v>60</v>
      </c>
      <c r="P1" s="8" t="s">
        <v>61</v>
      </c>
      <c r="Q1" s="8" t="s">
        <v>62</v>
      </c>
      <c r="R1" s="8" t="s">
        <v>63</v>
      </c>
      <c r="S1" s="8" t="s">
        <v>64</v>
      </c>
      <c r="T1" s="8" t="s">
        <v>65</v>
      </c>
      <c r="U1" s="8" t="s">
        <v>66</v>
      </c>
      <c r="V1" s="8" t="s">
        <v>67</v>
      </c>
      <c r="W1" s="8" t="s">
        <v>68</v>
      </c>
      <c r="X1" s="8" t="s">
        <v>69</v>
      </c>
      <c r="Y1" s="8" t="s">
        <v>70</v>
      </c>
      <c r="Z1" s="8" t="s">
        <v>71</v>
      </c>
      <c r="AA1" s="8" t="s">
        <v>72</v>
      </c>
      <c r="AB1" s="8" t="s">
        <v>73</v>
      </c>
      <c r="AC1" s="8" t="s">
        <v>74</v>
      </c>
      <c r="AD1" s="8" t="s">
        <v>75</v>
      </c>
      <c r="AE1" s="8" t="s">
        <v>76</v>
      </c>
      <c r="AF1" s="8" t="s">
        <v>77</v>
      </c>
      <c r="AG1" s="8" t="s">
        <v>78</v>
      </c>
      <c r="AH1" s="8" t="s">
        <v>79</v>
      </c>
      <c r="AI1" s="8" t="s">
        <v>80</v>
      </c>
      <c r="AJ1" s="8" t="s">
        <v>81</v>
      </c>
      <c r="AK1" s="8" t="s">
        <v>82</v>
      </c>
      <c r="AL1" s="8" t="s">
        <v>83</v>
      </c>
      <c r="AM1" s="8" t="s">
        <v>84</v>
      </c>
      <c r="AN1" s="8" t="s">
        <v>85</v>
      </c>
      <c r="AO1" s="8" t="s">
        <v>86</v>
      </c>
      <c r="AP1" s="8" t="s">
        <v>87</v>
      </c>
    </row>
    <row r="2" spans="1:42" s="8" customFormat="1" x14ac:dyDescent="0.15">
      <c r="A2" s="8" t="s">
        <v>98</v>
      </c>
      <c r="B2" s="8" t="s">
        <v>91</v>
      </c>
      <c r="C2" s="8" t="s">
        <v>92</v>
      </c>
      <c r="D2" s="9">
        <v>42745</v>
      </c>
      <c r="E2" s="9">
        <v>42836</v>
      </c>
      <c r="F2" s="10">
        <v>42745.625</v>
      </c>
      <c r="G2" s="10">
        <v>42836.625</v>
      </c>
      <c r="H2" s="9">
        <v>42836</v>
      </c>
      <c r="I2" s="9">
        <v>42744</v>
      </c>
      <c r="J2" s="8">
        <v>91</v>
      </c>
      <c r="K2" s="8">
        <v>91</v>
      </c>
      <c r="L2" s="8" t="s">
        <v>93</v>
      </c>
      <c r="M2" s="8">
        <v>399300</v>
      </c>
      <c r="N2" s="8">
        <v>3363.9</v>
      </c>
      <c r="O2" s="8">
        <v>20000000</v>
      </c>
      <c r="P2" s="8">
        <v>4986301.36986301</v>
      </c>
      <c r="Q2" s="8">
        <v>1482.2977406769</v>
      </c>
      <c r="R2" s="8">
        <v>118673.97260274</v>
      </c>
      <c r="S2" s="8">
        <v>2.38</v>
      </c>
      <c r="T2" s="8">
        <v>224383.56164383501</v>
      </c>
      <c r="U2" s="8">
        <v>4.5</v>
      </c>
      <c r="V2" s="8" t="s">
        <v>94</v>
      </c>
      <c r="W2" s="8" t="s">
        <v>95</v>
      </c>
      <c r="X2" s="8" t="s">
        <v>96</v>
      </c>
      <c r="Y2" s="8" t="s">
        <v>97</v>
      </c>
      <c r="Z2" s="8">
        <v>3430.26</v>
      </c>
      <c r="AA2" s="8">
        <v>102</v>
      </c>
      <c r="AH2" s="8">
        <v>3800.19</v>
      </c>
      <c r="AI2" s="8">
        <v>113</v>
      </c>
      <c r="AL2" s="8" t="b">
        <v>0</v>
      </c>
      <c r="AM2" s="8" t="s">
        <v>88</v>
      </c>
      <c r="AN2" s="8" t="s">
        <v>89</v>
      </c>
      <c r="AO2" s="8" t="s">
        <v>90</v>
      </c>
      <c r="AP2" s="11">
        <v>42744.822384259256</v>
      </c>
    </row>
    <row r="3" spans="1:42" x14ac:dyDescent="0.15">
      <c r="A3" s="8" t="s">
        <v>108</v>
      </c>
      <c r="B3" s="8" t="s">
        <v>91</v>
      </c>
      <c r="C3" s="8" t="s">
        <v>92</v>
      </c>
      <c r="D3" s="9">
        <v>42747</v>
      </c>
      <c r="E3" s="9">
        <v>42836</v>
      </c>
      <c r="F3" s="10">
        <v>42747.625</v>
      </c>
      <c r="G3" s="10">
        <v>42836.625</v>
      </c>
      <c r="H3" s="9">
        <v>42836</v>
      </c>
      <c r="I3" s="9">
        <v>42747</v>
      </c>
      <c r="J3" s="8">
        <v>89</v>
      </c>
      <c r="K3" s="8">
        <v>89</v>
      </c>
      <c r="L3" s="8" t="s">
        <v>93</v>
      </c>
      <c r="M3" s="8">
        <v>399300</v>
      </c>
      <c r="N3" s="8">
        <v>3340.1</v>
      </c>
      <c r="O3" s="8">
        <v>10000000</v>
      </c>
      <c r="P3" s="8">
        <v>2438356.16438356</v>
      </c>
      <c r="Q3" s="8">
        <v>730.02489877056405</v>
      </c>
      <c r="R3" s="8">
        <v>50759.9</v>
      </c>
      <c r="S3" s="8">
        <v>2.0817262359550601</v>
      </c>
      <c r="T3" s="8">
        <v>0</v>
      </c>
      <c r="U3" s="8">
        <v>0</v>
      </c>
      <c r="V3" s="8" t="s">
        <v>94</v>
      </c>
      <c r="W3" s="8" t="s">
        <v>95</v>
      </c>
      <c r="X3" s="8" t="s">
        <v>96</v>
      </c>
      <c r="Y3" s="8" t="s">
        <v>97</v>
      </c>
      <c r="Z3" s="8">
        <v>3340</v>
      </c>
      <c r="AA3" s="8">
        <v>100</v>
      </c>
      <c r="AD3" s="8"/>
      <c r="AE3" s="8"/>
      <c r="AF3" s="8"/>
      <c r="AG3" s="8"/>
      <c r="AH3" s="8">
        <v>3740.8</v>
      </c>
      <c r="AI3" s="8">
        <v>112</v>
      </c>
      <c r="AJ3" s="8"/>
      <c r="AK3" s="8"/>
      <c r="AL3" s="8" t="b">
        <v>0</v>
      </c>
      <c r="AM3" s="8" t="s">
        <v>88</v>
      </c>
      <c r="AN3" s="8" t="s">
        <v>89</v>
      </c>
      <c r="AO3" s="8" t="s">
        <v>90</v>
      </c>
      <c r="AP3" s="11">
        <v>42747.498194444444</v>
      </c>
    </row>
    <row r="25" spans="5:5" x14ac:dyDescent="0.15">
      <c r="E25" t="s">
        <v>112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40"/>
  <sheetViews>
    <sheetView topLeftCell="A19" zoomScaleNormal="100" workbookViewId="0">
      <selection activeCell="C3" sqref="C3:H3"/>
    </sheetView>
  </sheetViews>
  <sheetFormatPr defaultRowHeight="12" x14ac:dyDescent="0.15"/>
  <cols>
    <col min="1" max="1" width="36.75" style="1" customWidth="1"/>
    <col min="2" max="2" width="21.125" style="1" customWidth="1"/>
    <col min="3" max="3" width="19.625" style="1" customWidth="1"/>
    <col min="4" max="7" width="12.625" style="1" customWidth="1"/>
    <col min="8" max="8" width="18.875" style="1" customWidth="1"/>
    <col min="9" max="9" width="23" style="1" customWidth="1"/>
    <col min="10" max="10" width="22.75" style="1" customWidth="1"/>
    <col min="11" max="11" width="12.5" style="1" customWidth="1"/>
    <col min="12" max="13" width="12.125" style="1" customWidth="1"/>
    <col min="14" max="14" width="7.625" style="1" customWidth="1"/>
    <col min="15" max="15" width="9" style="1"/>
    <col min="16" max="16" width="13" style="1" customWidth="1"/>
    <col min="17" max="17" width="12.25" style="1" bestFit="1" customWidth="1"/>
    <col min="18" max="16384" width="9" style="1"/>
  </cols>
  <sheetData>
    <row r="3" spans="1:13" x14ac:dyDescent="0.15">
      <c r="C3" s="23" t="e">
        <f>SUM(C7:C45)</f>
        <v>#VALUE!</v>
      </c>
      <c r="D3" s="23">
        <f>SUM(D7:D38)</f>
        <v>2350188.1636986295</v>
      </c>
      <c r="E3" s="23" t="e">
        <f>SUM(E7:E38)</f>
        <v>#VALUE!</v>
      </c>
      <c r="F3" s="22"/>
      <c r="G3" s="22" t="e">
        <f>fut_record!N4</f>
        <v>#N/A</v>
      </c>
      <c r="H3" s="28" t="e">
        <f>G3+E3</f>
        <v>#N/A</v>
      </c>
      <c r="J3" s="34"/>
      <c r="K3" s="34"/>
    </row>
    <row r="4" spans="1:13" x14ac:dyDescent="0.15">
      <c r="A4" s="51" t="s">
        <v>45</v>
      </c>
      <c r="B4" s="51"/>
      <c r="C4" s="51"/>
      <c r="D4" s="51"/>
      <c r="E4" s="51"/>
      <c r="F4" s="51"/>
      <c r="G4" s="51"/>
      <c r="H4" s="51"/>
    </row>
    <row r="5" spans="1:13" ht="13.5" customHeight="1" x14ac:dyDescent="0.15">
      <c r="A5" s="4"/>
      <c r="B5" s="50" t="s">
        <v>37</v>
      </c>
      <c r="C5" s="50"/>
      <c r="D5" s="50"/>
      <c r="E5" s="50"/>
      <c r="F5" s="50" t="s">
        <v>38</v>
      </c>
      <c r="G5" s="50"/>
      <c r="H5" s="17"/>
    </row>
    <row r="6" spans="1:13" x14ac:dyDescent="0.15">
      <c r="A6" s="5" t="s">
        <v>42</v>
      </c>
      <c r="B6" s="6" t="s">
        <v>41</v>
      </c>
      <c r="C6" s="6" t="s">
        <v>39</v>
      </c>
      <c r="D6" s="6" t="s">
        <v>34</v>
      </c>
      <c r="E6" s="6" t="s">
        <v>43</v>
      </c>
      <c r="F6" s="6" t="s">
        <v>40</v>
      </c>
      <c r="G6" s="6" t="s">
        <v>44</v>
      </c>
      <c r="H6" s="6" t="s">
        <v>36</v>
      </c>
    </row>
    <row r="7" spans="1:13" ht="13.5" x14ac:dyDescent="0.15">
      <c r="A7" s="14" t="str">
        <f>risk_calc!C13</f>
        <v>20170224-SYPZ-000905-SF-C-31</v>
      </c>
      <c r="B7" s="7"/>
      <c r="C7" s="15">
        <f>risk_calc!P13</f>
        <v>-18581.930758541701</v>
      </c>
      <c r="D7" s="15">
        <v>63233.78</v>
      </c>
      <c r="E7" s="15">
        <f t="shared" ref="E7:E12" si="0">D7+C7</f>
        <v>44651.849241458302</v>
      </c>
      <c r="F7" s="7">
        <v>990780</v>
      </c>
      <c r="G7" s="7">
        <v>-2159.9999999999454</v>
      </c>
      <c r="H7" s="15" t="e">
        <f>#REF!</f>
        <v>#REF!</v>
      </c>
      <c r="K7"/>
    </row>
    <row r="8" spans="1:13" x14ac:dyDescent="0.15">
      <c r="A8" s="14" t="str">
        <f>risk_calc!C14</f>
        <v>20170224-SYPZ-000905-SF-P-31</v>
      </c>
      <c r="B8" s="7"/>
      <c r="C8" s="15">
        <f>risk_calc!P14</f>
        <v>0</v>
      </c>
      <c r="D8" s="15">
        <v>8419.43</v>
      </c>
      <c r="E8" s="15">
        <f t="shared" si="0"/>
        <v>8419.43</v>
      </c>
      <c r="F8" s="7"/>
      <c r="G8" s="7">
        <v>-7019.9999999998909</v>
      </c>
      <c r="H8" s="15">
        <f>E8+G8</f>
        <v>1399.4300000001094</v>
      </c>
    </row>
    <row r="9" spans="1:13" x14ac:dyDescent="0.15">
      <c r="A9" s="14" t="str">
        <f>risk_calc!C15</f>
        <v>20170310-SYPZ-A12-000905-CPS-C-94-L1</v>
      </c>
      <c r="C9" s="15">
        <f>risk_calc!P15</f>
        <v>0</v>
      </c>
      <c r="D9" s="20">
        <v>54854.23</v>
      </c>
      <c r="E9" s="15">
        <f t="shared" si="0"/>
        <v>54854.23</v>
      </c>
      <c r="I9" s="21"/>
    </row>
    <row r="10" spans="1:13" x14ac:dyDescent="0.15">
      <c r="A10" s="14" t="str">
        <f>risk_calc!C16</f>
        <v>20170310-SYPZ-A12-000905-CPS-C-94-L2</v>
      </c>
      <c r="C10" s="15">
        <f>risk_calc!P16</f>
        <v>0</v>
      </c>
      <c r="D10" s="1">
        <v>0</v>
      </c>
      <c r="E10" s="15">
        <f t="shared" si="0"/>
        <v>0</v>
      </c>
      <c r="K10" s="2"/>
    </row>
    <row r="11" spans="1:13" x14ac:dyDescent="0.15">
      <c r="A11" s="14" t="str">
        <f>risk_calc!C17</f>
        <v>20170324-SYPZ-A1-000905/AU1712-SF-C-31</v>
      </c>
      <c r="C11" s="15">
        <f>risk_calc!P17</f>
        <v>0</v>
      </c>
      <c r="D11" s="29">
        <v>9369.7199999999993</v>
      </c>
      <c r="E11" s="15">
        <f t="shared" si="0"/>
        <v>9369.7199999999993</v>
      </c>
      <c r="K11" s="2"/>
    </row>
    <row r="12" spans="1:13" x14ac:dyDescent="0.15">
      <c r="A12" s="14" t="str">
        <f>risk_calc!C18</f>
        <v>20170324-SYPZ-A1-000905/AU1712-SF-C-31</v>
      </c>
      <c r="C12" s="15">
        <v>-1530.92</v>
      </c>
      <c r="E12" s="15">
        <f t="shared" si="0"/>
        <v>-1530.92</v>
      </c>
      <c r="K12" s="2"/>
    </row>
    <row r="13" spans="1:13" x14ac:dyDescent="0.15">
      <c r="A13" s="14" t="str">
        <f>risk_calc!C19</f>
        <v>20170406-SYPZ-A13-000905-SF-C-29</v>
      </c>
      <c r="C13" s="15">
        <f>risk_calc!P19</f>
        <v>0</v>
      </c>
      <c r="D13" s="29">
        <v>281150.11</v>
      </c>
      <c r="E13" s="15">
        <f t="shared" ref="E13:E15" si="1">D13+C13</f>
        <v>281150.11</v>
      </c>
      <c r="K13" s="2"/>
    </row>
    <row r="14" spans="1:13" x14ac:dyDescent="0.15">
      <c r="A14" s="14" t="str">
        <f>risk_calc!C20</f>
        <v>20170407-SYPZ-A14-000905-SF-C-94</v>
      </c>
      <c r="C14" s="15">
        <f>risk_calc!P20</f>
        <v>0</v>
      </c>
      <c r="D14" s="29">
        <v>16536.82</v>
      </c>
      <c r="E14" s="15">
        <f t="shared" ref="E14:E17" si="2">D14+C14</f>
        <v>16536.82</v>
      </c>
      <c r="M14" s="2"/>
    </row>
    <row r="15" spans="1:13" x14ac:dyDescent="0.15">
      <c r="A15" s="14" t="str">
        <f>risk_calc!C21</f>
        <v>20170421-SYPZ-A17-000905-SF-C-31</v>
      </c>
      <c r="C15" s="15">
        <f>risk_calc!P21</f>
        <v>0</v>
      </c>
      <c r="D15" s="29">
        <v>53288.25</v>
      </c>
      <c r="E15" s="15">
        <f t="shared" si="1"/>
        <v>53288.25</v>
      </c>
      <c r="L15" s="16"/>
      <c r="M15" s="2"/>
    </row>
    <row r="16" spans="1:13" x14ac:dyDescent="0.15">
      <c r="A16" s="14" t="str">
        <f>risk_calc!C22</f>
        <v>20170421-SYPZ-A18-000905-SF-P-31</v>
      </c>
      <c r="C16" s="15">
        <f>risk_calc!P22</f>
        <v>-7571.2085972133054</v>
      </c>
      <c r="D16" s="29">
        <v>3178.81</v>
      </c>
      <c r="E16" s="15">
        <f t="shared" si="2"/>
        <v>-4392.398597213305</v>
      </c>
      <c r="H16" s="20"/>
      <c r="M16" s="2"/>
    </row>
    <row r="17" spans="1:13" x14ac:dyDescent="0.15">
      <c r="A17" s="14" t="str">
        <f>risk_calc!C23</f>
        <v>20170427-SYPZ-A19-000905-SF-C-34</v>
      </c>
      <c r="C17" s="15">
        <f>risk_calc!P23</f>
        <v>0</v>
      </c>
      <c r="D17" s="29">
        <v>631131.82999999996</v>
      </c>
      <c r="E17" s="15">
        <f t="shared" si="2"/>
        <v>631131.82999999996</v>
      </c>
      <c r="M17" s="2"/>
    </row>
    <row r="18" spans="1:13" x14ac:dyDescent="0.15">
      <c r="A18" s="14" t="str">
        <f>risk_calc!C24</f>
        <v>20170428-SYPZ-A20-000905-VAN-C-31</v>
      </c>
      <c r="C18" s="15">
        <f>risk_calc!P24</f>
        <v>0</v>
      </c>
      <c r="D18" s="29">
        <v>132055.74</v>
      </c>
      <c r="E18" s="15">
        <f>D18+C18</f>
        <v>132055.74</v>
      </c>
      <c r="M18" s="2"/>
    </row>
    <row r="19" spans="1:13" x14ac:dyDescent="0.15">
      <c r="A19" s="14" t="str">
        <f>risk_calc!C25</f>
        <v>20170526-SYPZ-A26-000905-CPS-C-94-l1</v>
      </c>
      <c r="C19" s="15">
        <f>risk_calc!P25</f>
        <v>-233526.71061905802</v>
      </c>
      <c r="D19" s="29">
        <v>76375.16</v>
      </c>
      <c r="E19" s="15">
        <f t="shared" ref="E19" si="3">D19+C19</f>
        <v>-157151.55061905802</v>
      </c>
      <c r="M19" s="2"/>
    </row>
    <row r="20" spans="1:13" x14ac:dyDescent="0.15">
      <c r="A20" s="14" t="str">
        <f>risk_calc!C26</f>
        <v>20170526-SYPZ-A26-000905-CPS-C-94-l2</v>
      </c>
      <c r="C20" s="15">
        <f>risk_calc!P26</f>
        <v>27499.313358783886</v>
      </c>
      <c r="D20" s="29">
        <v>0</v>
      </c>
      <c r="E20" s="15">
        <f>D20+C20</f>
        <v>27499.313358783886</v>
      </c>
      <c r="M20" s="2"/>
    </row>
    <row r="21" spans="1:13" x14ac:dyDescent="0.15">
      <c r="A21" s="14" t="str">
        <f>risk_calc!C27</f>
        <v>20170526-SYPZ-A24-000905-SF-C-180</v>
      </c>
      <c r="C21" s="15">
        <f>risk_calc!P27</f>
        <v>0</v>
      </c>
      <c r="D21" s="29">
        <v>489434.73</v>
      </c>
      <c r="E21" s="15">
        <f t="shared" ref="E21" si="4">D21+C21</f>
        <v>489434.73</v>
      </c>
      <c r="M21" s="2"/>
    </row>
    <row r="22" spans="1:13" x14ac:dyDescent="0.15">
      <c r="A22" s="14" t="str">
        <f>risk_calc!C28</f>
        <v>20170601-SYPZ-A27-000905-VAN-C-60</v>
      </c>
      <c r="C22" s="15">
        <f>risk_calc!P28</f>
        <v>-914099.27308495156</v>
      </c>
      <c r="D22" s="29">
        <v>277513.26</v>
      </c>
      <c r="E22" s="15">
        <f t="shared" ref="E22" si="5">D22+C22</f>
        <v>-636586.01308495156</v>
      </c>
      <c r="M22" s="2"/>
    </row>
    <row r="23" spans="1:13" x14ac:dyDescent="0.15">
      <c r="A23" s="14" t="str">
        <f>risk_calc!C29</f>
        <v>20170602-SYPZ-A25-000905-SF-C-94</v>
      </c>
      <c r="C23" s="15">
        <f>risk_calc!P29</f>
        <v>-133132.32876712299</v>
      </c>
      <c r="D23" s="29">
        <v>97588.03</v>
      </c>
      <c r="E23" s="15">
        <f t="shared" ref="E23" si="6">D23+C23</f>
        <v>-35544.298767122993</v>
      </c>
      <c r="M23" s="2"/>
    </row>
    <row r="24" spans="1:13" x14ac:dyDescent="0.15">
      <c r="A24" s="14" t="str">
        <f>risk_calc!C30</f>
        <v>20170628-EDS-A30/A31-000905-DIG-C-30</v>
      </c>
      <c r="C24" s="15">
        <f>risk_calc!P30</f>
        <v>0</v>
      </c>
      <c r="D24" s="29">
        <v>-17136.9863013699</v>
      </c>
      <c r="E24" s="15">
        <f t="shared" ref="E24" si="7">D24+C24</f>
        <v>-17136.9863013699</v>
      </c>
      <c r="M24" s="2"/>
    </row>
    <row r="25" spans="1:13" x14ac:dyDescent="0.15">
      <c r="A25" s="14" t="str">
        <f>risk_calc!C31</f>
        <v>20170526-SYPZ-A24-000905-SF-C-180-EDS</v>
      </c>
      <c r="C25" s="15">
        <f>risk_calc!P31</f>
        <v>0</v>
      </c>
      <c r="D25" s="29">
        <v>-126000</v>
      </c>
      <c r="E25" s="15">
        <f t="shared" ref="E25:E26" si="8">D25+C25</f>
        <v>-126000</v>
      </c>
      <c r="M25" s="2"/>
    </row>
    <row r="26" spans="1:13" x14ac:dyDescent="0.15">
      <c r="A26" s="14" t="str">
        <f>risk_calc!C32</f>
        <v>20170628-SYPZ-A30/A31-000905-AC-182</v>
      </c>
      <c r="C26" s="15">
        <f>risk_calc!P32</f>
        <v>-84306.69</v>
      </c>
      <c r="D26" s="29"/>
      <c r="E26" s="15">
        <f t="shared" si="8"/>
        <v>-84306.69</v>
      </c>
      <c r="M26" s="2"/>
    </row>
    <row r="27" spans="1:13" x14ac:dyDescent="0.15">
      <c r="A27" s="14" t="str">
        <f>risk_calc!C33</f>
        <v>20170911-SYPZ-A33-000905-SF-C-30</v>
      </c>
      <c r="C27" s="15">
        <f>risk_calc!P33</f>
        <v>-4162.9672298791784</v>
      </c>
      <c r="D27" s="29">
        <v>31122.880000000001</v>
      </c>
      <c r="E27" s="15">
        <f t="shared" ref="E27" si="9">D27+C27</f>
        <v>26959.912770120824</v>
      </c>
    </row>
    <row r="28" spans="1:13" x14ac:dyDescent="0.15">
      <c r="A28" s="14" t="str">
        <f>risk_calc!C34</f>
        <v>20170921-SYPZ-A35-000905-Dig-P-32</v>
      </c>
      <c r="C28" s="15">
        <f>risk_calc!P34</f>
        <v>0</v>
      </c>
      <c r="D28" s="29">
        <v>10347.370000000001</v>
      </c>
      <c r="E28" s="15">
        <f t="shared" ref="E28:E29" si="10">D28+C28</f>
        <v>10347.370000000001</v>
      </c>
    </row>
    <row r="29" spans="1:13" x14ac:dyDescent="0.15">
      <c r="A29" s="14" t="str">
        <f>risk_calc!C35</f>
        <v>20170921-SYPZ-A34-000905-Dig-C-32</v>
      </c>
      <c r="C29" s="15">
        <f>risk_calc!P35</f>
        <v>-233923.06849315099</v>
      </c>
      <c r="D29" s="29">
        <v>132609.78</v>
      </c>
      <c r="E29" s="15">
        <f t="shared" si="10"/>
        <v>-101313.28849315099</v>
      </c>
    </row>
    <row r="30" spans="1:13" x14ac:dyDescent="0.15">
      <c r="A30" s="14" t="str">
        <f>risk_calc!C36</f>
        <v>20170927-SYPZ-A39-000905-SF-C-91</v>
      </c>
      <c r="C30" s="15" t="e">
        <f>risk_calc!P36</f>
        <v>#VALUE!</v>
      </c>
      <c r="D30" s="29">
        <v>101060.17</v>
      </c>
      <c r="E30" s="15" t="e">
        <f t="shared" ref="E30" si="11">D30+C30</f>
        <v>#VALUE!</v>
      </c>
    </row>
    <row r="31" spans="1:13" x14ac:dyDescent="0.15">
      <c r="A31" s="14" t="str">
        <f>risk_calc!C37</f>
        <v>20170929-SYPZ-A38-000905-AC-180</v>
      </c>
      <c r="C31" s="15">
        <f>risk_calc!P37</f>
        <v>318081</v>
      </c>
      <c r="D31" s="29"/>
      <c r="E31" s="15">
        <f t="shared" ref="E31" si="12">D31+C31</f>
        <v>318081</v>
      </c>
    </row>
    <row r="32" spans="1:13" x14ac:dyDescent="0.15">
      <c r="A32" s="14" t="str">
        <f>risk_calc!C38</f>
        <v>20171018-SYPZ-A40-000905-SF-C-33</v>
      </c>
      <c r="C32" s="15">
        <f>risk_calc!P38</f>
        <v>0</v>
      </c>
      <c r="D32" s="29">
        <v>9004.4599999999991</v>
      </c>
      <c r="E32" s="15">
        <f t="shared" ref="E32" si="13">D32+C32</f>
        <v>9004.4599999999991</v>
      </c>
    </row>
    <row r="33" spans="1:5" x14ac:dyDescent="0.15">
      <c r="A33" s="14" t="str">
        <f>risk_calc!C39</f>
        <v>20171213-SYPZ-A48-000905-Dig-P-33</v>
      </c>
      <c r="C33" s="15">
        <f ca="1">risk_calc!P39</f>
        <v>-4112.8174535585295</v>
      </c>
      <c r="D33" s="29">
        <v>2394.54</v>
      </c>
      <c r="E33" s="15">
        <f t="shared" ref="E33:E34" ca="1" si="14">D33+C33</f>
        <v>-1718.2774535585295</v>
      </c>
    </row>
    <row r="34" spans="1:5" x14ac:dyDescent="0.15">
      <c r="A34" s="14" t="str">
        <f>risk_calc!C40</f>
        <v>20171213-SYPZ-A47-000905-Dig-C-33</v>
      </c>
      <c r="C34" s="15">
        <f ca="1">risk_calc!P40</f>
        <v>0</v>
      </c>
      <c r="D34" s="29">
        <v>2329.5500000000002</v>
      </c>
      <c r="E34" s="15">
        <f t="shared" ca="1" si="14"/>
        <v>2329.5500000000002</v>
      </c>
    </row>
    <row r="35" spans="1:5" x14ac:dyDescent="0.15">
      <c r="A35" s="14" t="str">
        <f>risk_calc!C41</f>
        <v>20171227-SYPZ-A50-000905-Dig-P-33</v>
      </c>
      <c r="C35" s="15">
        <f ca="1">risk_calc!P41</f>
        <v>-632.2559423621783</v>
      </c>
      <c r="D35" s="29">
        <v>377.95</v>
      </c>
      <c r="E35" s="15">
        <f t="shared" ref="E35:E36" ca="1" si="15">D35+C35</f>
        <v>-254.30594236217831</v>
      </c>
    </row>
    <row r="36" spans="1:5" x14ac:dyDescent="0.15">
      <c r="A36" s="14" t="str">
        <f>risk_calc!C42</f>
        <v>20171227-SYPZ-A49-000905-Dig-C-33</v>
      </c>
      <c r="C36" s="15">
        <f ca="1">risk_calc!P42</f>
        <v>0</v>
      </c>
      <c r="D36" s="29">
        <v>5858.21</v>
      </c>
      <c r="E36" s="15">
        <f t="shared" ca="1" si="15"/>
        <v>5858.21</v>
      </c>
    </row>
    <row r="37" spans="1:5" x14ac:dyDescent="0.15">
      <c r="A37" s="14" t="str">
        <f>risk_calc!C43</f>
        <v>20180110-SYPZ-A51-000905-CPS-C-28-1</v>
      </c>
      <c r="C37" s="15">
        <f ca="1">risk_calc!P43</f>
        <v>0</v>
      </c>
      <c r="D37" s="29">
        <v>4090.34</v>
      </c>
      <c r="E37" s="15">
        <f t="shared" ref="E37:E40" ca="1" si="16">D37+C37</f>
        <v>4090.34</v>
      </c>
    </row>
    <row r="38" spans="1:5" x14ac:dyDescent="0.15">
      <c r="A38" s="14" t="str">
        <f>risk_calc!C44</f>
        <v>20180110-SYPZ-A51-000905-CPS-C-28-2</v>
      </c>
      <c r="C38" s="15">
        <f ca="1">risk_calc!P44</f>
        <v>0</v>
      </c>
      <c r="D38" s="29"/>
      <c r="E38" s="15">
        <f t="shared" ca="1" si="16"/>
        <v>0</v>
      </c>
    </row>
    <row r="39" spans="1:5" x14ac:dyDescent="0.15">
      <c r="A39" s="14" t="str">
        <f>risk_calc!C45</f>
        <v>20180110-SYPZ-A52-000905-CPS-P-28-1</v>
      </c>
      <c r="C39" s="15">
        <f ca="1">risk_calc!P45</f>
        <v>-83837.837717474715</v>
      </c>
      <c r="D39" s="29">
        <v>2101.5300000000002</v>
      </c>
      <c r="E39" s="15">
        <f t="shared" ca="1" si="16"/>
        <v>-81736.307717474716</v>
      </c>
    </row>
    <row r="40" spans="1:5" x14ac:dyDescent="0.15">
      <c r="A40" s="14" t="str">
        <f>risk_calc!C46</f>
        <v>20180110-SYPZ-A52-000905-CPS-P-28-2</v>
      </c>
      <c r="C40" s="15">
        <f ca="1">risk_calc!P46</f>
        <v>76254.515712879016</v>
      </c>
      <c r="D40" s="29"/>
      <c r="E40" s="15">
        <f t="shared" ca="1" si="16"/>
        <v>76254.515712879016</v>
      </c>
    </row>
  </sheetData>
  <mergeCells count="3">
    <mergeCell ref="F5:G5"/>
    <mergeCell ref="B5:E5"/>
    <mergeCell ref="A4:H4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J9"/>
  <sheetViews>
    <sheetView topLeftCell="A22" workbookViewId="0">
      <selection activeCell="J21" sqref="J21"/>
    </sheetView>
  </sheetViews>
  <sheetFormatPr defaultRowHeight="13.5" x14ac:dyDescent="0.15"/>
  <cols>
    <col min="2" max="2" width="10.5" bestFit="1" customWidth="1"/>
    <col min="3" max="3" width="10" customWidth="1"/>
    <col min="4" max="4" width="10.375" customWidth="1"/>
    <col min="10" max="10" width="17.25" bestFit="1" customWidth="1"/>
  </cols>
  <sheetData>
    <row r="4" spans="2:10" x14ac:dyDescent="0.15">
      <c r="B4" t="s">
        <v>32</v>
      </c>
      <c r="C4" t="s">
        <v>33</v>
      </c>
      <c r="D4" t="s">
        <v>35</v>
      </c>
    </row>
    <row r="5" spans="2:10" x14ac:dyDescent="0.15">
      <c r="B5" s="3">
        <v>42745</v>
      </c>
    </row>
    <row r="9" spans="2:10" x14ac:dyDescent="0.15">
      <c r="J9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N135"/>
  <sheetViews>
    <sheetView topLeftCell="C1" workbookViewId="0">
      <selection activeCell="K28" sqref="K27:K28"/>
    </sheetView>
  </sheetViews>
  <sheetFormatPr defaultRowHeight="13.5" x14ac:dyDescent="0.15"/>
  <cols>
    <col min="2" max="2" width="11.625" bestFit="1" customWidth="1"/>
    <col min="3" max="3" width="11.5" customWidth="1"/>
    <col min="4" max="4" width="8.5" customWidth="1"/>
    <col min="5" max="5" width="10.25" customWidth="1"/>
    <col min="6" max="6" width="11" customWidth="1"/>
    <col min="10" max="10" width="10.5" bestFit="1" customWidth="1"/>
    <col min="11" max="11" width="13.375" customWidth="1"/>
    <col min="12" max="12" width="12" customWidth="1"/>
    <col min="13" max="13" width="33.75" customWidth="1"/>
    <col min="14" max="14" width="28.625" customWidth="1"/>
  </cols>
  <sheetData>
    <row r="4" spans="2:14" x14ac:dyDescent="0.15">
      <c r="J4">
        <f>SUM(J6:J35)-J10</f>
        <v>4</v>
      </c>
      <c r="N4" s="13" t="e">
        <f>SUM(N6:N26)</f>
        <v>#N/A</v>
      </c>
    </row>
    <row r="5" spans="2:14" x14ac:dyDescent="0.15">
      <c r="B5" t="s">
        <v>99</v>
      </c>
      <c r="C5" t="s">
        <v>100</v>
      </c>
      <c r="D5" t="s">
        <v>101</v>
      </c>
      <c r="E5" t="s">
        <v>102</v>
      </c>
      <c r="F5" t="s">
        <v>103</v>
      </c>
      <c r="J5" t="s">
        <v>105</v>
      </c>
      <c r="K5" t="s">
        <v>104</v>
      </c>
      <c r="L5" t="s">
        <v>111</v>
      </c>
      <c r="M5" t="s">
        <v>109</v>
      </c>
      <c r="N5" t="s">
        <v>106</v>
      </c>
    </row>
    <row r="6" spans="2:14" x14ac:dyDescent="0.15">
      <c r="B6" s="3">
        <v>42790</v>
      </c>
      <c r="C6" t="s">
        <v>113</v>
      </c>
      <c r="D6">
        <v>1</v>
      </c>
      <c r="E6">
        <v>6405.6</v>
      </c>
      <c r="F6">
        <f t="shared" ref="F6:F12" si="0">E6*D6</f>
        <v>6405.6</v>
      </c>
      <c r="I6" t="s">
        <v>114</v>
      </c>
      <c r="J6">
        <f>SUMIF(C6:C50,"=ic1703",D6:D50)</f>
        <v>0</v>
      </c>
      <c r="K6" s="19">
        <f>SUMIF($C$6:C479,"=ic1703",$F$6:F479)*200</f>
        <v>-23400</v>
      </c>
      <c r="L6" s="12">
        <v>0</v>
      </c>
      <c r="M6" s="18">
        <f>J6*L6*200</f>
        <v>0</v>
      </c>
      <c r="N6" s="13">
        <f t="shared" ref="N6:N11" si="1">(M6-K6)</f>
        <v>23400</v>
      </c>
    </row>
    <row r="7" spans="2:14" x14ac:dyDescent="0.15">
      <c r="B7" s="3">
        <v>42810</v>
      </c>
      <c r="C7" t="s">
        <v>113</v>
      </c>
      <c r="D7">
        <v>-1</v>
      </c>
      <c r="E7">
        <v>6522.6</v>
      </c>
      <c r="F7">
        <f t="shared" si="0"/>
        <v>-6522.6</v>
      </c>
      <c r="I7" t="s">
        <v>121</v>
      </c>
      <c r="J7">
        <f>SUMIF(C6:C51,"=ic1704",D6:D51)</f>
        <v>0</v>
      </c>
      <c r="K7" s="19">
        <f>SUMIF($C$6:C480,"=ic1704",$F$6:F480)*200</f>
        <v>-32680.000000000109</v>
      </c>
      <c r="L7" s="12">
        <v>0</v>
      </c>
      <c r="M7" s="18">
        <f>J7*L7*200</f>
        <v>0</v>
      </c>
      <c r="N7" s="13">
        <f t="shared" si="1"/>
        <v>32680.000000000109</v>
      </c>
    </row>
    <row r="8" spans="2:14" x14ac:dyDescent="0.15">
      <c r="B8" s="3">
        <v>42810</v>
      </c>
      <c r="C8" t="s">
        <v>121</v>
      </c>
      <c r="D8">
        <v>1</v>
      </c>
      <c r="E8">
        <v>6434.2</v>
      </c>
      <c r="F8">
        <f t="shared" si="0"/>
        <v>6434.2</v>
      </c>
      <c r="I8" t="s">
        <v>130</v>
      </c>
      <c r="J8">
        <f>SUMIF(C7:C188,"=ic1705",D7:D188)</f>
        <v>0</v>
      </c>
      <c r="K8" s="19">
        <f>SUMIF($C$6:C481,"=ic1705",$F$6:F481)*200</f>
        <v>571889.19999999786</v>
      </c>
      <c r="L8" s="12">
        <v>0</v>
      </c>
      <c r="M8" s="18">
        <f>J8*L8*200</f>
        <v>0</v>
      </c>
      <c r="N8" s="13">
        <f t="shared" si="1"/>
        <v>-571889.19999999786</v>
      </c>
    </row>
    <row r="9" spans="2:14" x14ac:dyDescent="0.15">
      <c r="B9" s="3">
        <v>42810</v>
      </c>
      <c r="C9" t="s">
        <v>121</v>
      </c>
      <c r="D9">
        <v>1</v>
      </c>
      <c r="E9">
        <v>6468.8</v>
      </c>
      <c r="F9">
        <f t="shared" si="0"/>
        <v>6468.8</v>
      </c>
      <c r="I9" t="s">
        <v>127</v>
      </c>
      <c r="J9">
        <f>SUMIF(C7:C118,"=ic1706",D7:D118)</f>
        <v>0</v>
      </c>
      <c r="K9" s="19">
        <f>SUMIF($C$6:C482,"=ic1706",$F$6:F482)*200</f>
        <v>580092.39999999851</v>
      </c>
      <c r="L9" s="12">
        <v>0</v>
      </c>
      <c r="M9" s="18">
        <f>J9*L9*200</f>
        <v>0</v>
      </c>
      <c r="N9" s="13">
        <f t="shared" si="1"/>
        <v>-580092.39999999851</v>
      </c>
    </row>
    <row r="10" spans="2:14" x14ac:dyDescent="0.15">
      <c r="B10" s="3">
        <v>42821</v>
      </c>
      <c r="C10" t="s">
        <v>124</v>
      </c>
      <c r="D10">
        <v>-1</v>
      </c>
      <c r="E10">
        <v>6478</v>
      </c>
      <c r="F10">
        <f t="shared" si="0"/>
        <v>-6478</v>
      </c>
      <c r="I10" t="s">
        <v>133</v>
      </c>
      <c r="J10">
        <f>SUMIF(C8:C53,"=mau(t+d)",D8:D53)</f>
        <v>0</v>
      </c>
      <c r="K10" s="19">
        <f>SUMIF($C$6:C483,"=mau(t+d)",$F$6:F483)*100</f>
        <v>858.99600000002465</v>
      </c>
      <c r="L10" s="12">
        <v>0</v>
      </c>
      <c r="M10" s="18">
        <f>J10*L10*100</f>
        <v>0</v>
      </c>
      <c r="N10" s="13">
        <f t="shared" si="1"/>
        <v>-858.99600000002465</v>
      </c>
    </row>
    <row r="11" spans="2:14" x14ac:dyDescent="0.15">
      <c r="B11" s="3">
        <v>42830</v>
      </c>
      <c r="C11" t="s">
        <v>121</v>
      </c>
      <c r="D11">
        <v>-1</v>
      </c>
      <c r="E11">
        <v>6523.8</v>
      </c>
      <c r="F11">
        <f t="shared" si="0"/>
        <v>-6523.8</v>
      </c>
      <c r="I11" t="s">
        <v>155</v>
      </c>
      <c r="J11">
        <f>SUMIF(C9:C173,"ic1709",D9:D173)</f>
        <v>0</v>
      </c>
      <c r="K11" s="19">
        <f>SUMIF($C$6:C484,"=ic1709",$F$6:F484)*200</f>
        <v>-824372.00000000233</v>
      </c>
      <c r="L11" s="12">
        <v>0</v>
      </c>
      <c r="M11" s="18">
        <f t="shared" ref="M11:M16" si="2">J11*L11*200</f>
        <v>0</v>
      </c>
      <c r="N11" s="13">
        <f t="shared" si="1"/>
        <v>824372.00000000233</v>
      </c>
    </row>
    <row r="12" spans="2:14" x14ac:dyDescent="0.15">
      <c r="B12" s="3">
        <v>42830</v>
      </c>
      <c r="C12" t="s">
        <v>127</v>
      </c>
      <c r="D12">
        <v>1</v>
      </c>
      <c r="E12">
        <v>6433.2</v>
      </c>
      <c r="F12">
        <f t="shared" si="0"/>
        <v>6433.2</v>
      </c>
      <c r="I12" t="s">
        <v>166</v>
      </c>
      <c r="J12">
        <f>SUMIF(C10:C174,"ic1707",D10:D174)</f>
        <v>0</v>
      </c>
      <c r="K12" s="19">
        <f>SUMIF($C$6:C485,"=ic1707",$F$6:F485)*200</f>
        <v>-41591.999999999825</v>
      </c>
      <c r="L12" s="12">
        <v>0</v>
      </c>
      <c r="M12" s="18">
        <f t="shared" si="2"/>
        <v>0</v>
      </c>
      <c r="N12" s="13">
        <f t="shared" ref="N12" si="3">(M12-K12)</f>
        <v>41591.999999999825</v>
      </c>
    </row>
    <row r="13" spans="2:14" x14ac:dyDescent="0.15">
      <c r="B13" s="3">
        <v>42831</v>
      </c>
      <c r="C13" t="s">
        <v>129</v>
      </c>
      <c r="D13">
        <v>1</v>
      </c>
      <c r="E13">
        <v>6536.2</v>
      </c>
      <c r="F13">
        <f t="shared" ref="F13" si="4">E13*D13</f>
        <v>6536.2</v>
      </c>
      <c r="I13" t="s">
        <v>176</v>
      </c>
      <c r="J13">
        <f>SUMIF(C11:C175,"ic1712",D11:D175)</f>
        <v>0</v>
      </c>
      <c r="K13" s="19">
        <f>SUMIF($C$6:C486,"=ic1712",$F$6:F486)*200</f>
        <v>160210.99999999933</v>
      </c>
      <c r="L13" s="12">
        <v>0</v>
      </c>
      <c r="M13" s="18">
        <f t="shared" si="2"/>
        <v>0</v>
      </c>
      <c r="N13" s="13">
        <f t="shared" ref="N13" si="5">(M13-K13)</f>
        <v>-160210.99999999933</v>
      </c>
    </row>
    <row r="14" spans="2:14" x14ac:dyDescent="0.15">
      <c r="B14" s="3">
        <v>42831</v>
      </c>
      <c r="C14" t="s">
        <v>130</v>
      </c>
      <c r="D14">
        <v>4</v>
      </c>
      <c r="E14">
        <v>6486.3540000000003</v>
      </c>
      <c r="F14">
        <f t="shared" ref="F14" si="6">E14*D14</f>
        <v>25945.416000000001</v>
      </c>
      <c r="I14" t="s">
        <v>181</v>
      </c>
      <c r="J14">
        <f>SUMIF(C12:C176,"ic1708",D12:D176)</f>
        <v>0</v>
      </c>
      <c r="K14" s="19">
        <f>SUMIF($C$6:C487,"=ic1708",$F$6:F487)*200</f>
        <v>-31279.999999999927</v>
      </c>
      <c r="L14" s="12">
        <v>0</v>
      </c>
      <c r="M14" s="18">
        <f t="shared" si="2"/>
        <v>0</v>
      </c>
      <c r="N14" s="13">
        <f t="shared" ref="N14" si="7">(M14-K14)</f>
        <v>31279.999999999927</v>
      </c>
    </row>
    <row r="15" spans="2:14" x14ac:dyDescent="0.15">
      <c r="B15" s="3">
        <v>42836</v>
      </c>
      <c r="C15" t="s">
        <v>131</v>
      </c>
      <c r="D15">
        <v>1</v>
      </c>
      <c r="E15">
        <v>6499.6</v>
      </c>
      <c r="F15">
        <f t="shared" ref="F15:F16" si="8">E15*D15</f>
        <v>6499.6</v>
      </c>
      <c r="I15" t="s">
        <v>215</v>
      </c>
      <c r="J15">
        <f>SUMIF(C13:C277,"ic1803",D13:D277)</f>
        <v>1</v>
      </c>
      <c r="K15" s="19">
        <f>SUMIF($C$6:C488,"=ic1803",$F$6:F488)*200</f>
        <v>1286880</v>
      </c>
      <c r="L15" s="12" t="e">
        <f>RTD("wdf.rtq",,I15,"LastPrice")</f>
        <v>#N/A</v>
      </c>
      <c r="M15" s="18" t="e">
        <f t="shared" si="2"/>
        <v>#N/A</v>
      </c>
      <c r="N15" s="13" t="e">
        <f t="shared" ref="N15" si="9">(M15-K15)</f>
        <v>#N/A</v>
      </c>
    </row>
    <row r="16" spans="2:14" x14ac:dyDescent="0.15">
      <c r="B16" s="3">
        <v>42837</v>
      </c>
      <c r="C16" t="s">
        <v>132</v>
      </c>
      <c r="D16">
        <v>6</v>
      </c>
      <c r="E16">
        <v>284.57666</v>
      </c>
      <c r="F16">
        <f t="shared" si="8"/>
        <v>1707.4599600000001</v>
      </c>
      <c r="I16" t="s">
        <v>201</v>
      </c>
      <c r="J16">
        <f>SUMIF(C14:C278,"ic1711",D14:D278)</f>
        <v>0</v>
      </c>
      <c r="K16" s="19">
        <f>SUMIF($C$6:C489,"=ic1711",$F$6:F489)*200</f>
        <v>-6519.999999999709</v>
      </c>
      <c r="L16" s="12">
        <v>0</v>
      </c>
      <c r="M16" s="18">
        <f t="shared" si="2"/>
        <v>0</v>
      </c>
      <c r="N16" s="13">
        <f t="shared" ref="N16:N17" si="10">(M16-K16)</f>
        <v>6519.999999999709</v>
      </c>
    </row>
    <row r="17" spans="2:14" x14ac:dyDescent="0.15">
      <c r="B17" s="3">
        <v>42838</v>
      </c>
      <c r="C17" t="s">
        <v>132</v>
      </c>
      <c r="D17">
        <v>1</v>
      </c>
      <c r="E17">
        <v>286.39999999999998</v>
      </c>
      <c r="F17">
        <f t="shared" ref="F17:F18" si="11">E17*D17</f>
        <v>286.39999999999998</v>
      </c>
      <c r="I17" t="s">
        <v>212</v>
      </c>
      <c r="J17">
        <f>SUMIF(C15:C279,"ic1801",D15:D279)</f>
        <v>3</v>
      </c>
      <c r="K17" s="19">
        <f>SUMIF($C$6:C490,"=ic1801",$F$6:F490)*200</f>
        <v>3731812.8</v>
      </c>
      <c r="L17" s="12">
        <f>RTD("wdf.rtq",,I17,"LastPrice")</f>
        <v>6423.2</v>
      </c>
      <c r="M17" s="18">
        <f t="shared" ref="M17" si="12">J17*L17*200</f>
        <v>3853919.9999999995</v>
      </c>
      <c r="N17" s="13">
        <f t="shared" si="10"/>
        <v>122107.19999999972</v>
      </c>
    </row>
    <row r="18" spans="2:14" x14ac:dyDescent="0.15">
      <c r="B18" s="3">
        <v>42838</v>
      </c>
      <c r="C18" t="s">
        <v>127</v>
      </c>
      <c r="D18">
        <v>1</v>
      </c>
      <c r="E18">
        <v>6502.7</v>
      </c>
      <c r="F18">
        <f t="shared" si="11"/>
        <v>6502.7</v>
      </c>
    </row>
    <row r="19" spans="2:14" x14ac:dyDescent="0.15">
      <c r="B19" s="3">
        <v>42838</v>
      </c>
      <c r="C19" t="s">
        <v>134</v>
      </c>
      <c r="D19">
        <v>-1</v>
      </c>
      <c r="E19">
        <v>6600.8</v>
      </c>
      <c r="F19">
        <f t="shared" ref="F19:F20" si="13">E19*D19</f>
        <v>-6600.8</v>
      </c>
    </row>
    <row r="20" spans="2:14" x14ac:dyDescent="0.15">
      <c r="B20" s="3">
        <v>42838</v>
      </c>
      <c r="C20" t="s">
        <v>135</v>
      </c>
      <c r="D20">
        <v>1</v>
      </c>
      <c r="E20">
        <v>6546.8</v>
      </c>
      <c r="F20">
        <f t="shared" si="13"/>
        <v>6546.8</v>
      </c>
    </row>
    <row r="21" spans="2:14" x14ac:dyDescent="0.15">
      <c r="B21" s="3">
        <v>42839</v>
      </c>
      <c r="C21" t="s">
        <v>136</v>
      </c>
      <c r="D21">
        <v>-1</v>
      </c>
      <c r="E21">
        <v>6403.8</v>
      </c>
      <c r="F21">
        <f t="shared" ref="F21" si="14">E21*D21</f>
        <v>-6403.8</v>
      </c>
    </row>
    <row r="22" spans="2:14" x14ac:dyDescent="0.15">
      <c r="B22" s="3">
        <v>42842</v>
      </c>
      <c r="C22" t="s">
        <v>137</v>
      </c>
      <c r="D22">
        <v>-1</v>
      </c>
      <c r="E22">
        <v>6438.8</v>
      </c>
      <c r="F22">
        <f t="shared" ref="F22:F24" si="15">E22*D22</f>
        <v>-6438.8</v>
      </c>
    </row>
    <row r="23" spans="2:14" x14ac:dyDescent="0.15">
      <c r="B23" s="3">
        <v>42842</v>
      </c>
      <c r="C23" t="s">
        <v>137</v>
      </c>
      <c r="D23">
        <v>-1</v>
      </c>
      <c r="E23">
        <v>6397</v>
      </c>
      <c r="F23">
        <f t="shared" si="15"/>
        <v>-6397</v>
      </c>
    </row>
    <row r="24" spans="2:14" x14ac:dyDescent="0.15">
      <c r="B24" s="3">
        <v>42842</v>
      </c>
      <c r="C24" t="s">
        <v>137</v>
      </c>
      <c r="D24">
        <v>-1</v>
      </c>
      <c r="E24">
        <v>6397</v>
      </c>
      <c r="F24">
        <f t="shared" si="15"/>
        <v>-6397</v>
      </c>
    </row>
    <row r="25" spans="2:14" x14ac:dyDescent="0.15">
      <c r="B25" s="3">
        <v>42843</v>
      </c>
      <c r="C25" t="s">
        <v>138</v>
      </c>
      <c r="D25">
        <v>1</v>
      </c>
      <c r="E25">
        <v>6401</v>
      </c>
      <c r="F25">
        <f t="shared" ref="F25" si="16">E25*D25</f>
        <v>6401</v>
      </c>
    </row>
    <row r="26" spans="2:14" x14ac:dyDescent="0.15">
      <c r="B26" s="3">
        <v>42843</v>
      </c>
      <c r="C26" t="s">
        <v>139</v>
      </c>
      <c r="D26">
        <v>-1</v>
      </c>
      <c r="E26">
        <v>6335</v>
      </c>
      <c r="F26">
        <f t="shared" ref="F26:F28" si="17">E26*D26</f>
        <v>-6335</v>
      </c>
    </row>
    <row r="27" spans="2:14" x14ac:dyDescent="0.15">
      <c r="B27" s="3">
        <v>42843</v>
      </c>
      <c r="C27" t="s">
        <v>140</v>
      </c>
      <c r="D27">
        <v>-1</v>
      </c>
      <c r="E27">
        <v>6279.6</v>
      </c>
      <c r="F27">
        <f t="shared" si="17"/>
        <v>-6279.6</v>
      </c>
    </row>
    <row r="28" spans="2:14" x14ac:dyDescent="0.15">
      <c r="B28" s="3">
        <v>42849</v>
      </c>
      <c r="C28" t="s">
        <v>132</v>
      </c>
      <c r="D28">
        <v>-7</v>
      </c>
      <c r="E28">
        <v>283.61</v>
      </c>
      <c r="F28">
        <f t="shared" si="17"/>
        <v>-1985.27</v>
      </c>
    </row>
    <row r="29" spans="2:14" x14ac:dyDescent="0.15">
      <c r="B29" s="3">
        <v>42849</v>
      </c>
      <c r="C29" t="s">
        <v>144</v>
      </c>
      <c r="D29">
        <v>-1</v>
      </c>
      <c r="E29">
        <v>6108.4</v>
      </c>
      <c r="F29">
        <f t="shared" ref="F29:F30" si="18">E29*D29</f>
        <v>-6108.4</v>
      </c>
    </row>
    <row r="30" spans="2:14" x14ac:dyDescent="0.15">
      <c r="B30" s="3">
        <v>42849</v>
      </c>
      <c r="C30" t="s">
        <v>145</v>
      </c>
      <c r="D30">
        <v>-1</v>
      </c>
      <c r="E30">
        <v>6075.8</v>
      </c>
      <c r="F30">
        <f t="shared" si="18"/>
        <v>-6075.8</v>
      </c>
    </row>
    <row r="31" spans="2:14" x14ac:dyDescent="0.15">
      <c r="B31" s="3">
        <v>42852</v>
      </c>
      <c r="C31" t="s">
        <v>130</v>
      </c>
      <c r="D31">
        <v>3</v>
      </c>
      <c r="E31">
        <v>6160.2</v>
      </c>
      <c r="F31">
        <f t="shared" ref="F31:F32" si="19">E31*D31</f>
        <v>18480.599999999999</v>
      </c>
    </row>
    <row r="32" spans="2:14" x14ac:dyDescent="0.15">
      <c r="B32" s="3">
        <v>42852</v>
      </c>
      <c r="C32" t="s">
        <v>127</v>
      </c>
      <c r="D32">
        <v>6</v>
      </c>
      <c r="E32">
        <v>6131.933</v>
      </c>
      <c r="F32">
        <f t="shared" si="19"/>
        <v>36791.597999999998</v>
      </c>
    </row>
    <row r="33" spans="2:10" x14ac:dyDescent="0.15">
      <c r="B33" s="3">
        <v>42853</v>
      </c>
      <c r="C33" t="s">
        <v>130</v>
      </c>
      <c r="D33">
        <v>1</v>
      </c>
      <c r="E33">
        <v>6170.8</v>
      </c>
      <c r="F33">
        <f t="shared" ref="F33" si="20">E33*D33</f>
        <v>6170.8</v>
      </c>
    </row>
    <row r="34" spans="2:10" x14ac:dyDescent="0.15">
      <c r="B34" s="3">
        <v>42853</v>
      </c>
      <c r="C34" t="s">
        <v>130</v>
      </c>
      <c r="D34">
        <v>1</v>
      </c>
      <c r="E34">
        <v>6174.2</v>
      </c>
      <c r="F34">
        <f t="shared" ref="F34" si="21">E34*D34</f>
        <v>6174.2</v>
      </c>
    </row>
    <row r="35" spans="2:10" x14ac:dyDescent="0.15">
      <c r="B35" s="3">
        <v>42853</v>
      </c>
      <c r="C35" t="s">
        <v>127</v>
      </c>
      <c r="D35">
        <v>1</v>
      </c>
      <c r="E35">
        <v>6141.8</v>
      </c>
      <c r="F35">
        <f t="shared" ref="F35" si="22">E35*D35</f>
        <v>6141.8</v>
      </c>
    </row>
    <row r="36" spans="2:10" x14ac:dyDescent="0.15">
      <c r="B36" s="3">
        <v>42857</v>
      </c>
      <c r="C36" t="s">
        <v>147</v>
      </c>
      <c r="D36">
        <v>1</v>
      </c>
      <c r="E36">
        <v>6167.6</v>
      </c>
      <c r="F36">
        <f t="shared" ref="F36" si="23">E36*D36</f>
        <v>6167.6</v>
      </c>
    </row>
    <row r="37" spans="2:10" x14ac:dyDescent="0.15">
      <c r="B37" s="3">
        <v>42859</v>
      </c>
      <c r="C37" t="s">
        <v>148</v>
      </c>
      <c r="D37">
        <v>1</v>
      </c>
      <c r="E37">
        <v>6168.2</v>
      </c>
      <c r="F37">
        <f t="shared" ref="F37" si="24">E37*D37</f>
        <v>6168.2</v>
      </c>
    </row>
    <row r="38" spans="2:10" x14ac:dyDescent="0.15">
      <c r="B38" s="3">
        <v>42860</v>
      </c>
      <c r="C38" t="s">
        <v>127</v>
      </c>
      <c r="D38">
        <v>-1</v>
      </c>
      <c r="E38">
        <v>6011.4</v>
      </c>
      <c r="F38">
        <f t="shared" ref="F38:F41" si="25">E38*D38</f>
        <v>-6011.4</v>
      </c>
    </row>
    <row r="39" spans="2:10" x14ac:dyDescent="0.15">
      <c r="B39" s="3">
        <v>42860</v>
      </c>
      <c r="C39" t="s">
        <v>135</v>
      </c>
      <c r="D39">
        <v>-1</v>
      </c>
      <c r="E39">
        <v>6050.2</v>
      </c>
      <c r="F39">
        <f t="shared" si="25"/>
        <v>-6050.2</v>
      </c>
    </row>
    <row r="40" spans="2:10" x14ac:dyDescent="0.15">
      <c r="B40" s="3">
        <v>42860</v>
      </c>
      <c r="C40" t="s">
        <v>135</v>
      </c>
      <c r="D40">
        <v>-1</v>
      </c>
      <c r="E40">
        <v>6055.4</v>
      </c>
      <c r="F40">
        <f t="shared" si="25"/>
        <v>-6055.4</v>
      </c>
    </row>
    <row r="41" spans="2:10" x14ac:dyDescent="0.15">
      <c r="B41" s="3">
        <v>42863</v>
      </c>
      <c r="C41" t="s">
        <v>149</v>
      </c>
      <c r="D41">
        <v>-1</v>
      </c>
      <c r="E41">
        <v>5977.6</v>
      </c>
      <c r="F41">
        <f t="shared" si="25"/>
        <v>-5977.6</v>
      </c>
    </row>
    <row r="42" spans="2:10" x14ac:dyDescent="0.15">
      <c r="B42" s="3">
        <v>42863</v>
      </c>
      <c r="C42" t="s">
        <v>130</v>
      </c>
      <c r="D42">
        <v>-1</v>
      </c>
      <c r="E42">
        <v>6008.4</v>
      </c>
      <c r="F42">
        <f t="shared" ref="F42:F43" si="26">E42*D42</f>
        <v>-6008.4</v>
      </c>
    </row>
    <row r="43" spans="2:10" x14ac:dyDescent="0.15">
      <c r="B43" s="3">
        <v>42863</v>
      </c>
      <c r="C43" t="s">
        <v>149</v>
      </c>
      <c r="D43">
        <v>-1</v>
      </c>
      <c r="E43">
        <v>5927</v>
      </c>
      <c r="F43">
        <f t="shared" si="26"/>
        <v>-5927</v>
      </c>
    </row>
    <row r="44" spans="2:10" x14ac:dyDescent="0.15">
      <c r="B44" s="3">
        <v>42863</v>
      </c>
      <c r="C44" t="s">
        <v>130</v>
      </c>
      <c r="D44">
        <v>-1</v>
      </c>
      <c r="E44">
        <v>5965</v>
      </c>
      <c r="F44">
        <f t="shared" ref="F44" si="27">E44*D44</f>
        <v>-5965</v>
      </c>
    </row>
    <row r="45" spans="2:10" x14ac:dyDescent="0.15">
      <c r="B45" s="3">
        <v>42865</v>
      </c>
      <c r="C45" t="s">
        <v>150</v>
      </c>
      <c r="D45">
        <v>-5</v>
      </c>
      <c r="E45">
        <v>5805.52</v>
      </c>
      <c r="F45">
        <f t="shared" ref="F45" si="28">E45*D45</f>
        <v>-29027.600000000002</v>
      </c>
    </row>
    <row r="46" spans="2:10" x14ac:dyDescent="0.15">
      <c r="B46" s="3">
        <v>42865</v>
      </c>
      <c r="C46" t="s">
        <v>135</v>
      </c>
      <c r="D46">
        <v>2</v>
      </c>
      <c r="E46">
        <v>5852.8</v>
      </c>
      <c r="F46">
        <f t="shared" ref="F46:F64" si="29">E46*D46</f>
        <v>11705.6</v>
      </c>
    </row>
    <row r="47" spans="2:10" x14ac:dyDescent="0.15">
      <c r="B47" s="3">
        <v>42866</v>
      </c>
      <c r="C47" t="s">
        <v>151</v>
      </c>
      <c r="D47">
        <v>-3</v>
      </c>
      <c r="E47">
        <v>5780.6</v>
      </c>
      <c r="F47">
        <f t="shared" si="29"/>
        <v>-17341.800000000003</v>
      </c>
      <c r="J47" s="3"/>
    </row>
    <row r="48" spans="2:10" x14ac:dyDescent="0.15">
      <c r="B48" s="3">
        <v>42866</v>
      </c>
      <c r="C48" t="s">
        <v>151</v>
      </c>
      <c r="D48">
        <v>-1</v>
      </c>
      <c r="E48">
        <v>5785.17</v>
      </c>
      <c r="F48">
        <f t="shared" si="29"/>
        <v>-5785.17</v>
      </c>
      <c r="J48" s="3"/>
    </row>
    <row r="49" spans="2:10" x14ac:dyDescent="0.15">
      <c r="B49" s="3">
        <v>42866</v>
      </c>
      <c r="C49" t="s">
        <v>149</v>
      </c>
      <c r="D49">
        <v>1</v>
      </c>
      <c r="E49">
        <v>5715.1639999999998</v>
      </c>
      <c r="F49">
        <f t="shared" si="29"/>
        <v>5715.1639999999998</v>
      </c>
      <c r="J49" s="3"/>
    </row>
    <row r="50" spans="2:10" x14ac:dyDescent="0.15">
      <c r="B50" s="3">
        <v>42871</v>
      </c>
      <c r="C50" s="8" t="s">
        <v>152</v>
      </c>
      <c r="D50" s="8">
        <v>1</v>
      </c>
      <c r="E50" s="8">
        <v>5973.2</v>
      </c>
      <c r="F50">
        <f t="shared" si="29"/>
        <v>5973.2</v>
      </c>
    </row>
    <row r="51" spans="2:10" x14ac:dyDescent="0.15">
      <c r="B51" s="3">
        <v>42871</v>
      </c>
      <c r="C51" s="8" t="s">
        <v>153</v>
      </c>
      <c r="D51" s="8">
        <v>1</v>
      </c>
      <c r="E51" s="8">
        <v>5855</v>
      </c>
      <c r="F51">
        <f t="shared" si="29"/>
        <v>5855</v>
      </c>
    </row>
    <row r="52" spans="2:10" x14ac:dyDescent="0.15">
      <c r="B52" s="3">
        <v>42871</v>
      </c>
      <c r="C52" s="8" t="s">
        <v>152</v>
      </c>
      <c r="D52" s="8">
        <v>1</v>
      </c>
      <c r="E52" s="8">
        <v>5979.4</v>
      </c>
      <c r="F52">
        <f t="shared" si="29"/>
        <v>5979.4</v>
      </c>
    </row>
    <row r="53" spans="2:10" x14ac:dyDescent="0.15">
      <c r="B53" s="3">
        <v>42871</v>
      </c>
      <c r="C53" s="8" t="s">
        <v>152</v>
      </c>
      <c r="D53" s="8">
        <v>1</v>
      </c>
      <c r="E53" s="8">
        <v>5953.8</v>
      </c>
      <c r="F53">
        <f t="shared" si="29"/>
        <v>5953.8</v>
      </c>
    </row>
    <row r="54" spans="2:10" x14ac:dyDescent="0.15">
      <c r="B54" s="3">
        <v>42871</v>
      </c>
      <c r="C54" s="8" t="s">
        <v>154</v>
      </c>
      <c r="D54" s="8">
        <v>-1</v>
      </c>
      <c r="E54" s="8">
        <v>5996</v>
      </c>
      <c r="F54">
        <f t="shared" si="29"/>
        <v>-5996</v>
      </c>
    </row>
    <row r="55" spans="2:10" x14ac:dyDescent="0.15">
      <c r="B55" s="3">
        <v>42871</v>
      </c>
      <c r="C55" s="8" t="s">
        <v>152</v>
      </c>
      <c r="D55" s="8">
        <v>1</v>
      </c>
      <c r="E55" s="8">
        <v>5952.8</v>
      </c>
      <c r="F55">
        <f t="shared" si="29"/>
        <v>5952.8</v>
      </c>
    </row>
    <row r="56" spans="2:10" x14ac:dyDescent="0.15">
      <c r="B56" s="3">
        <v>42871</v>
      </c>
      <c r="C56" s="8" t="s">
        <v>154</v>
      </c>
      <c r="D56" s="8">
        <v>-1</v>
      </c>
      <c r="E56" s="8">
        <v>5996</v>
      </c>
      <c r="F56">
        <f t="shared" si="29"/>
        <v>-5996</v>
      </c>
    </row>
    <row r="57" spans="2:10" x14ac:dyDescent="0.15">
      <c r="B57" s="3">
        <v>42871</v>
      </c>
      <c r="C57" s="8" t="s">
        <v>152</v>
      </c>
      <c r="D57" s="8">
        <v>1</v>
      </c>
      <c r="E57" s="8">
        <v>5929</v>
      </c>
      <c r="F57">
        <f t="shared" si="29"/>
        <v>5929</v>
      </c>
    </row>
    <row r="58" spans="2:10" x14ac:dyDescent="0.15">
      <c r="B58" s="3">
        <v>42871</v>
      </c>
      <c r="C58" s="8" t="s">
        <v>154</v>
      </c>
      <c r="D58" s="8">
        <v>-1</v>
      </c>
      <c r="E58" s="8">
        <v>5973.8</v>
      </c>
      <c r="F58">
        <f t="shared" si="29"/>
        <v>-5973.8</v>
      </c>
    </row>
    <row r="59" spans="2:10" x14ac:dyDescent="0.15">
      <c r="B59" s="3">
        <v>42872</v>
      </c>
      <c r="C59" t="s">
        <v>154</v>
      </c>
      <c r="D59">
        <v>1</v>
      </c>
      <c r="E59">
        <v>6037.4</v>
      </c>
      <c r="F59">
        <f t="shared" si="29"/>
        <v>6037.4</v>
      </c>
    </row>
    <row r="60" spans="2:10" x14ac:dyDescent="0.15">
      <c r="B60" s="3">
        <v>42873</v>
      </c>
      <c r="C60" t="s">
        <v>153</v>
      </c>
      <c r="D60" s="8">
        <v>-1</v>
      </c>
      <c r="E60">
        <v>5810.8</v>
      </c>
      <c r="F60">
        <f t="shared" si="29"/>
        <v>-5810.8</v>
      </c>
    </row>
    <row r="61" spans="2:10" x14ac:dyDescent="0.15">
      <c r="B61" s="3">
        <v>42873</v>
      </c>
      <c r="C61" t="s">
        <v>152</v>
      </c>
      <c r="D61" s="8">
        <v>-1</v>
      </c>
      <c r="E61">
        <v>5911.8</v>
      </c>
      <c r="F61">
        <f t="shared" si="29"/>
        <v>-5911.8</v>
      </c>
    </row>
    <row r="62" spans="2:10" x14ac:dyDescent="0.15">
      <c r="B62" s="3">
        <v>42873</v>
      </c>
      <c r="C62" t="s">
        <v>152</v>
      </c>
      <c r="D62" s="8">
        <v>-1</v>
      </c>
      <c r="E62">
        <v>5984.6</v>
      </c>
      <c r="F62">
        <f t="shared" si="29"/>
        <v>-5984.6</v>
      </c>
    </row>
    <row r="63" spans="2:10" x14ac:dyDescent="0.15">
      <c r="B63" s="3">
        <v>42873</v>
      </c>
      <c r="C63" t="s">
        <v>154</v>
      </c>
      <c r="D63" s="8">
        <v>1</v>
      </c>
      <c r="E63">
        <v>6022.6</v>
      </c>
      <c r="F63">
        <f t="shared" si="29"/>
        <v>6022.6</v>
      </c>
    </row>
    <row r="64" spans="2:10" x14ac:dyDescent="0.15">
      <c r="B64" s="3">
        <v>42877</v>
      </c>
      <c r="C64" t="s">
        <v>156</v>
      </c>
      <c r="D64" s="8">
        <v>-1</v>
      </c>
      <c r="E64">
        <v>5723</v>
      </c>
      <c r="F64">
        <f t="shared" si="29"/>
        <v>-5723</v>
      </c>
    </row>
    <row r="65" spans="2:6" x14ac:dyDescent="0.15">
      <c r="B65" s="3">
        <v>42877</v>
      </c>
      <c r="C65" t="s">
        <v>156</v>
      </c>
      <c r="D65" s="8">
        <v>-1</v>
      </c>
      <c r="E65">
        <v>5698</v>
      </c>
      <c r="F65">
        <f t="shared" ref="F65:F66" si="30">E65*D65</f>
        <v>-5698</v>
      </c>
    </row>
    <row r="66" spans="2:6" x14ac:dyDescent="0.15">
      <c r="B66" s="3">
        <v>42877</v>
      </c>
      <c r="C66" t="s">
        <v>157</v>
      </c>
      <c r="D66" s="8">
        <v>-1</v>
      </c>
      <c r="E66">
        <v>5819.8</v>
      </c>
      <c r="F66">
        <f t="shared" si="30"/>
        <v>-5819.8</v>
      </c>
    </row>
    <row r="67" spans="2:6" x14ac:dyDescent="0.15">
      <c r="B67" s="3">
        <v>42878</v>
      </c>
      <c r="C67" t="s">
        <v>157</v>
      </c>
      <c r="D67" s="8">
        <v>-1</v>
      </c>
      <c r="E67">
        <v>5821.8</v>
      </c>
      <c r="F67">
        <f t="shared" ref="F67" si="31">E67*D67</f>
        <v>-5821.8</v>
      </c>
    </row>
    <row r="68" spans="2:6" x14ac:dyDescent="0.15">
      <c r="B68" s="3">
        <v>42879</v>
      </c>
      <c r="C68" t="s">
        <v>159</v>
      </c>
      <c r="D68" s="8">
        <v>1</v>
      </c>
      <c r="E68">
        <v>5631</v>
      </c>
      <c r="F68">
        <f t="shared" ref="F68:F69" si="32">E68*D68</f>
        <v>5631</v>
      </c>
    </row>
    <row r="69" spans="2:6" x14ac:dyDescent="0.15">
      <c r="B69" s="3">
        <v>42881</v>
      </c>
      <c r="C69" t="s">
        <v>157</v>
      </c>
      <c r="D69" s="8">
        <v>1</v>
      </c>
      <c r="E69">
        <v>5810.6</v>
      </c>
      <c r="F69">
        <f t="shared" si="32"/>
        <v>5810.6</v>
      </c>
    </row>
    <row r="70" spans="2:6" x14ac:dyDescent="0.15">
      <c r="B70" s="3">
        <v>42881</v>
      </c>
      <c r="C70" t="s">
        <v>156</v>
      </c>
      <c r="D70" s="8">
        <v>1</v>
      </c>
      <c r="E70">
        <v>5693.6</v>
      </c>
      <c r="F70">
        <f t="shared" ref="F70:F72" si="33">E70*D70</f>
        <v>5693.6</v>
      </c>
    </row>
    <row r="71" spans="2:6" x14ac:dyDescent="0.15">
      <c r="B71" s="3">
        <v>42886</v>
      </c>
      <c r="C71" t="s">
        <v>156</v>
      </c>
      <c r="D71" s="8">
        <v>-1</v>
      </c>
      <c r="E71" s="8">
        <v>5656.6</v>
      </c>
      <c r="F71">
        <f t="shared" si="33"/>
        <v>-5656.6</v>
      </c>
    </row>
    <row r="72" spans="2:6" x14ac:dyDescent="0.15">
      <c r="B72" s="3">
        <v>42886</v>
      </c>
      <c r="C72" t="s">
        <v>156</v>
      </c>
      <c r="D72" s="8">
        <v>-1</v>
      </c>
      <c r="E72" s="8">
        <v>5654.2</v>
      </c>
      <c r="F72">
        <f t="shared" si="33"/>
        <v>-5654.2</v>
      </c>
    </row>
    <row r="73" spans="2:6" x14ac:dyDescent="0.15">
      <c r="B73" s="3">
        <v>42887</v>
      </c>
      <c r="C73" t="s">
        <v>157</v>
      </c>
      <c r="D73" s="8">
        <v>1</v>
      </c>
      <c r="E73" s="8">
        <v>5783.6</v>
      </c>
      <c r="F73">
        <f t="shared" ref="F73" si="34">E73*D73</f>
        <v>5783.6</v>
      </c>
    </row>
    <row r="74" spans="2:6" x14ac:dyDescent="0.15">
      <c r="B74" s="3">
        <v>42887</v>
      </c>
      <c r="C74" t="s">
        <v>157</v>
      </c>
      <c r="D74" s="8">
        <v>1</v>
      </c>
      <c r="E74" s="8">
        <v>5699.4</v>
      </c>
      <c r="F74">
        <f t="shared" ref="F74:F75" si="35">E74*D74</f>
        <v>5699.4</v>
      </c>
    </row>
    <row r="75" spans="2:6" x14ac:dyDescent="0.15">
      <c r="B75" s="3">
        <v>42887</v>
      </c>
      <c r="C75" t="s">
        <v>156</v>
      </c>
      <c r="D75" s="8">
        <v>1</v>
      </c>
      <c r="E75" s="8">
        <v>5552.2</v>
      </c>
      <c r="F75">
        <f t="shared" si="35"/>
        <v>5552.2</v>
      </c>
    </row>
    <row r="76" spans="2:6" x14ac:dyDescent="0.15">
      <c r="B76" s="3">
        <v>42888</v>
      </c>
      <c r="C76" t="s">
        <v>156</v>
      </c>
      <c r="D76" s="8">
        <v>1</v>
      </c>
      <c r="E76" s="8">
        <v>5563.8</v>
      </c>
      <c r="F76">
        <f t="shared" ref="F76" si="36">E76*D76</f>
        <v>5563.8</v>
      </c>
    </row>
    <row r="77" spans="2:6" x14ac:dyDescent="0.15">
      <c r="B77" s="3">
        <v>42888</v>
      </c>
      <c r="C77" t="s">
        <v>157</v>
      </c>
      <c r="D77" s="8">
        <v>-1</v>
      </c>
      <c r="E77" s="8">
        <v>5667.4</v>
      </c>
      <c r="F77">
        <f t="shared" ref="F77:F78" si="37">E77*D77</f>
        <v>-5667.4</v>
      </c>
    </row>
    <row r="78" spans="2:6" x14ac:dyDescent="0.15">
      <c r="B78" s="3">
        <v>42888</v>
      </c>
      <c r="C78" t="s">
        <v>156</v>
      </c>
      <c r="D78" s="8">
        <v>1</v>
      </c>
      <c r="E78" s="8">
        <v>5558.8</v>
      </c>
      <c r="F78">
        <f t="shared" si="37"/>
        <v>5558.8</v>
      </c>
    </row>
    <row r="79" spans="2:6" x14ac:dyDescent="0.15">
      <c r="B79" s="3">
        <v>42888</v>
      </c>
      <c r="C79" t="s">
        <v>157</v>
      </c>
      <c r="D79" s="8">
        <v>-1</v>
      </c>
      <c r="E79" s="8">
        <v>5676</v>
      </c>
      <c r="F79">
        <f t="shared" ref="F79:F80" si="38">E79*D79</f>
        <v>-5676</v>
      </c>
    </row>
    <row r="80" spans="2:6" x14ac:dyDescent="0.15">
      <c r="B80" s="3">
        <v>42888</v>
      </c>
      <c r="C80" t="s">
        <v>156</v>
      </c>
      <c r="D80" s="8">
        <v>1</v>
      </c>
      <c r="E80" s="8">
        <v>5564.8</v>
      </c>
      <c r="F80">
        <f t="shared" si="38"/>
        <v>5564.8</v>
      </c>
    </row>
    <row r="81" spans="2:6" x14ac:dyDescent="0.15">
      <c r="B81" s="3">
        <v>42888</v>
      </c>
      <c r="C81" t="s">
        <v>156</v>
      </c>
      <c r="D81" s="8">
        <v>1</v>
      </c>
      <c r="E81" s="8">
        <v>5610.8</v>
      </c>
      <c r="F81">
        <f t="shared" ref="F81" si="39">E81*D81</f>
        <v>5610.8</v>
      </c>
    </row>
    <row r="82" spans="2:6" x14ac:dyDescent="0.15">
      <c r="B82" s="3">
        <v>42888</v>
      </c>
      <c r="C82" t="s">
        <v>156</v>
      </c>
      <c r="D82" s="8">
        <v>1</v>
      </c>
      <c r="E82" s="8">
        <v>5644</v>
      </c>
      <c r="F82">
        <f t="shared" ref="F82:F83" si="40">E82*D82</f>
        <v>5644</v>
      </c>
    </row>
    <row r="83" spans="2:6" x14ac:dyDescent="0.15">
      <c r="B83" s="3">
        <v>42893</v>
      </c>
      <c r="C83" t="s">
        <v>157</v>
      </c>
      <c r="D83" s="8">
        <v>-1</v>
      </c>
      <c r="E83" s="8">
        <v>5948</v>
      </c>
      <c r="F83">
        <f t="shared" si="40"/>
        <v>-5948</v>
      </c>
    </row>
    <row r="84" spans="2:6" x14ac:dyDescent="0.15">
      <c r="B84" s="3">
        <v>42893</v>
      </c>
      <c r="C84" t="s">
        <v>165</v>
      </c>
      <c r="D84" s="8">
        <v>1</v>
      </c>
      <c r="E84" s="8">
        <v>5904</v>
      </c>
      <c r="F84">
        <f t="shared" ref="F84" si="41">E84*D84</f>
        <v>5904</v>
      </c>
    </row>
    <row r="85" spans="2:6" x14ac:dyDescent="0.15">
      <c r="B85" s="3">
        <v>42893</v>
      </c>
      <c r="C85" t="s">
        <v>165</v>
      </c>
      <c r="D85" s="8">
        <v>1</v>
      </c>
      <c r="E85" s="8">
        <v>5901.2</v>
      </c>
      <c r="F85">
        <f t="shared" ref="F85:F86" si="42">E85*D85</f>
        <v>5901.2</v>
      </c>
    </row>
    <row r="86" spans="2:6" x14ac:dyDescent="0.15">
      <c r="B86" s="3">
        <v>42893</v>
      </c>
      <c r="C86" t="s">
        <v>156</v>
      </c>
      <c r="D86" s="8">
        <v>1</v>
      </c>
      <c r="E86" s="8">
        <v>5832</v>
      </c>
      <c r="F86">
        <f t="shared" si="42"/>
        <v>5832</v>
      </c>
    </row>
    <row r="87" spans="2:6" x14ac:dyDescent="0.15">
      <c r="B87" s="3">
        <v>42894</v>
      </c>
      <c r="C87" t="s">
        <v>157</v>
      </c>
      <c r="D87" s="8">
        <v>-1</v>
      </c>
      <c r="E87" s="8">
        <v>5942.4</v>
      </c>
      <c r="F87">
        <f t="shared" ref="F87:F88" si="43">E87*D87</f>
        <v>-5942.4</v>
      </c>
    </row>
    <row r="88" spans="2:6" x14ac:dyDescent="0.15">
      <c r="B88" s="3">
        <v>42898</v>
      </c>
      <c r="C88" t="s">
        <v>156</v>
      </c>
      <c r="D88" s="8">
        <v>1</v>
      </c>
      <c r="E88" s="8">
        <v>5790.2</v>
      </c>
      <c r="F88">
        <f t="shared" si="43"/>
        <v>5790.2</v>
      </c>
    </row>
    <row r="89" spans="2:6" x14ac:dyDescent="0.15">
      <c r="B89" s="3">
        <v>42898</v>
      </c>
      <c r="C89" t="s">
        <v>157</v>
      </c>
      <c r="D89" s="8">
        <v>-1</v>
      </c>
      <c r="E89" s="8">
        <v>5903.6</v>
      </c>
      <c r="F89">
        <f t="shared" ref="F89" si="44">E89*D89</f>
        <v>-5903.6</v>
      </c>
    </row>
    <row r="90" spans="2:6" x14ac:dyDescent="0.15">
      <c r="B90" s="3">
        <v>42905</v>
      </c>
      <c r="C90" t="s">
        <v>165</v>
      </c>
      <c r="D90" s="8">
        <v>1</v>
      </c>
      <c r="E90" s="8">
        <v>6002</v>
      </c>
      <c r="F90">
        <f t="shared" ref="F90" si="45">E90*D90</f>
        <v>6002</v>
      </c>
    </row>
    <row r="91" spans="2:6" x14ac:dyDescent="0.15">
      <c r="B91" s="3">
        <v>42906</v>
      </c>
      <c r="C91" t="s">
        <v>165</v>
      </c>
      <c r="D91" s="8">
        <v>-1</v>
      </c>
      <c r="E91" s="8">
        <v>6036.8</v>
      </c>
      <c r="F91">
        <f t="shared" ref="F91" si="46">E91*D91</f>
        <v>-6036.8</v>
      </c>
    </row>
    <row r="92" spans="2:6" x14ac:dyDescent="0.15">
      <c r="B92" s="3">
        <v>42914</v>
      </c>
      <c r="C92" t="s">
        <v>169</v>
      </c>
      <c r="D92" s="8">
        <v>1</v>
      </c>
      <c r="E92" s="35">
        <v>5962.2</v>
      </c>
      <c r="F92">
        <f t="shared" ref="F92:F93" si="47">E92*D92</f>
        <v>5962.2</v>
      </c>
    </row>
    <row r="93" spans="2:6" x14ac:dyDescent="0.15">
      <c r="B93" s="3">
        <v>42927</v>
      </c>
      <c r="C93" t="s">
        <v>153</v>
      </c>
      <c r="D93">
        <v>-1</v>
      </c>
      <c r="E93">
        <v>6075.8</v>
      </c>
      <c r="F93">
        <f t="shared" si="47"/>
        <v>-6075.8</v>
      </c>
    </row>
    <row r="94" spans="2:6" x14ac:dyDescent="0.15">
      <c r="B94" s="3">
        <v>42933</v>
      </c>
      <c r="C94" t="s">
        <v>153</v>
      </c>
      <c r="D94">
        <v>1</v>
      </c>
      <c r="E94">
        <v>5847.2</v>
      </c>
      <c r="F94">
        <f t="shared" ref="F94:F96" si="48">E94*D94</f>
        <v>5847.2</v>
      </c>
    </row>
    <row r="95" spans="2:6" x14ac:dyDescent="0.15">
      <c r="B95" s="3">
        <v>42935</v>
      </c>
      <c r="C95" t="s">
        <v>153</v>
      </c>
      <c r="D95">
        <v>1</v>
      </c>
      <c r="E95">
        <v>5817.4</v>
      </c>
      <c r="F95">
        <f t="shared" ref="F95:F97" si="49">E95*D95</f>
        <v>5817.4</v>
      </c>
    </row>
    <row r="96" spans="2:6" x14ac:dyDescent="0.15">
      <c r="B96" s="3">
        <v>42935</v>
      </c>
      <c r="C96" t="s">
        <v>170</v>
      </c>
      <c r="D96">
        <v>-2</v>
      </c>
      <c r="E96">
        <v>5989.18</v>
      </c>
      <c r="F96">
        <f t="shared" si="48"/>
        <v>-11978.36</v>
      </c>
    </row>
    <row r="97" spans="2:10" x14ac:dyDescent="0.15">
      <c r="B97" s="3">
        <v>42935</v>
      </c>
      <c r="C97" t="s">
        <v>153</v>
      </c>
      <c r="D97">
        <v>2</v>
      </c>
      <c r="E97">
        <v>5873.47</v>
      </c>
      <c r="F97">
        <f t="shared" si="49"/>
        <v>11746.94</v>
      </c>
    </row>
    <row r="98" spans="2:10" x14ac:dyDescent="0.15">
      <c r="B98" s="3">
        <v>42937</v>
      </c>
      <c r="C98" t="s">
        <v>153</v>
      </c>
      <c r="D98">
        <v>-1</v>
      </c>
      <c r="E98">
        <v>5984</v>
      </c>
      <c r="F98">
        <f t="shared" ref="F98:F99" si="50">E98*D98</f>
        <v>-5984</v>
      </c>
    </row>
    <row r="99" spans="2:10" x14ac:dyDescent="0.15">
      <c r="B99" s="3">
        <v>42941</v>
      </c>
      <c r="C99" t="s">
        <v>175</v>
      </c>
      <c r="D99">
        <v>1</v>
      </c>
      <c r="E99">
        <v>5875.6</v>
      </c>
      <c r="F99">
        <f t="shared" si="50"/>
        <v>5875.6</v>
      </c>
    </row>
    <row r="100" spans="2:10" x14ac:dyDescent="0.15">
      <c r="B100" s="3">
        <v>42947</v>
      </c>
      <c r="C100" t="s">
        <v>153</v>
      </c>
      <c r="D100">
        <v>-8</v>
      </c>
      <c r="E100">
        <v>6216.6</v>
      </c>
      <c r="F100">
        <f t="shared" ref="F100" si="51">E100*D100</f>
        <v>-49732.800000000003</v>
      </c>
    </row>
    <row r="101" spans="2:10" x14ac:dyDescent="0.15">
      <c r="B101" s="3">
        <v>42948</v>
      </c>
      <c r="C101" t="s">
        <v>153</v>
      </c>
      <c r="D101">
        <v>-1</v>
      </c>
      <c r="E101">
        <v>6199</v>
      </c>
      <c r="F101">
        <f t="shared" ref="F101" si="52">E101*D101</f>
        <v>-6199</v>
      </c>
    </row>
    <row r="102" spans="2:10" x14ac:dyDescent="0.15">
      <c r="B102" s="3">
        <v>42948</v>
      </c>
      <c r="C102" t="s">
        <v>153</v>
      </c>
      <c r="D102">
        <v>-1</v>
      </c>
      <c r="E102">
        <v>6168.2</v>
      </c>
      <c r="F102">
        <f t="shared" ref="F102" si="53">E102*D102</f>
        <v>-6168.2</v>
      </c>
    </row>
    <row r="103" spans="2:10" x14ac:dyDescent="0.15">
      <c r="B103" s="3">
        <v>42957</v>
      </c>
      <c r="C103" t="s">
        <v>153</v>
      </c>
      <c r="D103">
        <v>-1</v>
      </c>
      <c r="E103">
        <v>6211</v>
      </c>
      <c r="F103">
        <f t="shared" ref="F103" si="54">E103*D103</f>
        <v>-6211</v>
      </c>
    </row>
    <row r="104" spans="2:10" x14ac:dyDescent="0.15">
      <c r="B104" s="3">
        <v>42958</v>
      </c>
      <c r="C104" t="s">
        <v>180</v>
      </c>
      <c r="D104">
        <v>1</v>
      </c>
      <c r="E104">
        <v>6137.6</v>
      </c>
      <c r="F104">
        <f t="shared" ref="F104" si="55">E104*D104</f>
        <v>6137.6</v>
      </c>
    </row>
    <row r="105" spans="2:10" x14ac:dyDescent="0.15">
      <c r="B105" s="3">
        <v>42963</v>
      </c>
      <c r="C105" t="s">
        <v>156</v>
      </c>
      <c r="D105">
        <v>-1</v>
      </c>
      <c r="E105">
        <v>6240</v>
      </c>
      <c r="F105">
        <f t="shared" ref="F105" si="56">E105*D105</f>
        <v>-6240</v>
      </c>
    </row>
    <row r="106" spans="2:10" x14ac:dyDescent="0.15">
      <c r="B106" s="3">
        <v>42963</v>
      </c>
      <c r="C106" t="s">
        <v>180</v>
      </c>
      <c r="D106">
        <v>-1</v>
      </c>
      <c r="E106">
        <v>6294</v>
      </c>
      <c r="F106">
        <f t="shared" ref="F106:F107" si="57">E106*D106</f>
        <v>-6294</v>
      </c>
    </row>
    <row r="107" spans="2:10" x14ac:dyDescent="0.15">
      <c r="B107" s="3">
        <v>42963</v>
      </c>
      <c r="C107" t="s">
        <v>175</v>
      </c>
      <c r="D107">
        <v>1</v>
      </c>
      <c r="E107">
        <v>6108</v>
      </c>
      <c r="F107">
        <f t="shared" si="57"/>
        <v>6108</v>
      </c>
    </row>
    <row r="108" spans="2:10" x14ac:dyDescent="0.15">
      <c r="B108" s="3">
        <v>42963</v>
      </c>
      <c r="C108" t="s">
        <v>155</v>
      </c>
      <c r="D108">
        <v>1</v>
      </c>
      <c r="E108">
        <v>6323.4</v>
      </c>
      <c r="F108">
        <f t="shared" ref="F108:F110" si="58">E108*D108</f>
        <v>6323.4</v>
      </c>
      <c r="J108" s="3"/>
    </row>
    <row r="109" spans="2:10" x14ac:dyDescent="0.15">
      <c r="B109" s="3">
        <v>42968</v>
      </c>
      <c r="C109" t="s">
        <v>175</v>
      </c>
      <c r="D109">
        <v>-1</v>
      </c>
      <c r="E109">
        <v>6211.4</v>
      </c>
      <c r="F109">
        <f t="shared" si="58"/>
        <v>-6211.4</v>
      </c>
      <c r="J109" s="3"/>
    </row>
    <row r="110" spans="2:10" x14ac:dyDescent="0.15">
      <c r="B110" s="3">
        <v>42968</v>
      </c>
      <c r="C110" t="s">
        <v>155</v>
      </c>
      <c r="D110">
        <v>1</v>
      </c>
      <c r="E110">
        <v>6358.8</v>
      </c>
      <c r="F110">
        <f t="shared" si="58"/>
        <v>6358.8</v>
      </c>
      <c r="J110" s="3"/>
    </row>
    <row r="111" spans="2:10" x14ac:dyDescent="0.15">
      <c r="B111" s="3">
        <v>42968</v>
      </c>
      <c r="C111" t="s">
        <v>176</v>
      </c>
      <c r="D111">
        <v>-1</v>
      </c>
      <c r="E111">
        <v>6151</v>
      </c>
      <c r="F111">
        <f t="shared" ref="F111" si="59">E111*D111</f>
        <v>-6151</v>
      </c>
    </row>
    <row r="112" spans="2:10" x14ac:dyDescent="0.15">
      <c r="B112" s="3">
        <v>42975</v>
      </c>
      <c r="C112" t="s">
        <v>155</v>
      </c>
      <c r="D112">
        <v>-1</v>
      </c>
      <c r="E112">
        <v>6417.8</v>
      </c>
      <c r="F112">
        <f t="shared" ref="F112" si="60">E112*D112</f>
        <v>-6417.8</v>
      </c>
    </row>
    <row r="113" spans="2:6" x14ac:dyDescent="0.15">
      <c r="B113" s="3">
        <v>42976</v>
      </c>
      <c r="C113" t="s">
        <v>176</v>
      </c>
      <c r="D113">
        <v>-1</v>
      </c>
      <c r="E113">
        <v>6265.8</v>
      </c>
      <c r="F113">
        <f t="shared" ref="F113" si="61">E113*D113</f>
        <v>-6265.8</v>
      </c>
    </row>
    <row r="114" spans="2:6" x14ac:dyDescent="0.15">
      <c r="B114" s="3">
        <v>42982</v>
      </c>
      <c r="C114" t="s">
        <v>155</v>
      </c>
      <c r="D114">
        <v>1</v>
      </c>
      <c r="E114">
        <v>6548.6</v>
      </c>
      <c r="F114">
        <f t="shared" ref="F114:F115" si="62">E114*D114</f>
        <v>6548.6</v>
      </c>
    </row>
    <row r="115" spans="2:6" x14ac:dyDescent="0.15">
      <c r="B115" s="3">
        <v>42982</v>
      </c>
      <c r="C115" t="s">
        <v>176</v>
      </c>
      <c r="D115">
        <v>1</v>
      </c>
      <c r="E115">
        <v>6430</v>
      </c>
      <c r="F115">
        <f t="shared" si="62"/>
        <v>6430</v>
      </c>
    </row>
    <row r="116" spans="2:6" x14ac:dyDescent="0.15">
      <c r="B116" s="37">
        <v>42982</v>
      </c>
      <c r="C116" s="38" t="s">
        <v>155</v>
      </c>
      <c r="D116" s="38">
        <v>1</v>
      </c>
      <c r="E116" s="38">
        <v>6548.6</v>
      </c>
      <c r="F116" s="38">
        <f t="shared" ref="F116:F117" si="63">E116*D116</f>
        <v>6548.6</v>
      </c>
    </row>
    <row r="117" spans="2:6" x14ac:dyDescent="0.15">
      <c r="B117" s="37">
        <v>42982</v>
      </c>
      <c r="C117" s="38" t="s">
        <v>176</v>
      </c>
      <c r="D117" s="38">
        <v>-1</v>
      </c>
      <c r="E117" s="38">
        <v>6428.2</v>
      </c>
      <c r="F117" s="38">
        <f t="shared" si="63"/>
        <v>-6428.2</v>
      </c>
    </row>
    <row r="118" spans="2:6" x14ac:dyDescent="0.15">
      <c r="B118" s="37">
        <v>42983</v>
      </c>
      <c r="C118" s="38" t="s">
        <v>176</v>
      </c>
      <c r="D118" s="38">
        <v>1</v>
      </c>
      <c r="E118" s="38">
        <v>6422.8</v>
      </c>
      <c r="F118" s="38">
        <f t="shared" ref="F118" si="64">E118*D118</f>
        <v>6422.8</v>
      </c>
    </row>
    <row r="119" spans="2:6" x14ac:dyDescent="0.15">
      <c r="B119" s="37">
        <v>42999</v>
      </c>
      <c r="C119" s="38" t="s">
        <v>176</v>
      </c>
      <c r="D119" s="38">
        <v>1</v>
      </c>
      <c r="E119" s="38">
        <v>6535</v>
      </c>
      <c r="F119" s="38">
        <f t="shared" ref="F119:F120" si="65">E119*D119</f>
        <v>6535</v>
      </c>
    </row>
    <row r="120" spans="2:6" x14ac:dyDescent="0.15">
      <c r="B120" s="3">
        <v>43004</v>
      </c>
      <c r="C120" s="38" t="s">
        <v>176</v>
      </c>
      <c r="D120" s="38">
        <v>1</v>
      </c>
      <c r="E120" s="38">
        <v>6415.2</v>
      </c>
      <c r="F120" s="38">
        <f t="shared" si="65"/>
        <v>6415.2</v>
      </c>
    </row>
    <row r="121" spans="2:6" x14ac:dyDescent="0.15">
      <c r="B121" s="3">
        <v>43005</v>
      </c>
      <c r="C121" s="38" t="s">
        <v>198</v>
      </c>
      <c r="D121" s="38">
        <v>1</v>
      </c>
      <c r="E121" s="38">
        <v>6434.4</v>
      </c>
      <c r="F121" s="38">
        <f t="shared" ref="F121:F124" si="66">E121*D121</f>
        <v>6434.4</v>
      </c>
    </row>
    <row r="122" spans="2:6" x14ac:dyDescent="0.15">
      <c r="B122" s="3">
        <v>43007</v>
      </c>
      <c r="C122" s="38" t="s">
        <v>176</v>
      </c>
      <c r="D122" s="38">
        <v>1</v>
      </c>
      <c r="E122" s="38">
        <v>6539</v>
      </c>
      <c r="F122" s="38">
        <f t="shared" si="66"/>
        <v>6539</v>
      </c>
    </row>
    <row r="123" spans="2:6" x14ac:dyDescent="0.15">
      <c r="B123" s="3">
        <v>43007</v>
      </c>
      <c r="C123" s="38" t="s">
        <v>176</v>
      </c>
      <c r="D123" s="38">
        <v>1</v>
      </c>
      <c r="E123" s="38">
        <v>6542</v>
      </c>
      <c r="F123" s="38">
        <f t="shared" si="66"/>
        <v>6542</v>
      </c>
    </row>
    <row r="124" spans="2:6" x14ac:dyDescent="0.15">
      <c r="B124" s="3">
        <v>43007</v>
      </c>
      <c r="C124" s="38" t="s">
        <v>176</v>
      </c>
      <c r="D124" s="38">
        <v>1</v>
      </c>
      <c r="E124" s="38">
        <v>6536.2</v>
      </c>
      <c r="F124" s="38">
        <f t="shared" si="66"/>
        <v>6536.2</v>
      </c>
    </row>
    <row r="125" spans="2:6" x14ac:dyDescent="0.15">
      <c r="B125" s="3">
        <v>43026</v>
      </c>
      <c r="C125" s="38" t="s">
        <v>176</v>
      </c>
      <c r="D125" s="38">
        <v>1</v>
      </c>
      <c r="E125" s="38">
        <v>6475</v>
      </c>
      <c r="F125" s="38">
        <f t="shared" ref="F125" si="67">E125*D125</f>
        <v>6475</v>
      </c>
    </row>
    <row r="126" spans="2:6" x14ac:dyDescent="0.15">
      <c r="B126" s="3">
        <v>43028</v>
      </c>
      <c r="C126" s="38" t="s">
        <v>176</v>
      </c>
      <c r="D126" s="38">
        <v>1</v>
      </c>
      <c r="E126" s="38">
        <v>6507.2</v>
      </c>
      <c r="F126" s="38">
        <f t="shared" ref="F126:F129" si="68">E126*D126</f>
        <v>6507.2</v>
      </c>
    </row>
    <row r="127" spans="2:6" x14ac:dyDescent="0.15">
      <c r="B127" s="3">
        <v>43031</v>
      </c>
      <c r="C127" s="38" t="s">
        <v>176</v>
      </c>
      <c r="D127" s="38">
        <v>3</v>
      </c>
      <c r="E127" s="38">
        <v>6504.8670000000002</v>
      </c>
      <c r="F127" s="38">
        <f t="shared" si="68"/>
        <v>19514.601000000002</v>
      </c>
    </row>
    <row r="128" spans="2:6" x14ac:dyDescent="0.15">
      <c r="B128" s="3">
        <v>43031</v>
      </c>
      <c r="C128" s="38" t="s">
        <v>176</v>
      </c>
      <c r="D128" s="38">
        <v>-6</v>
      </c>
      <c r="E128" s="38">
        <v>6536.067</v>
      </c>
      <c r="F128" s="38">
        <f t="shared" si="68"/>
        <v>-39216.402000000002</v>
      </c>
    </row>
    <row r="129" spans="2:6" x14ac:dyDescent="0.15">
      <c r="B129" s="3">
        <v>43031</v>
      </c>
      <c r="C129" s="38" t="s">
        <v>201</v>
      </c>
      <c r="D129" s="38">
        <v>2</v>
      </c>
      <c r="E129" s="38">
        <v>6564.1</v>
      </c>
      <c r="F129" s="38">
        <f t="shared" si="68"/>
        <v>13128.2</v>
      </c>
    </row>
    <row r="130" spans="2:6" x14ac:dyDescent="0.15">
      <c r="B130" s="3">
        <v>43031</v>
      </c>
      <c r="C130" s="38" t="s">
        <v>201</v>
      </c>
      <c r="D130" s="38">
        <v>-2</v>
      </c>
      <c r="E130" s="38">
        <v>6580.4</v>
      </c>
      <c r="F130" s="38">
        <f t="shared" ref="F130:F131" si="69">E130*D130</f>
        <v>-13160.8</v>
      </c>
    </row>
    <row r="131" spans="2:6" x14ac:dyDescent="0.15">
      <c r="B131" s="3">
        <v>43052</v>
      </c>
      <c r="C131" s="38" t="s">
        <v>204</v>
      </c>
      <c r="D131" s="38">
        <v>1</v>
      </c>
      <c r="E131" s="38">
        <v>6616.6</v>
      </c>
      <c r="F131" s="38">
        <f t="shared" si="69"/>
        <v>6616.6</v>
      </c>
    </row>
    <row r="132" spans="2:6" x14ac:dyDescent="0.15">
      <c r="B132" s="3">
        <v>43054</v>
      </c>
      <c r="C132" s="38" t="s">
        <v>204</v>
      </c>
      <c r="D132" s="38">
        <v>-1</v>
      </c>
      <c r="E132" s="38">
        <v>6541.2</v>
      </c>
      <c r="F132" s="38">
        <f t="shared" ref="F132" si="70">E132*D132</f>
        <v>-6541.2</v>
      </c>
    </row>
    <row r="133" spans="2:6" x14ac:dyDescent="0.15">
      <c r="B133" s="3">
        <v>43066</v>
      </c>
      <c r="C133" s="38" t="s">
        <v>176</v>
      </c>
      <c r="D133" s="38">
        <v>-1</v>
      </c>
      <c r="E133" s="38">
        <v>6135.2</v>
      </c>
      <c r="F133" s="38">
        <f t="shared" ref="F133" si="71">E133*D133</f>
        <v>-6135.2</v>
      </c>
    </row>
    <row r="134" spans="2:6" x14ac:dyDescent="0.15">
      <c r="B134" s="3">
        <v>43083</v>
      </c>
      <c r="C134" s="38" t="s">
        <v>176</v>
      </c>
      <c r="D134" s="38">
        <v>-3</v>
      </c>
      <c r="E134" s="38">
        <v>6255.6480000000001</v>
      </c>
      <c r="F134" s="38">
        <f t="shared" ref="F134:F135" si="72">E134*D134</f>
        <v>-18766.944</v>
      </c>
    </row>
    <row r="135" spans="2:6" x14ac:dyDescent="0.15">
      <c r="B135" s="3">
        <v>43083</v>
      </c>
      <c r="C135" s="38" t="s">
        <v>212</v>
      </c>
      <c r="D135" s="38">
        <v>3</v>
      </c>
      <c r="E135" s="38">
        <v>6219.6880000000001</v>
      </c>
      <c r="F135" s="38">
        <f t="shared" si="72"/>
        <v>18659.063999999998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2"/>
  <sheetViews>
    <sheetView workbookViewId="0">
      <selection activeCell="O21" sqref="O21"/>
    </sheetView>
  </sheetViews>
  <sheetFormatPr defaultRowHeight="13.5" x14ac:dyDescent="0.15"/>
  <cols>
    <col min="3" max="3" width="20.5" customWidth="1"/>
    <col min="7" max="7" width="12.25" customWidth="1"/>
  </cols>
  <sheetData>
    <row r="1" spans="1:11" x14ac:dyDescent="0.15">
      <c r="A1" s="8" t="s">
        <v>153</v>
      </c>
      <c r="B1" t="s">
        <v>191</v>
      </c>
      <c r="C1" s="3">
        <v>42871</v>
      </c>
      <c r="D1" s="8">
        <v>1</v>
      </c>
      <c r="E1" s="8">
        <v>5855</v>
      </c>
      <c r="G1" s="3">
        <v>42871</v>
      </c>
      <c r="H1" s="8" t="s">
        <v>153</v>
      </c>
      <c r="I1" s="8">
        <v>1</v>
      </c>
      <c r="J1" s="8">
        <v>5855</v>
      </c>
      <c r="K1">
        <v>5855</v>
      </c>
    </row>
    <row r="2" spans="1:11" x14ac:dyDescent="0.15">
      <c r="A2" t="s">
        <v>153</v>
      </c>
      <c r="B2" t="s">
        <v>191</v>
      </c>
      <c r="C2" s="3">
        <v>42873</v>
      </c>
      <c r="D2">
        <v>-1</v>
      </c>
      <c r="E2">
        <v>5810.8</v>
      </c>
      <c r="G2" s="3">
        <v>42873</v>
      </c>
      <c r="H2" t="s">
        <v>153</v>
      </c>
      <c r="I2" s="8">
        <v>-1</v>
      </c>
      <c r="J2">
        <v>5810.8</v>
      </c>
      <c r="K2">
        <v>-5810.8</v>
      </c>
    </row>
    <row r="3" spans="1:11" x14ac:dyDescent="0.15">
      <c r="A3" t="s">
        <v>159</v>
      </c>
      <c r="B3" t="s">
        <v>192</v>
      </c>
      <c r="C3" s="3">
        <v>42877</v>
      </c>
      <c r="D3" s="8">
        <v>-1</v>
      </c>
      <c r="E3">
        <v>5723</v>
      </c>
      <c r="G3" s="3">
        <v>42877</v>
      </c>
      <c r="H3" t="s">
        <v>156</v>
      </c>
      <c r="I3" s="8">
        <v>-1</v>
      </c>
      <c r="J3">
        <v>5723</v>
      </c>
      <c r="K3">
        <v>-5723</v>
      </c>
    </row>
    <row r="4" spans="1:11" x14ac:dyDescent="0.15">
      <c r="A4" t="s">
        <v>159</v>
      </c>
      <c r="B4" t="s">
        <v>192</v>
      </c>
      <c r="C4" s="3">
        <v>42877</v>
      </c>
      <c r="D4" s="8">
        <v>-1</v>
      </c>
      <c r="E4">
        <v>5698</v>
      </c>
      <c r="G4" s="3">
        <v>42877</v>
      </c>
      <c r="H4" t="s">
        <v>156</v>
      </c>
      <c r="I4" s="8">
        <v>-1</v>
      </c>
      <c r="J4">
        <v>5698</v>
      </c>
      <c r="K4">
        <v>-5698</v>
      </c>
    </row>
    <row r="5" spans="1:11" x14ac:dyDescent="0.15">
      <c r="A5" t="s">
        <v>159</v>
      </c>
      <c r="B5" t="s">
        <v>193</v>
      </c>
      <c r="C5" s="3">
        <v>42879</v>
      </c>
      <c r="D5">
        <v>1</v>
      </c>
      <c r="E5">
        <v>5631</v>
      </c>
      <c r="G5" s="3">
        <v>42879</v>
      </c>
      <c r="H5" t="s">
        <v>159</v>
      </c>
      <c r="I5" s="8">
        <v>1</v>
      </c>
      <c r="J5">
        <v>5631</v>
      </c>
      <c r="K5">
        <v>5631</v>
      </c>
    </row>
    <row r="6" spans="1:11" x14ac:dyDescent="0.15">
      <c r="A6" t="s">
        <v>159</v>
      </c>
      <c r="B6" t="s">
        <v>193</v>
      </c>
      <c r="C6" s="3">
        <v>42881</v>
      </c>
      <c r="D6" s="8">
        <v>1</v>
      </c>
      <c r="E6">
        <v>5693.6</v>
      </c>
      <c r="G6" s="3">
        <v>42881</v>
      </c>
      <c r="H6" t="s">
        <v>156</v>
      </c>
      <c r="I6" s="8">
        <v>1</v>
      </c>
      <c r="J6">
        <v>5693.6</v>
      </c>
      <c r="K6">
        <v>5693.6</v>
      </c>
    </row>
    <row r="7" spans="1:11" x14ac:dyDescent="0.15">
      <c r="A7" t="s">
        <v>159</v>
      </c>
      <c r="B7" t="s">
        <v>193</v>
      </c>
      <c r="C7" s="3">
        <v>42886</v>
      </c>
      <c r="D7" s="8">
        <v>-1</v>
      </c>
      <c r="E7" s="8">
        <v>5656.6</v>
      </c>
      <c r="G7" s="3">
        <v>42886</v>
      </c>
      <c r="H7" t="s">
        <v>156</v>
      </c>
      <c r="I7" s="8">
        <v>-1</v>
      </c>
      <c r="J7" s="8">
        <v>5656.6</v>
      </c>
      <c r="K7">
        <v>-5656.6</v>
      </c>
    </row>
    <row r="8" spans="1:11" x14ac:dyDescent="0.15">
      <c r="A8" t="s">
        <v>159</v>
      </c>
      <c r="B8" t="s">
        <v>193</v>
      </c>
      <c r="C8" s="3">
        <v>42886</v>
      </c>
      <c r="D8" s="8">
        <v>-1</v>
      </c>
      <c r="E8" s="8">
        <v>5654.2</v>
      </c>
      <c r="G8" s="3">
        <v>42886</v>
      </c>
      <c r="H8" t="s">
        <v>156</v>
      </c>
      <c r="I8" s="8">
        <v>-1</v>
      </c>
      <c r="J8" s="8">
        <v>5654.2</v>
      </c>
      <c r="K8">
        <v>-5654.2</v>
      </c>
    </row>
    <row r="9" spans="1:11" x14ac:dyDescent="0.15">
      <c r="A9" t="s">
        <v>159</v>
      </c>
      <c r="B9" t="s">
        <v>193</v>
      </c>
      <c r="C9" s="3">
        <v>42887</v>
      </c>
      <c r="D9" s="8">
        <v>1</v>
      </c>
      <c r="E9" s="8">
        <v>5552.2</v>
      </c>
      <c r="G9" s="3">
        <v>42887</v>
      </c>
      <c r="H9" t="s">
        <v>156</v>
      </c>
      <c r="I9" s="8">
        <v>1</v>
      </c>
      <c r="J9" s="8">
        <v>5552.2</v>
      </c>
      <c r="K9">
        <v>5552.2</v>
      </c>
    </row>
    <row r="10" spans="1:11" x14ac:dyDescent="0.15">
      <c r="A10" t="s">
        <v>159</v>
      </c>
      <c r="B10" t="s">
        <v>193</v>
      </c>
      <c r="C10" s="3">
        <v>42888</v>
      </c>
      <c r="D10" s="8">
        <v>1</v>
      </c>
      <c r="E10" s="8">
        <v>5563.8</v>
      </c>
      <c r="G10" s="3">
        <v>42888</v>
      </c>
      <c r="H10" t="s">
        <v>156</v>
      </c>
      <c r="I10" s="8">
        <v>1</v>
      </c>
      <c r="J10" s="8">
        <v>5563.8</v>
      </c>
      <c r="K10">
        <v>5563.8</v>
      </c>
    </row>
    <row r="11" spans="1:11" x14ac:dyDescent="0.15">
      <c r="A11" t="s">
        <v>159</v>
      </c>
      <c r="B11" t="s">
        <v>193</v>
      </c>
      <c r="C11" s="3">
        <v>42888</v>
      </c>
      <c r="D11" s="8">
        <v>1</v>
      </c>
      <c r="E11" s="8">
        <v>5558.8</v>
      </c>
      <c r="G11" s="3">
        <v>42888</v>
      </c>
      <c r="H11" t="s">
        <v>156</v>
      </c>
      <c r="I11" s="8">
        <v>1</v>
      </c>
      <c r="J11" s="8">
        <v>5558.8</v>
      </c>
      <c r="K11">
        <v>5558.8</v>
      </c>
    </row>
    <row r="12" spans="1:11" x14ac:dyDescent="0.15">
      <c r="A12" t="s">
        <v>159</v>
      </c>
      <c r="B12" t="s">
        <v>193</v>
      </c>
      <c r="C12" s="3">
        <v>42888</v>
      </c>
      <c r="D12" s="8">
        <v>1</v>
      </c>
      <c r="E12" s="8">
        <v>5564.8</v>
      </c>
      <c r="G12" s="3">
        <v>42888</v>
      </c>
      <c r="H12" t="s">
        <v>156</v>
      </c>
      <c r="I12" s="8">
        <v>1</v>
      </c>
      <c r="J12" s="8">
        <v>5564.8</v>
      </c>
      <c r="K12">
        <v>5564.8</v>
      </c>
    </row>
    <row r="13" spans="1:11" x14ac:dyDescent="0.15">
      <c r="A13" t="s">
        <v>159</v>
      </c>
      <c r="B13" t="s">
        <v>193</v>
      </c>
      <c r="C13" s="3">
        <v>42888</v>
      </c>
      <c r="D13" s="8">
        <v>1</v>
      </c>
      <c r="E13" s="8">
        <v>5610.8</v>
      </c>
      <c r="G13" s="3">
        <v>42888</v>
      </c>
      <c r="H13" t="s">
        <v>156</v>
      </c>
      <c r="I13" s="8">
        <v>1</v>
      </c>
      <c r="J13" s="8">
        <v>5610.8</v>
      </c>
      <c r="K13">
        <v>5610.8</v>
      </c>
    </row>
    <row r="14" spans="1:11" x14ac:dyDescent="0.15">
      <c r="A14" t="s">
        <v>159</v>
      </c>
      <c r="B14" t="s">
        <v>193</v>
      </c>
      <c r="C14" s="3">
        <v>42888</v>
      </c>
      <c r="D14" s="8">
        <v>1</v>
      </c>
      <c r="E14" s="8">
        <v>5644</v>
      </c>
      <c r="G14" s="3">
        <v>42888</v>
      </c>
      <c r="H14" t="s">
        <v>156</v>
      </c>
      <c r="I14" s="8">
        <v>1</v>
      </c>
      <c r="J14" s="8">
        <v>5644</v>
      </c>
      <c r="K14">
        <v>5644</v>
      </c>
    </row>
    <row r="15" spans="1:11" x14ac:dyDescent="0.15">
      <c r="A15" t="s">
        <v>159</v>
      </c>
      <c r="B15" t="s">
        <v>193</v>
      </c>
      <c r="C15" s="3">
        <v>42893</v>
      </c>
      <c r="D15" s="8">
        <v>1</v>
      </c>
      <c r="E15" s="8">
        <v>5832</v>
      </c>
      <c r="G15" s="3">
        <v>42893</v>
      </c>
      <c r="H15" t="s">
        <v>156</v>
      </c>
      <c r="I15" s="8">
        <v>1</v>
      </c>
      <c r="J15" s="8">
        <v>5832</v>
      </c>
      <c r="K15">
        <v>5832</v>
      </c>
    </row>
    <row r="16" spans="1:11" x14ac:dyDescent="0.15">
      <c r="A16" t="s">
        <v>153</v>
      </c>
      <c r="B16" t="s">
        <v>193</v>
      </c>
      <c r="C16" s="3">
        <v>42898</v>
      </c>
      <c r="D16">
        <v>1</v>
      </c>
      <c r="E16">
        <v>5790.2</v>
      </c>
      <c r="G16" s="3">
        <v>42898</v>
      </c>
      <c r="H16" t="s">
        <v>156</v>
      </c>
      <c r="I16" s="8">
        <v>1</v>
      </c>
      <c r="J16" s="8">
        <v>5790.2</v>
      </c>
      <c r="K16">
        <v>5790.2</v>
      </c>
    </row>
    <row r="17" spans="1:11" x14ac:dyDescent="0.15">
      <c r="A17" s="40" t="s">
        <v>195</v>
      </c>
      <c r="B17" t="s">
        <v>193</v>
      </c>
      <c r="C17" s="3">
        <v>42914</v>
      </c>
      <c r="D17">
        <v>1</v>
      </c>
      <c r="E17">
        <v>5962.2</v>
      </c>
      <c r="G17" s="3">
        <v>42914</v>
      </c>
      <c r="H17" t="s">
        <v>159</v>
      </c>
      <c r="I17" s="8">
        <v>1</v>
      </c>
      <c r="J17" s="35">
        <v>5962.2</v>
      </c>
      <c r="K17">
        <v>5962.2</v>
      </c>
    </row>
    <row r="18" spans="1:11" x14ac:dyDescent="0.15">
      <c r="A18" s="40" t="s">
        <v>195</v>
      </c>
      <c r="B18" t="s">
        <v>193</v>
      </c>
      <c r="C18" s="3">
        <v>42927</v>
      </c>
      <c r="D18">
        <v>-1</v>
      </c>
      <c r="E18">
        <v>6075.8</v>
      </c>
      <c r="G18" s="3">
        <v>42927</v>
      </c>
      <c r="H18" t="s">
        <v>153</v>
      </c>
      <c r="I18">
        <v>-1</v>
      </c>
      <c r="J18">
        <v>6075.8</v>
      </c>
      <c r="K18">
        <v>-6075.8</v>
      </c>
    </row>
    <row r="19" spans="1:11" x14ac:dyDescent="0.15">
      <c r="A19" t="s">
        <v>195</v>
      </c>
      <c r="B19" t="s">
        <v>193</v>
      </c>
      <c r="C19" s="3">
        <v>42933</v>
      </c>
      <c r="D19">
        <v>1</v>
      </c>
      <c r="E19">
        <v>5847.2</v>
      </c>
      <c r="G19" s="3">
        <v>42933</v>
      </c>
      <c r="H19" t="s">
        <v>153</v>
      </c>
      <c r="I19">
        <v>1</v>
      </c>
      <c r="J19">
        <v>5847.2</v>
      </c>
      <c r="K19">
        <v>5847.2</v>
      </c>
    </row>
    <row r="20" spans="1:11" x14ac:dyDescent="0.15">
      <c r="A20" t="s">
        <v>153</v>
      </c>
      <c r="B20" t="s">
        <v>193</v>
      </c>
      <c r="C20" s="3">
        <v>42935</v>
      </c>
      <c r="D20">
        <v>1</v>
      </c>
      <c r="E20">
        <v>5817.4</v>
      </c>
      <c r="G20" s="3">
        <v>42935</v>
      </c>
      <c r="H20" t="s">
        <v>153</v>
      </c>
      <c r="I20">
        <v>1</v>
      </c>
      <c r="J20">
        <v>5817.4</v>
      </c>
      <c r="K20">
        <v>5817.4</v>
      </c>
    </row>
    <row r="21" spans="1:11" x14ac:dyDescent="0.15">
      <c r="A21" t="s">
        <v>153</v>
      </c>
      <c r="B21" t="s">
        <v>193</v>
      </c>
      <c r="C21" s="3">
        <v>42935</v>
      </c>
      <c r="D21">
        <v>2</v>
      </c>
      <c r="E21">
        <v>5873.47</v>
      </c>
      <c r="G21" s="3">
        <v>42935</v>
      </c>
      <c r="H21" t="s">
        <v>153</v>
      </c>
      <c r="I21">
        <v>2</v>
      </c>
      <c r="J21">
        <v>5873.47</v>
      </c>
      <c r="K21">
        <v>11746.94</v>
      </c>
    </row>
    <row r="22" spans="1:11" x14ac:dyDescent="0.15">
      <c r="A22" t="s">
        <v>153</v>
      </c>
      <c r="B22" t="s">
        <v>193</v>
      </c>
      <c r="C22" s="3">
        <v>42937</v>
      </c>
      <c r="D22">
        <v>-1</v>
      </c>
      <c r="E22">
        <v>5984</v>
      </c>
      <c r="G22" s="3">
        <v>42937</v>
      </c>
      <c r="H22" t="s">
        <v>153</v>
      </c>
      <c r="I22">
        <v>-1</v>
      </c>
      <c r="J22">
        <v>5984</v>
      </c>
      <c r="K22">
        <v>-5984</v>
      </c>
    </row>
    <row r="23" spans="1:11" x14ac:dyDescent="0.15">
      <c r="A23" t="s">
        <v>153</v>
      </c>
      <c r="B23" t="s">
        <v>193</v>
      </c>
      <c r="C23" s="3">
        <v>42947</v>
      </c>
      <c r="D23">
        <v>-8</v>
      </c>
      <c r="E23">
        <v>6216.6</v>
      </c>
      <c r="G23" s="3">
        <v>42947</v>
      </c>
      <c r="H23" t="s">
        <v>153</v>
      </c>
      <c r="I23">
        <v>-8</v>
      </c>
      <c r="J23">
        <v>6216.6</v>
      </c>
      <c r="K23">
        <v>-49732.800000000003</v>
      </c>
    </row>
    <row r="24" spans="1:11" x14ac:dyDescent="0.15">
      <c r="A24" t="s">
        <v>153</v>
      </c>
      <c r="B24" t="s">
        <v>193</v>
      </c>
      <c r="C24" s="3">
        <v>42948</v>
      </c>
      <c r="D24">
        <v>-1</v>
      </c>
      <c r="E24">
        <v>6199</v>
      </c>
      <c r="G24" s="3">
        <v>42948</v>
      </c>
      <c r="H24" t="s">
        <v>153</v>
      </c>
      <c r="I24">
        <v>-1</v>
      </c>
      <c r="J24">
        <v>6199</v>
      </c>
      <c r="K24">
        <v>-6199</v>
      </c>
    </row>
    <row r="25" spans="1:11" x14ac:dyDescent="0.15">
      <c r="A25" t="s">
        <v>153</v>
      </c>
      <c r="B25" t="s">
        <v>193</v>
      </c>
      <c r="C25" s="3">
        <v>42949</v>
      </c>
      <c r="D25">
        <v>-1</v>
      </c>
      <c r="E25">
        <v>6168.2</v>
      </c>
      <c r="G25" s="3">
        <v>42948</v>
      </c>
      <c r="H25" t="s">
        <v>153</v>
      </c>
      <c r="I25">
        <v>-1</v>
      </c>
      <c r="J25">
        <v>6168.2</v>
      </c>
      <c r="K25">
        <v>-6168.2</v>
      </c>
    </row>
    <row r="26" spans="1:11" x14ac:dyDescent="0.15">
      <c r="A26" t="s">
        <v>153</v>
      </c>
      <c r="B26" t="s">
        <v>193</v>
      </c>
      <c r="C26" s="3">
        <v>42957</v>
      </c>
      <c r="D26">
        <v>-1</v>
      </c>
      <c r="E26">
        <v>6211</v>
      </c>
      <c r="G26" s="3">
        <v>42957</v>
      </c>
      <c r="H26" t="s">
        <v>153</v>
      </c>
      <c r="I26">
        <v>-1</v>
      </c>
      <c r="J26">
        <v>6211</v>
      </c>
      <c r="K26">
        <v>-6211</v>
      </c>
    </row>
    <row r="27" spans="1:11" x14ac:dyDescent="0.15">
      <c r="A27" t="s">
        <v>196</v>
      </c>
      <c r="B27" t="s">
        <v>193</v>
      </c>
      <c r="C27" s="3">
        <v>42963</v>
      </c>
      <c r="D27">
        <v>-1</v>
      </c>
      <c r="E27">
        <v>6240</v>
      </c>
      <c r="G27" s="3">
        <v>42963</v>
      </c>
      <c r="H27" t="s">
        <v>156</v>
      </c>
      <c r="I27">
        <v>-1</v>
      </c>
      <c r="J27">
        <v>6240</v>
      </c>
      <c r="K27">
        <v>-6240</v>
      </c>
    </row>
    <row r="28" spans="1:11" x14ac:dyDescent="0.15">
      <c r="A28" t="s">
        <v>196</v>
      </c>
      <c r="B28" t="s">
        <v>193</v>
      </c>
      <c r="C28" s="3">
        <v>42964</v>
      </c>
      <c r="D28">
        <v>1</v>
      </c>
      <c r="E28">
        <v>6323.4</v>
      </c>
      <c r="G28" s="3">
        <v>42963</v>
      </c>
      <c r="H28" t="s">
        <v>155</v>
      </c>
      <c r="I28">
        <v>1</v>
      </c>
      <c r="J28">
        <v>6323.4</v>
      </c>
      <c r="K28">
        <v>6323.4</v>
      </c>
    </row>
    <row r="29" spans="1:11" x14ac:dyDescent="0.15">
      <c r="A29" t="s">
        <v>194</v>
      </c>
      <c r="B29" t="s">
        <v>193</v>
      </c>
      <c r="C29" s="3">
        <v>42975</v>
      </c>
      <c r="D29">
        <v>-1</v>
      </c>
      <c r="E29">
        <v>6417.8</v>
      </c>
      <c r="G29" s="3">
        <v>42968</v>
      </c>
      <c r="H29" t="s">
        <v>155</v>
      </c>
      <c r="I29">
        <v>1</v>
      </c>
      <c r="J29">
        <v>6358.8</v>
      </c>
      <c r="K29">
        <v>6358.8</v>
      </c>
    </row>
    <row r="30" spans="1:11" x14ac:dyDescent="0.15">
      <c r="A30" t="s">
        <v>194</v>
      </c>
      <c r="B30" t="s">
        <v>197</v>
      </c>
      <c r="C30" s="3">
        <v>42982</v>
      </c>
      <c r="D30">
        <v>1</v>
      </c>
      <c r="E30">
        <v>6548.6</v>
      </c>
      <c r="G30" s="3">
        <v>42975</v>
      </c>
      <c r="H30" t="s">
        <v>155</v>
      </c>
      <c r="I30">
        <v>-1</v>
      </c>
      <c r="J30">
        <v>6417.8</v>
      </c>
      <c r="K30">
        <v>-6417.8</v>
      </c>
    </row>
    <row r="31" spans="1:11" x14ac:dyDescent="0.15">
      <c r="A31" t="s">
        <v>194</v>
      </c>
      <c r="B31" t="s">
        <v>197</v>
      </c>
      <c r="C31" s="3">
        <v>42982</v>
      </c>
      <c r="D31">
        <v>1</v>
      </c>
      <c r="E31">
        <v>6548.6</v>
      </c>
      <c r="G31" s="3">
        <v>42982</v>
      </c>
      <c r="H31" t="s">
        <v>155</v>
      </c>
      <c r="I31">
        <v>1</v>
      </c>
      <c r="J31">
        <v>6548.6</v>
      </c>
      <c r="K31">
        <v>6548.6</v>
      </c>
    </row>
    <row r="32" spans="1:11" x14ac:dyDescent="0.15">
      <c r="G32" s="37">
        <v>42982</v>
      </c>
      <c r="H32" s="38" t="s">
        <v>155</v>
      </c>
      <c r="I32" s="38">
        <v>1</v>
      </c>
      <c r="J32" s="38">
        <v>6548.6</v>
      </c>
      <c r="K32" s="38">
        <v>6548.6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G13" sqref="G13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risk_calc</vt:lpstr>
      <vt:lpstr>opt_record</vt:lpstr>
      <vt:lpstr>pnl</vt:lpstr>
      <vt:lpstr>opt_cash_flow</vt:lpstr>
      <vt:lpstr>fut_record</vt:lpstr>
      <vt:lpstr>Sheet2</vt:lpstr>
      <vt:lpstr>premium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2018-01-11T09:10:06Z</dcterms:modified>
</cp:coreProperties>
</file>