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I25" i="2" l="1"/>
  <c r="M14" i="1"/>
  <c r="J14" i="1"/>
  <c r="K14" i="1" s="1"/>
  <c r="E14" i="1"/>
  <c r="V14" i="1"/>
  <c r="R14" i="1" l="1"/>
  <c r="M13" i="1"/>
  <c r="J13" i="1"/>
  <c r="K13" i="1" s="1"/>
  <c r="E13" i="1"/>
  <c r="U14" i="1"/>
  <c r="P14" i="1"/>
  <c r="H13" i="1"/>
  <c r="V13" i="1"/>
  <c r="U15" i="1" l="1"/>
  <c r="S14" i="1"/>
  <c r="T14" i="1" s="1"/>
  <c r="R13" i="1"/>
  <c r="P13" i="1"/>
  <c r="U13" i="1"/>
  <c r="S13" i="1" l="1"/>
  <c r="T13" i="1" s="1"/>
  <c r="D25" i="2" l="1"/>
  <c r="M12" i="1"/>
  <c r="R12" i="1" s="1"/>
  <c r="J12" i="1"/>
  <c r="K12" i="1" s="1"/>
  <c r="E12" i="1"/>
  <c r="P12" i="1"/>
  <c r="V12" i="1"/>
  <c r="U12" i="1"/>
  <c r="S12" i="1" l="1"/>
  <c r="T12" i="1" s="1"/>
  <c r="M11" i="1" l="1"/>
  <c r="J11" i="1"/>
  <c r="K11" i="1" s="1"/>
  <c r="E11" i="1"/>
  <c r="R9" i="6"/>
  <c r="M10" i="1"/>
  <c r="J10" i="1"/>
  <c r="K10" i="1" s="1"/>
  <c r="E10" i="1"/>
  <c r="H11" i="1"/>
  <c r="H10" i="1"/>
  <c r="V11" i="1"/>
  <c r="R11" i="1" l="1"/>
  <c r="I10" i="1"/>
  <c r="R10" i="1"/>
  <c r="N8" i="2"/>
  <c r="V10" i="1"/>
  <c r="U10" i="1"/>
  <c r="U11" i="1"/>
  <c r="P11" i="1"/>
  <c r="P10" i="1"/>
  <c r="S11" i="1" l="1"/>
  <c r="T11" i="1" s="1"/>
  <c r="S10" i="1"/>
  <c r="T10" i="1" s="1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P9" i="9"/>
  <c r="U8" i="9"/>
  <c r="V9" i="9"/>
  <c r="P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O9" i="7"/>
  <c r="U9" i="7"/>
  <c r="H8" i="7"/>
  <c r="K9" i="8"/>
  <c r="T10" i="7"/>
  <c r="O10" i="7"/>
  <c r="U10" i="7"/>
  <c r="H8" i="8"/>
  <c r="U8" i="8" l="1"/>
  <c r="Q9" i="7"/>
  <c r="R9" i="7" s="1"/>
  <c r="S9" i="7" s="1"/>
  <c r="Q10" i="7"/>
  <c r="R10" i="7" s="1"/>
  <c r="S10" i="7" s="1"/>
  <c r="Q8" i="7"/>
  <c r="T8" i="7"/>
  <c r="U8" i="7"/>
  <c r="K8" i="8"/>
  <c r="S9" i="8"/>
  <c r="Y9" i="8"/>
  <c r="O8" i="7"/>
  <c r="X9" i="8"/>
  <c r="V9" i="8" l="1"/>
  <c r="W9" i="8" s="1"/>
  <c r="R8" i="7"/>
  <c r="S8" i="7" s="1"/>
  <c r="S8" i="8"/>
  <c r="Y8" i="8"/>
  <c r="X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V9" i="1"/>
  <c r="H8" i="1"/>
  <c r="U8" i="1" s="1"/>
  <c r="R8" i="1" l="1"/>
  <c r="R9" i="1"/>
  <c r="S9" i="1" s="1"/>
  <c r="T9" i="1" s="1"/>
  <c r="V8" i="1"/>
  <c r="P8" i="1"/>
  <c r="S8" i="1" l="1"/>
  <c r="T8" i="1" s="1"/>
</calcChain>
</file>

<file path=xl/sharedStrings.xml><?xml version="1.0" encoding="utf-8"?>
<sst xmlns="http://schemas.openxmlformats.org/spreadsheetml/2006/main" count="473" uniqueCount="216">
  <si>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</si>
  <si>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</si>
  <si>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</si>
  <si>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</si>
  <si>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</si>
  <si>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</si>
  <si>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</si>
  <si>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</si>
  <si>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</si>
  <si>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</si>
  <si>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</si>
  <si>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</si>
  <si>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</si>
  <si>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</si>
  <si>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</si>
  <si>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</si>
  <si>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</si>
  <si>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</si>
  <si>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</si>
  <si>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</si>
  <si>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</si>
  <si>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</si>
  <si>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</si>
  <si>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</si>
  <si>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</si>
  <si>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</si>
  <si>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</si>
  <si>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</si>
  <si>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</si>
  <si>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</si>
  <si>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</si>
  <si>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</si>
  <si>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</si>
  <si>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</si>
  <si>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</si>
  <si>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</si>
  <si>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</si>
  <si>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</si>
  <si>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</si>
  <si>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</si>
  <si>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</si>
  <si>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</si>
  <si>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</si>
  <si>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</si>
  <si>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</si>
  <si>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</si>
  <si>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</si>
  <si>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</si>
  <si>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</si>
  <si>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</si>
  <si>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</si>
  <si>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</si>
  <si>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</si>
  <si>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</si>
  <si>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</si>
  <si>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</si>
  <si>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</si>
  <si>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</si>
  <si>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</si>
  <si>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</si>
  <si>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</si>
  <si>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</si>
  <si>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</si>
  <si>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</si>
  <si>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</si>
  <si>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</si>
  <si>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</si>
  <si>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</si>
  <si>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</si>
  <si>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</si>
  <si>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</si>
  <si>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</si>
  <si>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</si>
  <si>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</si>
  <si>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</si>
  <si>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</si>
  <si>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</si>
  <si>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</si>
  <si>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</si>
  <si>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</si>
  <si>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</si>
  <si>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</si>
  <si>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</si>
  <si>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</si>
  <si>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</si>
  <si>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</si>
  <si>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</si>
  <si>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</si>
  <si>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</si>
  <si>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</si>
  <si>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</si>
  <si>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</si>
  <si>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</si>
  <si>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</si>
  <si>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</si>
  <si>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</si>
  <si>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</si>
  <si>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</si>
  <si>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</si>
  <si>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</si>
  <si>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</si>
  <si>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</si>
  <si>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</si>
  <si>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</si>
  <si>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</si>
  <si>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</si>
  <si>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</si>
  <si>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</si>
  <si>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</si>
  <si>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</si>
  <si>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</si>
  <si>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</si>
  <si>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</si>
  <si>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</si>
  <si>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</si>
  <si>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</si>
  <si>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</si>
  <si>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</si>
  <si>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</si>
  <si>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</si>
  <si>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</si>
  <si>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</si>
  <si>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</si>
  <si>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</si>
  <si>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</si>
  <si>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</si>
  <si>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</si>
  <si>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</si>
  <si>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</si>
  <si>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</si>
  <si>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</si>
  <si>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</si>
  <si>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</si>
  <si>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</si>
  <si>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</si>
  <si>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</si>
  <si>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</si>
  <si>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</si>
  <si>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</si>
  <si>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</si>
  <si>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</si>
  <si>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</si>
  <si>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</si>
  <si>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</si>
  <si>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</si>
  <si>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</si>
  <si>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</si>
  <si>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</si>
  <si>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</si>
  <si>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</si>
  <si>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</si>
  <si>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</si>
  <si>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</si>
  <si>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</si>
  <si>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</si>
  <si>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</si>
  <si>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</si>
  <si>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</si>
  <si>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</si>
  <si>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</si>
  <si>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</si>
  <si>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</si>
  <si>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</si>
  <si>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</si>
  <si>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</si>
  <si>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</si>
  <si>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</si>
  <si>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</si>
  <si>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</si>
  <si>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</si>
  <si>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</si>
  <si>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</si>
  <si>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</si>
  <si>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</si>
  <si>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</si>
  <si>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</si>
  <si>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</si>
  <si>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</si>
  <si>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</si>
  <si>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</si>
  <si>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</si>
  <si>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</si>
  <si>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</si>
  <si>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</si>
  <si>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</si>
  <si>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</si>
  <si>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</si>
  <si>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</si>
  <si>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</si>
  <si>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</si>
  <si>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</si>
  <si>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</si>
  <si>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</si>
  <si>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</si>
  <si>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</si>
  <si>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</si>
  <si>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</si>
  <si>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</si>
  <si>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</si>
  <si>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</si>
  <si>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</si>
  <si>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</si>
  <si>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</si>
  <si>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SR805</t>
  </si>
  <si>
    <t>SR805</t>
    <phoneticPr fontId="1" type="noConversion"/>
  </si>
  <si>
    <t xml:space="preserve">报价(百分比) </t>
    <phoneticPr fontId="1" type="noConversion"/>
  </si>
  <si>
    <t>WM</t>
  </si>
  <si>
    <t>i1801</t>
  </si>
  <si>
    <t>i1801</t>
    <phoneticPr fontId="1" type="noConversion"/>
  </si>
  <si>
    <t>j1801</t>
    <phoneticPr fontId="1" type="noConversion"/>
  </si>
  <si>
    <t>中金公司</t>
    <phoneticPr fontId="1" type="noConversion"/>
  </si>
  <si>
    <t>中凯鸿鸣</t>
    <phoneticPr fontId="1" type="noConversion"/>
  </si>
  <si>
    <t>看涨期权</t>
    <phoneticPr fontId="1" type="noConversion"/>
  </si>
  <si>
    <t>J1801</t>
    <phoneticPr fontId="1" type="noConversion"/>
  </si>
  <si>
    <t>i1801</t>
    <phoneticPr fontId="1" type="noConversion"/>
  </si>
  <si>
    <t>天物国际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</si>
</sst>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##,###,##0.0000"/>
    <numFmt numFmtId="177" formatCode="0.0000"/>
    <numFmt numFmtId="178" formatCode="###,###,##0"/>
    <numFmt numFmtId="179" formatCode="0.0%"/>
    <numFmt numFmtId="180" formatCode="0.000%"/>
    <numFmt numFmtId="181" formatCode="###,###,##0.0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.5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5" fillId="7" borderId="7" xfId="0" applyFont="1" applyFill="1" applyBorder="1" applyAlignment="1">
      <alignment horizontal="center"/>
    </xf>
    <xf numFmtId="180" fontId="5" fillId="9" borderId="7" xfId="1" applyNumberFormat="1" applyFont="1" applyFill="1" applyBorder="1" applyAlignment="1">
      <alignment horizontal="center"/>
    </xf>
    <xf numFmtId="181" fontId="5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14" fontId="21" fillId="11" borderId="9" xfId="0" applyNumberFormat="1" applyFont="1" applyFill="1" applyBorder="1" applyAlignment="1">
      <alignment horizontal="right"/>
    </xf>
    <xf numFmtId="0" fontId="8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530.5</v>
        <stp/>
        <stp>i1801</stp>
        <stp>LastPrice</stp>
        <tr r="H11" s="1"/>
        <tr r="H13" s="1"/>
      </tp>
      <tp>
        <v>6148</v>
        <stp/>
        <stp>SR805</stp>
        <stp>LastPrice</stp>
        <tr r="H10" s="1"/>
      </tp>
      <tp>
        <v>3982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"/>
  <sheetViews>
    <sheetView zoomScaleNormal="100" workbookViewId="0">
      <selection activeCell="F15" sqref="F15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7" width="9" style="6"/>
    <col min="18" max="18" width="12.375" style="6" customWidth="1"/>
    <col min="19" max="16384" width="9" style="6"/>
  </cols>
  <sheetData>
    <row r="1" spans="1:18" ht="14.25" customHeight="1" thickBot="1">
      <c r="B1" s="98" t="s">
        <v>158</v>
      </c>
      <c r="C1" s="98"/>
      <c r="D1" s="98"/>
    </row>
    <row r="2" spans="1:18" ht="12" thickTop="1"/>
    <row r="3" spans="1:18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8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  <c r="R4" s="95" t="s">
        <v>205</v>
      </c>
    </row>
    <row r="5" spans="1:18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  <c r="R5" s="83"/>
    </row>
    <row r="6" spans="1:18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  <c r="R6" s="78" t="s">
        <v>205</v>
      </c>
    </row>
    <row r="7" spans="1:18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  <c r="R7" s="83"/>
    </row>
    <row r="8" spans="1:18">
      <c r="B8" s="78" t="s">
        <v>159</v>
      </c>
      <c r="C8" s="78"/>
      <c r="D8" s="78" t="s">
        <v>160</v>
      </c>
      <c r="E8" s="78" t="s">
        <v>161</v>
      </c>
      <c r="F8" s="78" t="s">
        <v>162</v>
      </c>
      <c r="G8" s="78" t="s">
        <v>7</v>
      </c>
      <c r="H8" s="78" t="s">
        <v>163</v>
      </c>
      <c r="I8" s="78" t="s">
        <v>10</v>
      </c>
      <c r="J8" s="78" t="s">
        <v>164</v>
      </c>
      <c r="K8" s="78" t="s">
        <v>165</v>
      </c>
      <c r="L8" s="78" t="s">
        <v>166</v>
      </c>
      <c r="M8" s="78" t="s">
        <v>167</v>
      </c>
      <c r="N8" s="78" t="s">
        <v>168</v>
      </c>
      <c r="O8" s="78" t="s">
        <v>26</v>
      </c>
      <c r="P8" s="78" t="s">
        <v>169</v>
      </c>
      <c r="Q8" s="78" t="s">
        <v>170</v>
      </c>
      <c r="R8" s="78" t="s">
        <v>205</v>
      </c>
    </row>
    <row r="9" spans="1:18">
      <c r="B9" s="79" t="s">
        <v>20</v>
      </c>
      <c r="C9" s="79">
        <v>-1</v>
      </c>
      <c r="D9" s="79" t="s">
        <v>203</v>
      </c>
      <c r="E9" s="79" t="s">
        <v>39</v>
      </c>
      <c r="F9" s="80">
        <v>6138</v>
      </c>
      <c r="G9" s="79">
        <v>6138</v>
      </c>
      <c r="H9" s="81">
        <v>43070</v>
      </c>
      <c r="I9" s="81">
        <v>43160</v>
      </c>
      <c r="J9" s="79">
        <v>90</v>
      </c>
      <c r="K9" s="82">
        <v>0.24657534246575341</v>
      </c>
      <c r="L9" s="82">
        <v>0</v>
      </c>
      <c r="M9" s="79">
        <v>0.14799999999999999</v>
      </c>
      <c r="N9" s="83">
        <v>-179.03339048058433</v>
      </c>
      <c r="O9" s="79">
        <v>0</v>
      </c>
      <c r="P9" s="83">
        <v>0</v>
      </c>
      <c r="Q9" s="83">
        <v>179.03339048058433</v>
      </c>
      <c r="R9" s="96">
        <f>Q9/F9</f>
        <v>2.9168033639717227E-2</v>
      </c>
    </row>
    <row r="10" spans="1:18">
      <c r="B10" s="78" t="s">
        <v>159</v>
      </c>
      <c r="C10" s="78"/>
      <c r="D10" s="78" t="s">
        <v>160</v>
      </c>
      <c r="E10" s="78" t="s">
        <v>161</v>
      </c>
      <c r="F10" s="78" t="s">
        <v>162</v>
      </c>
      <c r="G10" s="78" t="s">
        <v>7</v>
      </c>
      <c r="H10" s="78" t="s">
        <v>163</v>
      </c>
      <c r="I10" s="78" t="s">
        <v>10</v>
      </c>
      <c r="J10" s="78" t="s">
        <v>164</v>
      </c>
      <c r="K10" s="78" t="s">
        <v>165</v>
      </c>
      <c r="L10" s="78" t="s">
        <v>166</v>
      </c>
      <c r="M10" s="78" t="s">
        <v>167</v>
      </c>
      <c r="N10" s="78" t="s">
        <v>168</v>
      </c>
      <c r="O10" s="78" t="s">
        <v>26</v>
      </c>
      <c r="P10" s="78" t="s">
        <v>169</v>
      </c>
      <c r="Q10" s="78" t="s">
        <v>170</v>
      </c>
      <c r="R10" s="95" t="s">
        <v>205</v>
      </c>
    </row>
    <row r="11" spans="1:18">
      <c r="B11" s="79" t="s">
        <v>151</v>
      </c>
      <c r="C11" s="79">
        <v>1</v>
      </c>
      <c r="D11" s="79" t="s">
        <v>207</v>
      </c>
      <c r="E11" s="79" t="s">
        <v>39</v>
      </c>
      <c r="F11" s="80">
        <v>516.5</v>
      </c>
      <c r="G11" s="79">
        <v>535</v>
      </c>
      <c r="H11" s="81">
        <v>43070</v>
      </c>
      <c r="I11" s="81">
        <v>43084</v>
      </c>
      <c r="J11" s="79">
        <v>14</v>
      </c>
      <c r="K11" s="82">
        <v>3.8356164383561646E-2</v>
      </c>
      <c r="L11" s="82">
        <v>0</v>
      </c>
      <c r="M11" s="79">
        <v>0.28000000000000003</v>
      </c>
      <c r="N11" s="83">
        <v>4.5360633067442677</v>
      </c>
      <c r="O11" s="79">
        <v>0</v>
      </c>
      <c r="P11" s="83">
        <v>0</v>
      </c>
      <c r="Q11" s="83">
        <v>4.5360633067442677</v>
      </c>
      <c r="R11" s="83"/>
    </row>
    <row r="12" spans="1:18">
      <c r="B12" s="78" t="s">
        <v>159</v>
      </c>
      <c r="C12" s="78"/>
      <c r="D12" s="78" t="s">
        <v>160</v>
      </c>
      <c r="E12" s="78" t="s">
        <v>161</v>
      </c>
      <c r="F12" s="78" t="s">
        <v>162</v>
      </c>
      <c r="G12" s="78" t="s">
        <v>7</v>
      </c>
      <c r="H12" s="78" t="s">
        <v>163</v>
      </c>
      <c r="I12" s="78" t="s">
        <v>10</v>
      </c>
      <c r="J12" s="78" t="s">
        <v>164</v>
      </c>
      <c r="K12" s="78" t="s">
        <v>165</v>
      </c>
      <c r="L12" s="78" t="s">
        <v>166</v>
      </c>
      <c r="M12" s="78" t="s">
        <v>167</v>
      </c>
      <c r="N12" s="78" t="s">
        <v>168</v>
      </c>
      <c r="O12" s="78" t="s">
        <v>26</v>
      </c>
      <c r="P12" s="78" t="s">
        <v>169</v>
      </c>
      <c r="Q12" s="78" t="s">
        <v>170</v>
      </c>
      <c r="R12" s="95" t="s">
        <v>205</v>
      </c>
    </row>
    <row r="13" spans="1:18">
      <c r="B13" s="79" t="s">
        <v>151</v>
      </c>
      <c r="C13" s="79">
        <v>1</v>
      </c>
      <c r="D13" s="79" t="s">
        <v>207</v>
      </c>
      <c r="E13" s="79" t="s">
        <v>39</v>
      </c>
      <c r="F13" s="80">
        <v>520</v>
      </c>
      <c r="G13" s="79">
        <v>535</v>
      </c>
      <c r="H13" s="81">
        <v>43070</v>
      </c>
      <c r="I13" s="81">
        <v>43084</v>
      </c>
      <c r="J13" s="79">
        <v>14</v>
      </c>
      <c r="K13" s="82">
        <v>3.287671232876712E-2</v>
      </c>
      <c r="L13" s="82">
        <v>0</v>
      </c>
      <c r="M13" s="79">
        <v>0.28000000000000003</v>
      </c>
      <c r="N13" s="83">
        <v>4.8126456778490478</v>
      </c>
      <c r="O13" s="79">
        <v>0</v>
      </c>
      <c r="P13" s="83">
        <v>0</v>
      </c>
      <c r="Q13" s="83">
        <v>4.8126456778490478</v>
      </c>
      <c r="R13" s="83">
        <v>9.2550878420173989E-3</v>
      </c>
    </row>
    <row r="14" spans="1:18">
      <c r="B14" s="78" t="s">
        <v>159</v>
      </c>
      <c r="C14" s="78"/>
      <c r="D14" s="78" t="s">
        <v>160</v>
      </c>
      <c r="E14" s="78" t="s">
        <v>161</v>
      </c>
      <c r="F14" s="78" t="s">
        <v>162</v>
      </c>
      <c r="G14" s="78" t="s">
        <v>7</v>
      </c>
      <c r="H14" s="78" t="s">
        <v>163</v>
      </c>
      <c r="I14" s="78" t="s">
        <v>10</v>
      </c>
      <c r="J14" s="78" t="s">
        <v>164</v>
      </c>
      <c r="K14" s="78" t="s">
        <v>165</v>
      </c>
      <c r="L14" s="78" t="s">
        <v>166</v>
      </c>
      <c r="M14" s="78" t="s">
        <v>167</v>
      </c>
      <c r="N14" s="78" t="s">
        <v>168</v>
      </c>
      <c r="O14" s="78" t="s">
        <v>26</v>
      </c>
      <c r="P14" s="78" t="s">
        <v>169</v>
      </c>
      <c r="Q14" s="78" t="s">
        <v>170</v>
      </c>
      <c r="R14" s="95" t="s">
        <v>205</v>
      </c>
    </row>
    <row r="15" spans="1:18">
      <c r="B15" s="79" t="s">
        <v>151</v>
      </c>
      <c r="C15" s="79">
        <v>1</v>
      </c>
      <c r="D15" s="79" t="s">
        <v>207</v>
      </c>
      <c r="E15" s="79" t="s">
        <v>39</v>
      </c>
      <c r="F15" s="80">
        <v>524</v>
      </c>
      <c r="G15" s="79">
        <v>535</v>
      </c>
      <c r="H15" s="81">
        <v>43070</v>
      </c>
      <c r="I15" s="81">
        <v>43084</v>
      </c>
      <c r="J15" s="79">
        <v>14</v>
      </c>
      <c r="K15" s="82">
        <v>3.287671232876712E-2</v>
      </c>
      <c r="L15" s="82">
        <v>0</v>
      </c>
      <c r="M15" s="79">
        <v>0.28000000000000003</v>
      </c>
      <c r="N15" s="83">
        <v>6.104616067266079</v>
      </c>
      <c r="O15" s="79">
        <v>0</v>
      </c>
      <c r="P15" s="83">
        <v>0</v>
      </c>
      <c r="Q15" s="83">
        <v>6.104616067266079</v>
      </c>
      <c r="R15" s="83"/>
    </row>
    <row r="16" spans="1:18">
      <c r="B16" s="79" t="s">
        <v>151</v>
      </c>
      <c r="C16" s="79">
        <v>1</v>
      </c>
      <c r="D16" s="79" t="s">
        <v>207</v>
      </c>
      <c r="E16" s="79" t="s">
        <v>39</v>
      </c>
      <c r="F16" s="80">
        <v>524</v>
      </c>
      <c r="G16" s="79">
        <v>540</v>
      </c>
      <c r="H16" s="81">
        <v>43070</v>
      </c>
      <c r="I16" s="81">
        <v>43084</v>
      </c>
      <c r="J16" s="79">
        <v>14</v>
      </c>
      <c r="K16" s="82">
        <v>3.287671232876712E-2</v>
      </c>
      <c r="L16" s="82">
        <v>0</v>
      </c>
      <c r="M16" s="79">
        <v>0.28000000000000003</v>
      </c>
      <c r="N16" s="83">
        <v>4.607702422226339</v>
      </c>
      <c r="O16" s="79">
        <v>0</v>
      </c>
      <c r="P16" s="83">
        <v>0</v>
      </c>
      <c r="Q16" s="83">
        <v>4.607702422226339</v>
      </c>
      <c r="R16" s="83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4"/>
  <sheetViews>
    <sheetView tabSelected="1" workbookViewId="0">
      <pane ySplit="17" topLeftCell="A18" activePane="bottomLeft" state="frozen"/>
      <selection pane="bottomLeft" activeCell="G12" sqref="G12:H12"/>
    </sheetView>
  </sheetViews>
  <sheetFormatPr defaultRowHeight="11.25"/>
  <cols>
    <col min="1" max="3" width="9" style="6"/>
    <col min="4" max="4" width="9" style="6" customWidth="1"/>
    <col min="5" max="5" width="10.625" style="6" customWidth="1"/>
    <col min="6" max="16384" width="9" style="6"/>
  </cols>
  <sheetData>
    <row r="1" spans="2:20" ht="14.25" thickBot="1">
      <c r="B1" s="111" t="s">
        <v>118</v>
      </c>
      <c r="C1" s="111"/>
    </row>
    <row r="2" spans="2:20" ht="12" thickTop="1"/>
    <row r="3" spans="2:20" ht="12.75" thickBot="1">
      <c r="B3" s="112" t="s">
        <v>119</v>
      </c>
      <c r="C3" s="112"/>
      <c r="D3" s="112"/>
      <c r="E3" s="112"/>
      <c r="G3" s="110" t="s">
        <v>120</v>
      </c>
      <c r="H3" s="110"/>
      <c r="I3" s="110"/>
      <c r="J3" s="110"/>
      <c r="L3" s="112" t="s">
        <v>192</v>
      </c>
      <c r="M3" s="112"/>
      <c r="N3" s="112"/>
      <c r="O3" s="112"/>
      <c r="Q3" s="110" t="s">
        <v>193</v>
      </c>
      <c r="R3" s="110"/>
      <c r="S3" s="110"/>
      <c r="T3" s="110"/>
    </row>
    <row r="4" spans="2:20" ht="15" thickTop="1" thickBot="1">
      <c r="B4" s="106" t="s">
        <v>121</v>
      </c>
      <c r="C4" s="106"/>
      <c r="D4" s="106"/>
      <c r="E4" s="106"/>
      <c r="G4" s="106" t="s">
        <v>34</v>
      </c>
      <c r="H4" s="106"/>
      <c r="I4" s="106"/>
      <c r="J4" s="106"/>
      <c r="L4" s="106" t="s">
        <v>121</v>
      </c>
      <c r="M4" s="106"/>
      <c r="N4" s="106"/>
      <c r="O4" s="106"/>
      <c r="Q4" s="106" t="s">
        <v>34</v>
      </c>
      <c r="R4" s="106"/>
      <c r="S4" s="106"/>
      <c r="T4" s="106"/>
    </row>
    <row r="5" spans="2:20" ht="14.25" thickTop="1">
      <c r="B5" s="46" t="s">
        <v>122</v>
      </c>
      <c r="C5" s="47"/>
      <c r="D5" s="48"/>
      <c r="E5" s="49"/>
      <c r="G5" s="109" t="s">
        <v>123</v>
      </c>
      <c r="H5" s="109"/>
      <c r="I5" s="48"/>
      <c r="J5" s="49"/>
      <c r="L5" s="46" t="s">
        <v>122</v>
      </c>
      <c r="M5" s="47"/>
      <c r="N5" s="48"/>
      <c r="O5" s="49"/>
      <c r="Q5" s="109" t="s">
        <v>123</v>
      </c>
      <c r="R5" s="109"/>
      <c r="S5" s="48"/>
      <c r="T5" s="49"/>
    </row>
    <row r="6" spans="2:20" ht="13.5">
      <c r="B6" s="99" t="s">
        <v>124</v>
      </c>
      <c r="C6" s="99"/>
      <c r="D6" s="100" t="s">
        <v>125</v>
      </c>
      <c r="E6" s="101"/>
      <c r="G6" s="109" t="s">
        <v>126</v>
      </c>
      <c r="H6" s="109"/>
      <c r="I6" s="100"/>
      <c r="J6" s="101"/>
      <c r="L6" s="99" t="s">
        <v>124</v>
      </c>
      <c r="M6" s="99"/>
      <c r="N6" s="100" t="s">
        <v>125</v>
      </c>
      <c r="O6" s="101"/>
      <c r="Q6" s="109" t="s">
        <v>126</v>
      </c>
      <c r="R6" s="109"/>
      <c r="S6" s="100"/>
      <c r="T6" s="101"/>
    </row>
    <row r="7" spans="2:20" ht="13.5">
      <c r="B7" s="99" t="s">
        <v>127</v>
      </c>
      <c r="C7" s="99"/>
      <c r="D7" s="100" t="s">
        <v>125</v>
      </c>
      <c r="E7" s="101"/>
      <c r="G7" s="109" t="s">
        <v>128</v>
      </c>
      <c r="H7" s="109"/>
      <c r="I7" s="100"/>
      <c r="J7" s="101"/>
      <c r="L7" s="99" t="s">
        <v>127</v>
      </c>
      <c r="M7" s="99"/>
      <c r="N7" s="100" t="s">
        <v>125</v>
      </c>
      <c r="O7" s="101"/>
      <c r="Q7" s="109" t="s">
        <v>128</v>
      </c>
      <c r="R7" s="109"/>
      <c r="S7" s="100"/>
      <c r="T7" s="101"/>
    </row>
    <row r="8" spans="2:20" ht="13.5">
      <c r="B8" s="99" t="s">
        <v>129</v>
      </c>
      <c r="C8" s="99"/>
      <c r="D8" s="100">
        <f>D13*D15</f>
        <v>305000</v>
      </c>
      <c r="E8" s="101"/>
      <c r="G8" s="109" t="s">
        <v>130</v>
      </c>
      <c r="H8" s="109"/>
      <c r="I8" s="100"/>
      <c r="J8" s="101"/>
      <c r="L8" s="99" t="s">
        <v>129</v>
      </c>
      <c r="M8" s="99"/>
      <c r="N8" s="100">
        <f>N14*N16</f>
        <v>305000</v>
      </c>
      <c r="O8" s="101"/>
      <c r="Q8" s="109" t="s">
        <v>130</v>
      </c>
      <c r="R8" s="109"/>
      <c r="S8" s="100"/>
      <c r="T8" s="101"/>
    </row>
    <row r="9" spans="2:20" ht="13.5">
      <c r="B9" s="99" t="s">
        <v>131</v>
      </c>
      <c r="C9" s="99"/>
      <c r="D9" s="100" t="s">
        <v>132</v>
      </c>
      <c r="E9" s="101"/>
      <c r="G9" s="109" t="s">
        <v>133</v>
      </c>
      <c r="H9" s="109"/>
      <c r="I9" s="100"/>
      <c r="J9" s="101"/>
      <c r="L9" s="99" t="s">
        <v>131</v>
      </c>
      <c r="M9" s="99"/>
      <c r="N9" s="100" t="s">
        <v>132</v>
      </c>
      <c r="O9" s="101"/>
      <c r="Q9" s="109" t="s">
        <v>133</v>
      </c>
      <c r="R9" s="109"/>
      <c r="S9" s="100"/>
      <c r="T9" s="101"/>
    </row>
    <row r="10" spans="2:20" ht="13.5">
      <c r="B10" s="99" t="s">
        <v>134</v>
      </c>
      <c r="C10" s="99"/>
      <c r="D10" s="100">
        <v>43084</v>
      </c>
      <c r="E10" s="101"/>
      <c r="G10" s="43" t="s">
        <v>135</v>
      </c>
      <c r="H10" s="43"/>
      <c r="I10" s="100"/>
      <c r="J10" s="101"/>
      <c r="L10" s="99" t="s">
        <v>134</v>
      </c>
      <c r="M10" s="99"/>
      <c r="N10" s="100">
        <v>43084</v>
      </c>
      <c r="O10" s="101"/>
      <c r="Q10" s="91" t="s">
        <v>135</v>
      </c>
      <c r="R10" s="91"/>
      <c r="S10" s="100"/>
      <c r="T10" s="101"/>
    </row>
    <row r="11" spans="2:20" ht="13.5">
      <c r="B11" s="99" t="s">
        <v>136</v>
      </c>
      <c r="C11" s="99"/>
      <c r="D11" s="100">
        <v>3935</v>
      </c>
      <c r="E11" s="101"/>
      <c r="G11" s="109" t="s">
        <v>137</v>
      </c>
      <c r="H11" s="109"/>
      <c r="I11" s="100"/>
      <c r="J11" s="101"/>
      <c r="L11" s="99" t="s">
        <v>136</v>
      </c>
      <c r="M11" s="99"/>
      <c r="N11" s="100">
        <v>3935</v>
      </c>
      <c r="O11" s="101"/>
      <c r="Q11" s="109" t="s">
        <v>137</v>
      </c>
      <c r="R11" s="109"/>
      <c r="S11" s="100"/>
      <c r="T11" s="101"/>
    </row>
    <row r="12" spans="2:20" ht="13.5">
      <c r="B12" s="99" t="s">
        <v>138</v>
      </c>
      <c r="C12" s="99"/>
      <c r="D12" s="100">
        <v>3800</v>
      </c>
      <c r="E12" s="101"/>
      <c r="G12" s="109" t="s">
        <v>139</v>
      </c>
      <c r="H12" s="109"/>
      <c r="I12" s="100"/>
      <c r="J12" s="101"/>
      <c r="L12" s="99" t="s">
        <v>190</v>
      </c>
      <c r="M12" s="99"/>
      <c r="N12" s="100">
        <v>3800</v>
      </c>
      <c r="O12" s="101"/>
      <c r="Q12" s="109" t="s">
        <v>194</v>
      </c>
      <c r="R12" s="109"/>
      <c r="S12" s="100"/>
      <c r="T12" s="101"/>
    </row>
    <row r="13" spans="2:20" ht="13.5">
      <c r="B13" s="99" t="s">
        <v>140</v>
      </c>
      <c r="C13" s="99"/>
      <c r="D13" s="100">
        <v>61</v>
      </c>
      <c r="E13" s="101"/>
      <c r="G13" s="109" t="s">
        <v>141</v>
      </c>
      <c r="H13" s="109"/>
      <c r="I13" s="100"/>
      <c r="J13" s="101"/>
      <c r="L13" s="99" t="s">
        <v>191</v>
      </c>
      <c r="M13" s="99"/>
      <c r="N13" s="100">
        <v>3800</v>
      </c>
      <c r="O13" s="101"/>
      <c r="Q13" s="109" t="s">
        <v>195</v>
      </c>
      <c r="R13" s="109"/>
      <c r="S13" s="100"/>
      <c r="T13" s="101"/>
    </row>
    <row r="14" spans="2:20" ht="13.5">
      <c r="B14" s="99" t="s">
        <v>142</v>
      </c>
      <c r="C14" s="99"/>
      <c r="D14" s="100" t="s">
        <v>143</v>
      </c>
      <c r="E14" s="101"/>
      <c r="G14" s="109" t="s">
        <v>144</v>
      </c>
      <c r="H14" s="109"/>
      <c r="I14" s="44"/>
      <c r="J14" s="45"/>
      <c r="L14" s="99" t="s">
        <v>140</v>
      </c>
      <c r="M14" s="99"/>
      <c r="N14" s="100">
        <v>61</v>
      </c>
      <c r="O14" s="101"/>
      <c r="Q14" s="109" t="s">
        <v>141</v>
      </c>
      <c r="R14" s="109"/>
      <c r="S14" s="100"/>
      <c r="T14" s="101"/>
    </row>
    <row r="15" spans="2:20" ht="13.5">
      <c r="B15" s="99" t="s">
        <v>145</v>
      </c>
      <c r="C15" s="99"/>
      <c r="D15" s="100">
        <v>5000</v>
      </c>
      <c r="E15" s="101"/>
      <c r="G15" s="109" t="s">
        <v>146</v>
      </c>
      <c r="H15" s="109"/>
      <c r="I15" s="100"/>
      <c r="J15" s="101"/>
      <c r="L15" s="99" t="s">
        <v>142</v>
      </c>
      <c r="M15" s="99"/>
      <c r="N15" s="100" t="s">
        <v>143</v>
      </c>
      <c r="O15" s="101"/>
      <c r="Q15" s="109" t="s">
        <v>144</v>
      </c>
      <c r="R15" s="109"/>
      <c r="S15" s="89"/>
      <c r="T15" s="90"/>
    </row>
    <row r="16" spans="2:20" ht="14.25" thickBot="1">
      <c r="B16" s="102" t="s">
        <v>147</v>
      </c>
      <c r="C16" s="102"/>
      <c r="D16" s="103" t="s">
        <v>148</v>
      </c>
      <c r="E16" s="104"/>
      <c r="G16" s="113" t="s">
        <v>149</v>
      </c>
      <c r="H16" s="113"/>
      <c r="I16" s="103"/>
      <c r="J16" s="104"/>
      <c r="L16" s="99" t="s">
        <v>145</v>
      </c>
      <c r="M16" s="99"/>
      <c r="N16" s="100">
        <v>5000</v>
      </c>
      <c r="O16" s="101"/>
      <c r="Q16" s="109" t="s">
        <v>146</v>
      </c>
      <c r="R16" s="109"/>
      <c r="S16" s="100"/>
      <c r="T16" s="101"/>
    </row>
    <row r="17" spans="2:20" ht="15" thickTop="1" thickBot="1">
      <c r="L17" s="102" t="s">
        <v>147</v>
      </c>
      <c r="M17" s="102"/>
      <c r="N17" s="103" t="s">
        <v>148</v>
      </c>
      <c r="O17" s="104"/>
      <c r="Q17" s="113" t="s">
        <v>149</v>
      </c>
      <c r="R17" s="113"/>
      <c r="S17" s="103"/>
      <c r="T17" s="104"/>
    </row>
    <row r="18" spans="2:20" ht="12" thickTop="1"/>
    <row r="19" spans="2:20" ht="13.5">
      <c r="B19" s="41" t="s">
        <v>150</v>
      </c>
    </row>
    <row r="21" spans="2:20" ht="14.25" thickBot="1">
      <c r="B21" s="106" t="s">
        <v>121</v>
      </c>
      <c r="C21" s="106"/>
      <c r="D21" s="106"/>
      <c r="E21" s="106"/>
      <c r="G21" s="106" t="s">
        <v>121</v>
      </c>
      <c r="H21" s="106"/>
      <c r="I21" s="106"/>
      <c r="J21" s="106"/>
    </row>
    <row r="22" spans="2:20" ht="14.25" thickTop="1">
      <c r="B22" s="46" t="s">
        <v>122</v>
      </c>
      <c r="C22" s="47"/>
      <c r="D22" s="107">
        <v>43070</v>
      </c>
      <c r="E22" s="108"/>
      <c r="G22" s="46" t="s">
        <v>122</v>
      </c>
      <c r="H22" s="47"/>
      <c r="I22" s="107">
        <v>43070</v>
      </c>
      <c r="J22" s="108"/>
    </row>
    <row r="23" spans="2:20" ht="13.5">
      <c r="B23" s="99" t="s">
        <v>124</v>
      </c>
      <c r="C23" s="99"/>
      <c r="D23" s="100" t="s">
        <v>210</v>
      </c>
      <c r="E23" s="101"/>
      <c r="G23" s="99" t="s">
        <v>124</v>
      </c>
      <c r="H23" s="99"/>
      <c r="I23" s="100" t="s">
        <v>36</v>
      </c>
      <c r="J23" s="101"/>
    </row>
    <row r="24" spans="2:20" ht="13.5">
      <c r="B24" s="99" t="s">
        <v>127</v>
      </c>
      <c r="C24" s="99"/>
      <c r="D24" s="100" t="s">
        <v>211</v>
      </c>
      <c r="E24" s="101"/>
      <c r="G24" s="99" t="s">
        <v>127</v>
      </c>
      <c r="H24" s="99"/>
      <c r="I24" s="100" t="s">
        <v>215</v>
      </c>
      <c r="J24" s="101"/>
    </row>
    <row r="25" spans="2:20" ht="13.5">
      <c r="B25" s="99" t="s">
        <v>129</v>
      </c>
      <c r="C25" s="99"/>
      <c r="D25" s="100">
        <f>D30*D32</f>
        <v>98170</v>
      </c>
      <c r="E25" s="101"/>
      <c r="G25" s="99" t="s">
        <v>129</v>
      </c>
      <c r="H25" s="99"/>
      <c r="I25" s="100">
        <f>I30*I32</f>
        <v>150000</v>
      </c>
      <c r="J25" s="101"/>
    </row>
    <row r="26" spans="2:20" ht="13.5">
      <c r="B26" s="99" t="s">
        <v>131</v>
      </c>
      <c r="C26" s="99"/>
      <c r="D26" s="100" t="s">
        <v>212</v>
      </c>
      <c r="E26" s="101"/>
      <c r="G26" s="99" t="s">
        <v>131</v>
      </c>
      <c r="H26" s="99"/>
      <c r="I26" s="100" t="s">
        <v>212</v>
      </c>
      <c r="J26" s="101"/>
    </row>
    <row r="27" spans="2:20" ht="13.5">
      <c r="B27" s="99" t="s">
        <v>134</v>
      </c>
      <c r="C27" s="99"/>
      <c r="D27" s="105">
        <v>43080</v>
      </c>
      <c r="E27" s="101"/>
      <c r="G27" s="99" t="s">
        <v>134</v>
      </c>
      <c r="H27" s="99"/>
      <c r="I27" s="105">
        <v>43084</v>
      </c>
      <c r="J27" s="101"/>
    </row>
    <row r="28" spans="2:20" ht="13.5">
      <c r="B28" s="99" t="s">
        <v>136</v>
      </c>
      <c r="C28" s="99"/>
      <c r="D28" s="100">
        <v>2093.5</v>
      </c>
      <c r="E28" s="101"/>
      <c r="G28" s="99" t="s">
        <v>136</v>
      </c>
      <c r="H28" s="99"/>
      <c r="I28" s="100">
        <v>528</v>
      </c>
      <c r="J28" s="101"/>
    </row>
    <row r="29" spans="2:20" ht="13.5">
      <c r="B29" s="99" t="s">
        <v>138</v>
      </c>
      <c r="C29" s="99"/>
      <c r="D29" s="100">
        <v>1900</v>
      </c>
      <c r="E29" s="101"/>
      <c r="G29" s="99" t="s">
        <v>138</v>
      </c>
      <c r="H29" s="99"/>
      <c r="I29" s="100">
        <v>540</v>
      </c>
      <c r="J29" s="101"/>
    </row>
    <row r="30" spans="2:20" ht="13.5">
      <c r="B30" s="99" t="s">
        <v>140</v>
      </c>
      <c r="C30" s="99"/>
      <c r="D30" s="100">
        <v>196.34</v>
      </c>
      <c r="E30" s="101"/>
      <c r="G30" s="99" t="s">
        <v>140</v>
      </c>
      <c r="H30" s="99"/>
      <c r="I30" s="100">
        <v>5</v>
      </c>
      <c r="J30" s="101"/>
    </row>
    <row r="31" spans="2:20" ht="13.5">
      <c r="B31" s="99" t="s">
        <v>142</v>
      </c>
      <c r="C31" s="99"/>
      <c r="D31" s="100" t="s">
        <v>213</v>
      </c>
      <c r="E31" s="101"/>
      <c r="G31" s="99" t="s">
        <v>142</v>
      </c>
      <c r="H31" s="99"/>
      <c r="I31" s="100" t="s">
        <v>208</v>
      </c>
      <c r="J31" s="101"/>
    </row>
    <row r="32" spans="2:20" ht="13.5">
      <c r="B32" s="99" t="s">
        <v>145</v>
      </c>
      <c r="C32" s="99"/>
      <c r="D32" s="100">
        <v>500</v>
      </c>
      <c r="E32" s="101"/>
      <c r="G32" s="99" t="s">
        <v>145</v>
      </c>
      <c r="H32" s="99"/>
      <c r="I32" s="100">
        <v>30000</v>
      </c>
      <c r="J32" s="101"/>
    </row>
    <row r="33" spans="2:10" ht="14.25" thickBot="1">
      <c r="B33" s="102" t="s">
        <v>147</v>
      </c>
      <c r="C33" s="102"/>
      <c r="D33" s="103" t="s">
        <v>148</v>
      </c>
      <c r="E33" s="104"/>
      <c r="G33" s="102" t="s">
        <v>147</v>
      </c>
      <c r="H33" s="102"/>
      <c r="I33" s="103" t="s">
        <v>148</v>
      </c>
      <c r="J33" s="104"/>
    </row>
    <row r="34" spans="2:10" ht="12" thickTop="1"/>
  </sheetData>
  <mergeCells count="147"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Q12:R12"/>
    <mergeCell ref="S12:T12"/>
    <mergeCell ref="Q14:R14"/>
    <mergeCell ref="S14:T14"/>
    <mergeCell ref="Q15:R15"/>
    <mergeCell ref="Q16:R16"/>
    <mergeCell ref="S16:T16"/>
    <mergeCell ref="G21:J21"/>
    <mergeCell ref="G23:H23"/>
    <mergeCell ref="I23:J23"/>
    <mergeCell ref="I22:J22"/>
    <mergeCell ref="L15:M15"/>
    <mergeCell ref="N15:O15"/>
    <mergeCell ref="L16:M16"/>
    <mergeCell ref="N16:O16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L13:M13"/>
    <mergeCell ref="N13:O13"/>
    <mergeCell ref="L14:M14"/>
    <mergeCell ref="N14:O14"/>
    <mergeCell ref="L12:M12"/>
    <mergeCell ref="N12:O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15:H15"/>
    <mergeCell ref="I15:J15"/>
    <mergeCell ref="G12:H12"/>
    <mergeCell ref="I12:J12"/>
    <mergeCell ref="G13:H13"/>
    <mergeCell ref="I13:J13"/>
    <mergeCell ref="G14:H14"/>
    <mergeCell ref="D11:E11"/>
    <mergeCell ref="B12:C12"/>
    <mergeCell ref="B25:C25"/>
    <mergeCell ref="D25:E25"/>
    <mergeCell ref="B26:C26"/>
    <mergeCell ref="D26:E26"/>
    <mergeCell ref="B27:C27"/>
    <mergeCell ref="D27:E27"/>
    <mergeCell ref="B21:E21"/>
    <mergeCell ref="B23:C23"/>
    <mergeCell ref="D23:E23"/>
    <mergeCell ref="B24:C24"/>
    <mergeCell ref="D24:E24"/>
    <mergeCell ref="D22:E22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9"/>
  <sheetViews>
    <sheetView topLeftCell="D1" zoomScaleNormal="100" workbookViewId="0">
      <selection activeCell="G19" sqref="G1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1" t="s">
        <v>37</v>
      </c>
      <c r="C1" s="111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 t="shared" ref="E8:E14" si="0">IF(D8="中金买入",1,-1)</f>
        <v>-1</v>
      </c>
      <c r="F8" s="19" t="s">
        <v>22</v>
      </c>
      <c r="G8" s="19" t="s">
        <v>27</v>
      </c>
      <c r="H8" s="20">
        <f>RTD("wdf.rtq",,F8,"LastPrice")</f>
        <v>3982</v>
      </c>
      <c r="I8" s="19">
        <v>3800</v>
      </c>
      <c r="J8" s="21">
        <f t="shared" ref="J8:J14" ca="1" si="1">TODAY()</f>
        <v>43070</v>
      </c>
      <c r="K8" s="21">
        <f t="shared" ref="K8:K14" ca="1" si="2">J8+L8</f>
        <v>43100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-243.32204060914773</v>
      </c>
      <c r="Q8" s="25">
        <v>80</v>
      </c>
      <c r="R8" s="24">
        <f t="shared" ref="R8:R13" si="3">Q8/10000*M8*H8</f>
        <v>2.6183013698630138</v>
      </c>
      <c r="S8" s="24">
        <f t="shared" ref="S8:S13" si="4">IF(P8&lt;=0,ABS(P8)+R8,P8-R8)</f>
        <v>245.94034197901075</v>
      </c>
      <c r="T8" s="26">
        <f t="shared" ref="T8:T13" si="5">S8/H8</f>
        <v>6.1763019080615461E-2</v>
      </c>
      <c r="U8" s="24">
        <f>_xll.dnetGBlackScholesNGreeks("delta",$G8,$H8,$I8,$M8,$C$3,$N8,$O8,$C$4)*E8</f>
        <v>-0.72019559561340429</v>
      </c>
      <c r="V8" s="24">
        <f>_xll.dnetGBlackScholesNGreeks("vega",$G8,$H8,$I8,$M8,$C$3,$N8,$O8,$C$4)*E8</f>
        <v>-3.8268213856749753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43070</v>
      </c>
      <c r="K9" s="8">
        <f t="shared" ca="1" si="2"/>
        <v>43140</v>
      </c>
      <c r="L9" s="10">
        <v>70</v>
      </c>
      <c r="M9" s="12">
        <f>L9/365</f>
        <v>0.19178082191780821</v>
      </c>
      <c r="N9" s="12">
        <v>0</v>
      </c>
      <c r="O9" s="9">
        <v>2.4E-2</v>
      </c>
      <c r="P9" s="13">
        <f>_xll.dnetGBlackScholesNGreeks("price",$G9,$H9,$I9,$M9,$C$3,$N9,$O9,$C$4)*E9</f>
        <v>0.41769195379377067</v>
      </c>
      <c r="Q9" s="15">
        <v>80</v>
      </c>
      <c r="R9" s="13">
        <f t="shared" si="3"/>
        <v>0.15342465753424656</v>
      </c>
      <c r="S9" s="13">
        <f t="shared" si="4"/>
        <v>0.26426729625952411</v>
      </c>
      <c r="T9" s="14">
        <f t="shared" si="5"/>
        <v>2.6426729625952409E-3</v>
      </c>
      <c r="U9" s="13">
        <f>_xll.dnetGBlackScholesNGreeks("delta",$G9,$H9,$I9,$M9,$C$3,$N9,$O9,$C$4)*E9</f>
        <v>0.50017423031398778</v>
      </c>
      <c r="V9" s="13">
        <f>_xll.dnetGBlackScholesNGreeks("vega",$G9,$H9,$I9,$M9,$C$3,$N9,$O9,$C$4)*E9</f>
        <v>0.17403657291401942</v>
      </c>
    </row>
    <row r="10" spans="1:22">
      <c r="B10" s="94"/>
      <c r="C10" s="10" t="s">
        <v>206</v>
      </c>
      <c r="D10" s="10" t="s">
        <v>20</v>
      </c>
      <c r="E10" s="10">
        <f t="shared" si="0"/>
        <v>-1</v>
      </c>
      <c r="F10" s="10" t="s">
        <v>204</v>
      </c>
      <c r="G10" s="10" t="s">
        <v>39</v>
      </c>
      <c r="H10" s="11">
        <f>RTD("wdf.rtq",,F10,"LastPrice")</f>
        <v>6148</v>
      </c>
      <c r="I10" s="11">
        <f>H10</f>
        <v>6148</v>
      </c>
      <c r="J10" s="8">
        <f t="shared" ca="1" si="1"/>
        <v>43070</v>
      </c>
      <c r="K10" s="8">
        <f t="shared" ca="1" si="2"/>
        <v>43160</v>
      </c>
      <c r="L10" s="10">
        <v>90</v>
      </c>
      <c r="M10" s="12">
        <f>L10/365</f>
        <v>0.24657534246575341</v>
      </c>
      <c r="N10" s="12">
        <v>0</v>
      </c>
      <c r="O10" s="9">
        <v>0.14799999999999999</v>
      </c>
      <c r="P10" s="13">
        <f>_xll.dnetGBlackScholesNGreeks("price",$G10,$H10,$I10,$M10,$C$3,$N10,$O10,$C$4)*E10</f>
        <v>-179.32507081698122</v>
      </c>
      <c r="Q10" s="15">
        <v>0</v>
      </c>
      <c r="R10" s="13">
        <f t="shared" si="3"/>
        <v>0</v>
      </c>
      <c r="S10" s="13">
        <f t="shared" si="4"/>
        <v>179.32507081698122</v>
      </c>
      <c r="T10" s="14">
        <f t="shared" si="5"/>
        <v>2.9168033639717181E-2</v>
      </c>
      <c r="U10" s="13">
        <f>_xll.dnetGBlackScholesNGreeks("delta",$G10,$H10,$I10,$M10,$C$3,$N10,$O10,$C$4)*E10</f>
        <v>-0.51212433334058005</v>
      </c>
      <c r="V10" s="13">
        <f>_xll.dnetGBlackScholesNGreeks("vega",$G10,$H10,$I10,$M10,$C$3,$N10,$O10,$C$4)*E10</f>
        <v>-12.111093947258041</v>
      </c>
    </row>
    <row r="11" spans="1:22">
      <c r="B11" s="13"/>
      <c r="C11" s="10" t="s">
        <v>187</v>
      </c>
      <c r="D11" s="10" t="s">
        <v>151</v>
      </c>
      <c r="E11" s="10">
        <f t="shared" si="0"/>
        <v>1</v>
      </c>
      <c r="F11" s="10" t="s">
        <v>208</v>
      </c>
      <c r="G11" s="10" t="s">
        <v>39</v>
      </c>
      <c r="H11" s="11">
        <f>RTD("wdf.rtq",,F11,"LastPrice")</f>
        <v>530.5</v>
      </c>
      <c r="I11" s="10">
        <v>535</v>
      </c>
      <c r="J11" s="8">
        <f t="shared" ca="1" si="1"/>
        <v>43070</v>
      </c>
      <c r="K11" s="8">
        <f t="shared" ca="1" si="2"/>
        <v>43084</v>
      </c>
      <c r="L11" s="10">
        <v>14</v>
      </c>
      <c r="M11" s="12">
        <f>L11/365</f>
        <v>3.8356164383561646E-2</v>
      </c>
      <c r="N11" s="12">
        <v>0</v>
      </c>
      <c r="O11" s="9">
        <v>0.28000000000000003</v>
      </c>
      <c r="P11" s="13">
        <f>_xll.dnetGBlackScholesNGreeks("price",$G11,$H11,$I11,$M11,$C$3,$N11,$O11,$C$4)*E11</f>
        <v>9.5340780877270674</v>
      </c>
      <c r="Q11" s="15">
        <v>0</v>
      </c>
      <c r="R11" s="13">
        <f t="shared" si="3"/>
        <v>0</v>
      </c>
      <c r="S11" s="13">
        <f t="shared" si="4"/>
        <v>9.5340780877270674</v>
      </c>
      <c r="T11" s="14">
        <f t="shared" si="5"/>
        <v>1.7971871984405405E-2</v>
      </c>
      <c r="U11" s="13">
        <f>_xll.dnetGBlackScholesNGreeks("delta",$G11,$H11,$I11,$M11,$C$3,$N11,$O11,$C$4)*E11</f>
        <v>0.44927770977807313</v>
      </c>
      <c r="V11" s="13">
        <f>_xll.dnetGBlackScholesNGreeks("vega",$G11,$H11,$I11,$M11,$C$3,$N11,$O11,$C$4)*E11</f>
        <v>0.41085833984597286</v>
      </c>
    </row>
    <row r="12" spans="1:22">
      <c r="B12" s="13"/>
      <c r="C12" s="10" t="s">
        <v>187</v>
      </c>
      <c r="D12" s="10" t="s">
        <v>151</v>
      </c>
      <c r="E12" s="10">
        <f t="shared" si="0"/>
        <v>1</v>
      </c>
      <c r="F12" s="10" t="s">
        <v>209</v>
      </c>
      <c r="G12" s="10" t="s">
        <v>39</v>
      </c>
      <c r="H12" s="97">
        <v>2093.5</v>
      </c>
      <c r="I12" s="10">
        <v>1900</v>
      </c>
      <c r="J12" s="8">
        <f t="shared" ca="1" si="1"/>
        <v>43070</v>
      </c>
      <c r="K12" s="8">
        <f t="shared" ca="1" si="2"/>
        <v>43080</v>
      </c>
      <c r="L12" s="10">
        <v>10</v>
      </c>
      <c r="M12" s="12">
        <f>L12/365</f>
        <v>2.7397260273972601E-2</v>
      </c>
      <c r="N12" s="12">
        <v>0</v>
      </c>
      <c r="O12" s="9">
        <v>0.37</v>
      </c>
      <c r="P12" s="13">
        <f>_xll.dnetGBlackScholesNGreeks("price",$G12,$H12,$I12,$M12,$C$3,$N12,$O12,$C$4)*E12</f>
        <v>196.34190460695208</v>
      </c>
      <c r="Q12" s="15">
        <v>0</v>
      </c>
      <c r="R12" s="13">
        <f t="shared" si="3"/>
        <v>0</v>
      </c>
      <c r="S12" s="13">
        <f t="shared" si="4"/>
        <v>196.34190460695208</v>
      </c>
      <c r="T12" s="14">
        <f t="shared" si="5"/>
        <v>9.3786436401696718E-2</v>
      </c>
      <c r="U12" s="13">
        <f>_xll.dnetGBlackScholesNGreeks("delta",$G12,$H12,$I12,$M12,$C$3,$N12,$O12,$C$4)*E12</f>
        <v>0.94624036586310467</v>
      </c>
      <c r="V12" s="13">
        <f>_xll.dnetGBlackScholesNGreeks("vega",$G12,$H12,$I12,$M12,$C$3,$N12,$O12,$C$4)*E12</f>
        <v>0.37542112400979022</v>
      </c>
    </row>
    <row r="13" spans="1:22">
      <c r="B13" s="13"/>
      <c r="C13" s="10" t="s">
        <v>187</v>
      </c>
      <c r="D13" s="10" t="s">
        <v>151</v>
      </c>
      <c r="E13" s="10">
        <f t="shared" si="0"/>
        <v>1</v>
      </c>
      <c r="F13" s="10" t="s">
        <v>214</v>
      </c>
      <c r="G13" s="10" t="s">
        <v>39</v>
      </c>
      <c r="H13" s="11">
        <f>RTD("wdf.rtq",,F13,"LastPrice")</f>
        <v>530.5</v>
      </c>
      <c r="I13" s="10">
        <v>535</v>
      </c>
      <c r="J13" s="8">
        <f t="shared" ca="1" si="1"/>
        <v>43070</v>
      </c>
      <c r="K13" s="8">
        <f t="shared" ca="1" si="2"/>
        <v>43084</v>
      </c>
      <c r="L13" s="10">
        <v>14</v>
      </c>
      <c r="M13" s="12">
        <f>(L13-2)/365</f>
        <v>3.287671232876712E-2</v>
      </c>
      <c r="N13" s="12">
        <v>0</v>
      </c>
      <c r="O13" s="9">
        <v>0.28000000000000003</v>
      </c>
      <c r="P13" s="13">
        <f>_xll.dnetGBlackScholesNGreeks("price",$G13,$H13,$I13,$M13,$C$3,$N13,$O13,$C$4)*E13</f>
        <v>8.6824359620746066</v>
      </c>
      <c r="Q13" s="15">
        <v>0</v>
      </c>
      <c r="R13" s="13">
        <f t="shared" si="3"/>
        <v>0</v>
      </c>
      <c r="S13" s="13">
        <f t="shared" si="4"/>
        <v>8.6824359620746066</v>
      </c>
      <c r="T13" s="14">
        <f t="shared" si="5"/>
        <v>1.6366514537369665E-2</v>
      </c>
      <c r="U13" s="13">
        <f>_xll.dnetGBlackScholesNGreeks("delta",$G13,$H13,$I13,$M13,$C$3,$N13,$O13,$C$4)*E13</f>
        <v>0.44364679516490924</v>
      </c>
      <c r="V13" s="13">
        <f>_xll.dnetGBlackScholesNGreeks("vega",$G13,$H13,$I13,$M13,$C$3,$N13,$O13,$C$4)*E13</f>
        <v>0.37969062298148515</v>
      </c>
    </row>
    <row r="14" spans="1:22">
      <c r="B14" s="13"/>
      <c r="C14" s="10" t="s">
        <v>187</v>
      </c>
      <c r="D14" s="10" t="s">
        <v>151</v>
      </c>
      <c r="E14" s="10">
        <f t="shared" si="0"/>
        <v>1</v>
      </c>
      <c r="F14" s="10" t="s">
        <v>207</v>
      </c>
      <c r="G14" s="10" t="s">
        <v>39</v>
      </c>
      <c r="H14" s="11">
        <v>531</v>
      </c>
      <c r="I14" s="10">
        <v>540</v>
      </c>
      <c r="J14" s="8">
        <f t="shared" ca="1" si="1"/>
        <v>43070</v>
      </c>
      <c r="K14" s="8">
        <f t="shared" ca="1" si="2"/>
        <v>43084</v>
      </c>
      <c r="L14" s="10">
        <v>14</v>
      </c>
      <c r="M14" s="12">
        <f>(L14-2)/365</f>
        <v>3.287671232876712E-2</v>
      </c>
      <c r="N14" s="12">
        <v>0</v>
      </c>
      <c r="O14" s="9">
        <v>0.23</v>
      </c>
      <c r="P14" s="13">
        <f>_xll.dnetGBlackScholesNGreeks("price",$G14,$H14,$I14,$M14,$C$3,$N14,$O14,$C$4)*E14</f>
        <v>5.118959549588908</v>
      </c>
      <c r="Q14" s="15">
        <v>0</v>
      </c>
      <c r="R14" s="13">
        <f t="shared" ref="R14" si="6">Q14/10000*M14*H14</f>
        <v>0</v>
      </c>
      <c r="S14" s="13">
        <f t="shared" ref="S14" si="7">IF(P14&lt;=0,ABS(P14)+R14,P14-R14)</f>
        <v>5.118959549588908</v>
      </c>
      <c r="T14" s="14">
        <f t="shared" ref="T14" si="8">S14/H14</f>
        <v>9.6402251404687535E-3</v>
      </c>
      <c r="U14" s="13">
        <f>_xll.dnetGBlackScholesNGreeks("delta",$G14,$H14,$I14,$M14,$C$3,$N14,$O14,$C$4)*E14</f>
        <v>0.35093929792537892</v>
      </c>
      <c r="V14" s="13">
        <f>_xll.dnetGBlackScholesNGreeks("vega",$G14,$H14,$I14,$M14,$C$3,$N14,$O14,$C$4)*E14</f>
        <v>0.3567679864483182</v>
      </c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>
        <f>U14*300</f>
        <v>105.28178937761368</v>
      </c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A4" workbookViewId="0">
      <selection activeCell="N16" sqref="N1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4" t="s">
        <v>37</v>
      </c>
      <c r="C1" s="111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43070</v>
      </c>
      <c r="K8" s="57">
        <f ca="1">J8+L8</f>
        <v>43100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43070</v>
      </c>
      <c r="K9" s="65">
        <f t="shared" ca="1" si="0"/>
        <v>43100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43070</v>
      </c>
      <c r="K10" s="73">
        <f t="shared" ca="1" si="0"/>
        <v>43100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workbookViewId="0">
      <selection activeCell="I17" sqref="I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11" t="s">
        <v>38</v>
      </c>
      <c r="C1" s="111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3982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28">
        <v>0.02</v>
      </c>
      <c r="M8" s="21">
        <f ca="1">TODAY()</f>
        <v>43070</v>
      </c>
      <c r="N8" s="21">
        <f ca="1">M8+O8</f>
        <v>43100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-79.64</v>
      </c>
      <c r="T8" s="25">
        <v>80</v>
      </c>
      <c r="U8" s="24">
        <f>T8/10000*P8*H8</f>
        <v>2.6183013698630138</v>
      </c>
      <c r="V8" s="24">
        <f>IF(S8&lt;=0,ABS(S8)+U8,S8-U8)</f>
        <v>82.25830136986302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43070</v>
      </c>
      <c r="N9" s="8">
        <f ca="1">M9+O9</f>
        <v>43100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6"/>
  <sheetViews>
    <sheetView workbookViewId="0">
      <selection activeCell="G14" sqref="G14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15" t="s">
        <v>37</v>
      </c>
      <c r="C1" s="115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3982</v>
      </c>
      <c r="I8" s="19">
        <v>3800</v>
      </c>
      <c r="J8" s="21">
        <f ca="1">TODAY()</f>
        <v>43070</v>
      </c>
      <c r="K8" s="21">
        <f ca="1">J8+L8</f>
        <v>43100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245.68535698404276</v>
      </c>
      <c r="P8" s="25">
        <v>80</v>
      </c>
      <c r="Q8" s="24">
        <f>P8/10000*M8*H8*(-E8)</f>
        <v>2.6183013698630138</v>
      </c>
      <c r="R8" s="24">
        <f>O8+Q8</f>
        <v>248.30365835390577</v>
      </c>
      <c r="S8" s="26">
        <f>R8/H8</f>
        <v>6.2356518923632788E-2</v>
      </c>
      <c r="T8" s="24">
        <f>_xll.dnetGBlackScholesNGreeks("delta",$G8,$H8,$I8,$M8,$C$3,$C$4,$N8,$C$4)</f>
        <v>0.72398530037389719</v>
      </c>
      <c r="U8" s="24">
        <f>_xll.dnetGBlackScholesNGreeks("vega",$G8,$H8,$I8,$M8,$C$3,$C$4,$N8)</f>
        <v>3.8083538547471107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43070</v>
      </c>
      <c r="K9" s="8">
        <f ca="1">J9+L9</f>
        <v>43100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43070</v>
      </c>
      <c r="K10" s="8">
        <f ca="1">J10+L10</f>
        <v>43100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2017-12-01T14:52:32Z</dcterms:modified>
</cp:coreProperties>
</file>