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7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71" i="1" l="1"/>
  <c r="I71" i="1"/>
  <c r="E71" i="1"/>
  <c r="F71" i="1" s="1"/>
  <c r="R70" i="1"/>
  <c r="I70" i="1"/>
  <c r="E70" i="1"/>
  <c r="F70" i="1" s="1"/>
  <c r="U70" i="1"/>
  <c r="V70" i="1"/>
  <c r="L70" i="1"/>
  <c r="L71" i="1"/>
  <c r="Y70" i="1" l="1"/>
  <c r="N71" i="1"/>
  <c r="O71" i="1" s="1"/>
  <c r="T71" i="1" s="1"/>
  <c r="N70" i="1"/>
  <c r="U71" i="1"/>
  <c r="V71" i="1"/>
  <c r="P49" i="1"/>
  <c r="O70" i="1" l="1"/>
  <c r="T70" i="1" s="1"/>
  <c r="Y71" i="1"/>
  <c r="R68" i="1"/>
  <c r="I68" i="1"/>
  <c r="E68" i="1"/>
  <c r="F68" i="1" s="1"/>
  <c r="R67" i="1"/>
  <c r="I67" i="1"/>
  <c r="E67" i="1"/>
  <c r="F67" i="1" s="1"/>
  <c r="R66" i="1"/>
  <c r="I66" i="1"/>
  <c r="E66" i="1"/>
  <c r="F66" i="1" s="1"/>
  <c r="P67" i="1"/>
  <c r="P66" i="1"/>
  <c r="P68" i="1"/>
  <c r="L68" i="1"/>
  <c r="V68" i="1"/>
  <c r="L67" i="1"/>
  <c r="V66" i="1"/>
  <c r="N67" i="1" l="1"/>
  <c r="O67" i="1" s="1"/>
  <c r="T67" i="1" s="1"/>
  <c r="N68" i="1"/>
  <c r="O68" i="1" s="1"/>
  <c r="T68" i="1" s="1"/>
  <c r="N66" i="1"/>
  <c r="R64" i="1"/>
  <c r="I64" i="1"/>
  <c r="N64" i="1" s="1"/>
  <c r="E64" i="1"/>
  <c r="F64" i="1" s="1"/>
  <c r="L66" i="1"/>
  <c r="U67" i="1"/>
  <c r="U66" i="1"/>
  <c r="U68" i="1"/>
  <c r="V67" i="1"/>
  <c r="V64" i="1"/>
  <c r="Y66" i="1" l="1"/>
  <c r="O66" i="1"/>
  <c r="T66" i="1" s="1"/>
  <c r="Y67" i="1"/>
  <c r="Y68" i="1"/>
  <c r="R63" i="1"/>
  <c r="I63" i="1"/>
  <c r="N63" i="1" s="1"/>
  <c r="E63" i="1"/>
  <c r="F63" i="1" s="1"/>
  <c r="U64" i="1"/>
  <c r="L64" i="1"/>
  <c r="V63" i="1"/>
  <c r="O64" i="1" l="1"/>
  <c r="T64" i="1" s="1"/>
  <c r="Y64" i="1"/>
  <c r="R61" i="1"/>
  <c r="I61" i="1"/>
  <c r="N61" i="1" s="1"/>
  <c r="E61" i="1"/>
  <c r="F61" i="1" s="1"/>
  <c r="R60" i="1"/>
  <c r="I60" i="1"/>
  <c r="N60" i="1" s="1"/>
  <c r="E60" i="1"/>
  <c r="F60" i="1" s="1"/>
  <c r="U63" i="1"/>
  <c r="L63" i="1"/>
  <c r="V61" i="1"/>
  <c r="L60" i="1"/>
  <c r="O63" i="1" l="1"/>
  <c r="T63" i="1" s="1"/>
  <c r="Y63" i="1"/>
  <c r="O60" i="1"/>
  <c r="T60" i="1" s="1"/>
  <c r="L61" i="1"/>
  <c r="V60" i="1"/>
  <c r="U60" i="1"/>
  <c r="U61" i="1"/>
  <c r="Y60" i="1" l="1"/>
  <c r="Y61" i="1"/>
  <c r="O61" i="1"/>
  <c r="T61" i="1" s="1"/>
  <c r="R58" i="1" l="1"/>
  <c r="I58" i="1"/>
  <c r="E58" i="1"/>
  <c r="F58" i="1" s="1"/>
  <c r="R57" i="1"/>
  <c r="I57" i="1"/>
  <c r="E57" i="1"/>
  <c r="F57" i="1" s="1"/>
  <c r="L57" i="1"/>
  <c r="P58" i="1"/>
  <c r="N58" i="1" l="1"/>
  <c r="N57" i="1"/>
  <c r="O57" i="1" s="1"/>
  <c r="T57" i="1" s="1"/>
  <c r="V58" i="1"/>
  <c r="U57" i="1"/>
  <c r="V57" i="1"/>
  <c r="L58" i="1"/>
  <c r="U58" i="1"/>
  <c r="Y57" i="1" l="1"/>
  <c r="Y58" i="1"/>
  <c r="O58" i="1"/>
  <c r="T58" i="1" s="1"/>
  <c r="P84" i="2" l="1"/>
  <c r="N83" i="2"/>
  <c r="I83" i="2"/>
  <c r="N81" i="2"/>
  <c r="I81" i="2"/>
  <c r="Q72" i="2"/>
  <c r="N69" i="2"/>
  <c r="I69" i="2"/>
  <c r="N67" i="2"/>
  <c r="R47" i="1"/>
  <c r="I47" i="1"/>
  <c r="E47" i="1"/>
  <c r="F47" i="1" s="1"/>
  <c r="R46" i="1"/>
  <c r="I46" i="1"/>
  <c r="N46" i="1" s="1"/>
  <c r="E46" i="1"/>
  <c r="F46" i="1" s="1"/>
  <c r="P40" i="1"/>
  <c r="P47" i="1"/>
  <c r="L46" i="1"/>
  <c r="N47" i="1" l="1"/>
  <c r="O46" i="1"/>
  <c r="T46" i="1" s="1"/>
  <c r="V46" i="1"/>
  <c r="U47" i="1"/>
  <c r="L47" i="1"/>
  <c r="V47" i="1"/>
  <c r="U46" i="1"/>
  <c r="O47" i="1" l="1"/>
  <c r="T47" i="1" s="1"/>
  <c r="Y47" i="1"/>
  <c r="Y46" i="1"/>
  <c r="R45" i="1" l="1"/>
  <c r="I45" i="1"/>
  <c r="N45" i="1" s="1"/>
  <c r="E45" i="1"/>
  <c r="F45" i="1" s="1"/>
  <c r="R44" i="1"/>
  <c r="I44" i="1"/>
  <c r="N44" i="1" s="1"/>
  <c r="E44" i="1"/>
  <c r="F44" i="1" s="1"/>
  <c r="R55" i="1"/>
  <c r="I55" i="1"/>
  <c r="N55" i="1" s="1"/>
  <c r="E55" i="1"/>
  <c r="F55" i="1" s="1"/>
  <c r="R54" i="1"/>
  <c r="I54" i="1"/>
  <c r="N54" i="1" s="1"/>
  <c r="E54" i="1"/>
  <c r="F54" i="1" s="1"/>
  <c r="R53" i="1"/>
  <c r="I53" i="1"/>
  <c r="N53" i="1" s="1"/>
  <c r="E53" i="1"/>
  <c r="F53" i="1" s="1"/>
  <c r="R52" i="1"/>
  <c r="I52" i="1"/>
  <c r="N52" i="1" s="1"/>
  <c r="E52" i="1"/>
  <c r="F52" i="1" s="1"/>
  <c r="R49" i="1"/>
  <c r="I49" i="1"/>
  <c r="E49" i="1"/>
  <c r="F49" i="1" s="1"/>
  <c r="L54" i="1"/>
  <c r="L44" i="1"/>
  <c r="V45" i="1"/>
  <c r="U53" i="1"/>
  <c r="V53" i="1"/>
  <c r="V49" i="1"/>
  <c r="L45" i="1"/>
  <c r="L55" i="1"/>
  <c r="L53" i="1"/>
  <c r="V52" i="1"/>
  <c r="O44" i="1" l="1"/>
  <c r="T44" i="1" s="1"/>
  <c r="O45" i="1"/>
  <c r="T45" i="1" s="1"/>
  <c r="O54" i="1"/>
  <c r="T54" i="1" s="1"/>
  <c r="O55" i="1"/>
  <c r="T55" i="1" s="1"/>
  <c r="O53" i="1"/>
  <c r="T53" i="1" s="1"/>
  <c r="Y53" i="1"/>
  <c r="N49" i="1"/>
  <c r="R43" i="1"/>
  <c r="I43" i="1"/>
  <c r="E43" i="1"/>
  <c r="F43" i="1" s="1"/>
  <c r="L49" i="1"/>
  <c r="U54" i="1"/>
  <c r="U52" i="1"/>
  <c r="U44" i="1"/>
  <c r="U45" i="1"/>
  <c r="V54" i="1"/>
  <c r="U55" i="1"/>
  <c r="L52" i="1"/>
  <c r="V55" i="1"/>
  <c r="V44" i="1"/>
  <c r="U49" i="1"/>
  <c r="L43" i="1"/>
  <c r="Y45" i="1" l="1"/>
  <c r="Y49" i="1"/>
  <c r="O49" i="1"/>
  <c r="T49" i="1" s="1"/>
  <c r="O52" i="1"/>
  <c r="T52" i="1" s="1"/>
  <c r="Y55" i="1"/>
  <c r="Y44" i="1"/>
  <c r="Y54" i="1"/>
  <c r="Y52" i="1"/>
  <c r="N43" i="1"/>
  <c r="O43" i="1" s="1"/>
  <c r="T43" i="1" s="1"/>
  <c r="R42" i="1"/>
  <c r="I42" i="1"/>
  <c r="E42" i="1"/>
  <c r="F42" i="1" s="1"/>
  <c r="U42" i="1"/>
  <c r="U43" i="1"/>
  <c r="V43" i="1"/>
  <c r="Y43" i="1" l="1"/>
  <c r="Y42" i="1"/>
  <c r="N42" i="1"/>
  <c r="R40" i="1"/>
  <c r="I40" i="1"/>
  <c r="N40" i="1" s="1"/>
  <c r="E40" i="1"/>
  <c r="F40" i="1" s="1"/>
  <c r="R39" i="1"/>
  <c r="I39" i="1"/>
  <c r="E39" i="1"/>
  <c r="F39" i="1" s="1"/>
  <c r="R38" i="1"/>
  <c r="I38" i="1"/>
  <c r="E38" i="1"/>
  <c r="F38" i="1" s="1"/>
  <c r="R37" i="1"/>
  <c r="I37" i="1"/>
  <c r="E37" i="1"/>
  <c r="F37" i="1" s="1"/>
  <c r="R36" i="1"/>
  <c r="I36" i="1"/>
  <c r="E36" i="1"/>
  <c r="F36" i="1" s="1"/>
  <c r="R34" i="1"/>
  <c r="I34" i="1"/>
  <c r="N34" i="1" s="1"/>
  <c r="E34" i="1"/>
  <c r="F34" i="1" s="1"/>
  <c r="R33" i="1"/>
  <c r="I33" i="1"/>
  <c r="E33" i="1"/>
  <c r="F33" i="1" s="1"/>
  <c r="R32" i="1"/>
  <c r="I32" i="1"/>
  <c r="E32" i="1"/>
  <c r="F32" i="1" s="1"/>
  <c r="R31" i="1"/>
  <c r="I31" i="1"/>
  <c r="E31" i="1"/>
  <c r="F31" i="1" s="1"/>
  <c r="R30" i="1"/>
  <c r="I30" i="1"/>
  <c r="E30" i="1"/>
  <c r="F30" i="1" s="1"/>
  <c r="P37" i="1"/>
  <c r="L42" i="1"/>
  <c r="V40" i="1"/>
  <c r="L37" i="1"/>
  <c r="P36" i="1"/>
  <c r="P38" i="1"/>
  <c r="U38" i="1" s="1"/>
  <c r="L38" i="1"/>
  <c r="P30" i="1"/>
  <c r="L34" i="1"/>
  <c r="P32" i="1"/>
  <c r="P31" i="1"/>
  <c r="P39" i="1"/>
  <c r="V42" i="1"/>
  <c r="P33" i="1"/>
  <c r="L30" i="1"/>
  <c r="L39" i="1"/>
  <c r="O42" i="1" l="1"/>
  <c r="T42" i="1" s="1"/>
  <c r="Y38" i="1"/>
  <c r="O34" i="1"/>
  <c r="T34" i="1" s="1"/>
  <c r="N36" i="1"/>
  <c r="N31" i="1"/>
  <c r="N39" i="1"/>
  <c r="O39" i="1" s="1"/>
  <c r="T39" i="1" s="1"/>
  <c r="N37" i="1"/>
  <c r="O37" i="1" s="1"/>
  <c r="T37" i="1" s="1"/>
  <c r="N38" i="1"/>
  <c r="O38" i="1" s="1"/>
  <c r="T38" i="1" s="1"/>
  <c r="N33" i="1"/>
  <c r="N32" i="1"/>
  <c r="N30" i="1"/>
  <c r="O30" i="1" s="1"/>
  <c r="T30" i="1" s="1"/>
  <c r="V37" i="1"/>
  <c r="L36" i="1"/>
  <c r="U31" i="1"/>
  <c r="U30" i="1"/>
  <c r="U32" i="1"/>
  <c r="U34" i="1"/>
  <c r="V38" i="1"/>
  <c r="U33" i="1"/>
  <c r="V33" i="1"/>
  <c r="V34" i="1"/>
  <c r="V39" i="1"/>
  <c r="L31" i="1"/>
  <c r="U36" i="1"/>
  <c r="U39" i="1"/>
  <c r="V30" i="1"/>
  <c r="U37" i="1"/>
  <c r="V31" i="1"/>
  <c r="L40" i="1"/>
  <c r="L32" i="1"/>
  <c r="L33" i="1"/>
  <c r="U40" i="1"/>
  <c r="V36" i="1"/>
  <c r="V32" i="1"/>
  <c r="O36" i="1" l="1"/>
  <c r="T36" i="1" s="1"/>
  <c r="O33" i="1"/>
  <c r="T33" i="1" s="1"/>
  <c r="Y36" i="1"/>
  <c r="Y31" i="1"/>
  <c r="O40" i="1"/>
  <c r="T40" i="1" s="1"/>
  <c r="Y33" i="1"/>
  <c r="O32" i="1"/>
  <c r="T32" i="1" s="1"/>
  <c r="O31" i="1"/>
  <c r="T31" i="1" s="1"/>
  <c r="Y37" i="1"/>
  <c r="Y39" i="1"/>
  <c r="Y34" i="1"/>
  <c r="Y32" i="1"/>
  <c r="Y40" i="1"/>
  <c r="Y30" i="1"/>
  <c r="R24" i="1" l="1"/>
  <c r="I24" i="1"/>
  <c r="N24" i="1" s="1"/>
  <c r="G24" i="1"/>
  <c r="E24" i="1"/>
  <c r="F24" i="1" s="1"/>
  <c r="R23" i="1"/>
  <c r="I23" i="1"/>
  <c r="N23" i="1" s="1"/>
  <c r="G23" i="1"/>
  <c r="E23" i="1"/>
  <c r="F23" i="1" s="1"/>
  <c r="R28" i="1"/>
  <c r="I28" i="1"/>
  <c r="N28" i="1" s="1"/>
  <c r="G28" i="1"/>
  <c r="E28" i="1"/>
  <c r="F28" i="1" s="1"/>
  <c r="R27" i="1"/>
  <c r="I27" i="1"/>
  <c r="N27" i="1" s="1"/>
  <c r="G27" i="1"/>
  <c r="E27" i="1"/>
  <c r="F27" i="1" s="1"/>
  <c r="R26" i="1"/>
  <c r="I26" i="1"/>
  <c r="N26" i="1" s="1"/>
  <c r="G26" i="1"/>
  <c r="E26" i="1"/>
  <c r="F26" i="1" s="1"/>
  <c r="R25" i="1"/>
  <c r="I25" i="1"/>
  <c r="N25" i="1" s="1"/>
  <c r="G25" i="1"/>
  <c r="E25" i="1"/>
  <c r="F25" i="1" s="1"/>
  <c r="L26" i="1"/>
  <c r="V26" i="1"/>
  <c r="V28" i="1"/>
  <c r="L27" i="1"/>
  <c r="L28" i="1"/>
  <c r="L24" i="1"/>
  <c r="V24" i="1"/>
  <c r="L23" i="1"/>
  <c r="L25" i="1"/>
  <c r="O23" i="1" l="1"/>
  <c r="T23" i="1" s="1"/>
  <c r="O25" i="1"/>
  <c r="T25" i="1" s="1"/>
  <c r="O27" i="1"/>
  <c r="T27" i="1" s="1"/>
  <c r="O24" i="1"/>
  <c r="T24" i="1" s="1"/>
  <c r="O28" i="1"/>
  <c r="T28" i="1" s="1"/>
  <c r="O26" i="1"/>
  <c r="T26" i="1" s="1"/>
  <c r="H9" i="1"/>
  <c r="V27" i="1"/>
  <c r="V25" i="1"/>
  <c r="U28" i="1"/>
  <c r="U25" i="1"/>
  <c r="V23" i="1"/>
  <c r="U23" i="1"/>
  <c r="U26" i="1"/>
  <c r="U27" i="1"/>
  <c r="U24" i="1"/>
  <c r="Y25" i="1" l="1"/>
  <c r="Y24" i="1"/>
  <c r="Y28" i="1"/>
  <c r="Y26" i="1"/>
  <c r="Y27" i="1"/>
  <c r="Y23" i="1"/>
  <c r="R21" i="1"/>
  <c r="I21" i="1"/>
  <c r="N21" i="1" s="1"/>
  <c r="E21" i="1"/>
  <c r="F21" i="1" s="1"/>
  <c r="V21" i="1"/>
  <c r="R20" i="1" l="1"/>
  <c r="I20" i="1"/>
  <c r="E20" i="1"/>
  <c r="F20" i="1" s="1"/>
  <c r="R19" i="1"/>
  <c r="I19" i="1"/>
  <c r="E19" i="1"/>
  <c r="F19" i="1" s="1"/>
  <c r="R18" i="1"/>
  <c r="I18" i="1"/>
  <c r="E18" i="1"/>
  <c r="F18" i="1" s="1"/>
  <c r="R17" i="1"/>
  <c r="I17" i="1"/>
  <c r="E17" i="1"/>
  <c r="F17" i="1" s="1"/>
  <c r="L21" i="1"/>
  <c r="P17" i="1"/>
  <c r="P20" i="1"/>
  <c r="U21" i="1"/>
  <c r="P18" i="1"/>
  <c r="P19" i="1"/>
  <c r="L18" i="1"/>
  <c r="O21" i="1" l="1"/>
  <c r="T21" i="1" s="1"/>
  <c r="Y21" i="1"/>
  <c r="N17" i="1"/>
  <c r="N20" i="1"/>
  <c r="N18" i="1"/>
  <c r="O18" i="1" s="1"/>
  <c r="T18" i="1" s="1"/>
  <c r="N19" i="1"/>
  <c r="L20" i="1"/>
  <c r="V18" i="1"/>
  <c r="V19" i="1"/>
  <c r="L19" i="1"/>
  <c r="V17" i="1"/>
  <c r="U17" i="1"/>
  <c r="U20" i="1"/>
  <c r="U18" i="1"/>
  <c r="V20" i="1"/>
  <c r="L17" i="1"/>
  <c r="U19" i="1"/>
  <c r="O20" i="1" l="1"/>
  <c r="T20" i="1" s="1"/>
  <c r="O19" i="1"/>
  <c r="T19" i="1" s="1"/>
  <c r="O17" i="1"/>
  <c r="T17" i="1" s="1"/>
  <c r="Y18" i="1"/>
  <c r="Y17" i="1"/>
  <c r="Y19" i="1"/>
  <c r="Y20" i="1"/>
  <c r="X14" i="1" l="1"/>
  <c r="R14" i="1"/>
  <c r="I14" i="1"/>
  <c r="E14" i="1"/>
  <c r="F14" i="1" s="1"/>
  <c r="P14" i="1"/>
  <c r="Z14" i="1" l="1"/>
  <c r="N14" i="1"/>
  <c r="I67" i="2"/>
  <c r="P13" i="1"/>
  <c r="U14" i="1"/>
  <c r="L14" i="1"/>
  <c r="P12" i="1"/>
  <c r="V14" i="1"/>
  <c r="Y14" i="1" l="1"/>
  <c r="O14" i="1"/>
  <c r="T14" i="1" s="1"/>
  <c r="S55" i="2"/>
  <c r="S53" i="2"/>
  <c r="N55" i="2" l="1"/>
  <c r="N53" i="2"/>
  <c r="X13" i="1"/>
  <c r="R13" i="1"/>
  <c r="I13" i="1"/>
  <c r="E13" i="1"/>
  <c r="F13" i="1" s="1"/>
  <c r="V123" i="6"/>
  <c r="L13" i="1"/>
  <c r="Z13" i="1" l="1"/>
  <c r="N13" i="1"/>
  <c r="I53" i="2"/>
  <c r="U13" i="1"/>
  <c r="V13" i="1"/>
  <c r="O13" i="1" l="1"/>
  <c r="T13" i="1" s="1"/>
  <c r="Y13" i="1"/>
  <c r="D55" i="2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6" i="9"/>
  <c r="P29" i="9"/>
  <c r="E30" i="9" l="1"/>
  <c r="E31" i="9" s="1"/>
  <c r="P30" i="9"/>
  <c r="P27" i="9"/>
  <c r="F26" i="9"/>
  <c r="F27" i="9" s="1"/>
  <c r="F28" i="9" s="1"/>
  <c r="H28" i="9"/>
  <c r="I30" i="9"/>
  <c r="I31" i="9" s="1"/>
  <c r="V27" i="9"/>
  <c r="U29" i="9"/>
  <c r="V26" i="9"/>
  <c r="U27" i="9"/>
  <c r="U26" i="9"/>
  <c r="U30" i="9"/>
  <c r="L29" i="9"/>
  <c r="L27" i="9"/>
  <c r="L30" i="9"/>
  <c r="L26" i="9"/>
  <c r="V30" i="9"/>
  <c r="V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12" i="1"/>
  <c r="R12" i="1"/>
  <c r="I12" i="1"/>
  <c r="E12" i="1"/>
  <c r="F12" i="1" s="1"/>
  <c r="O28" i="9" l="1"/>
  <c r="T28" i="9" s="1"/>
  <c r="O31" i="9"/>
  <c r="T31" i="9" s="1"/>
  <c r="Z12" i="1"/>
  <c r="N12" i="1"/>
  <c r="V12" i="1"/>
  <c r="U12" i="1"/>
  <c r="L12" i="1"/>
  <c r="O12" i="1" l="1"/>
  <c r="T12" i="1" s="1"/>
  <c r="Y12" i="1"/>
  <c r="V49" i="6" l="1"/>
  <c r="V50" i="6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V21" i="9"/>
  <c r="U19" i="9"/>
  <c r="L18" i="9"/>
  <c r="U21" i="9"/>
  <c r="U18" i="9"/>
  <c r="L22" i="9"/>
  <c r="V18" i="9"/>
  <c r="L21" i="9"/>
  <c r="V22" i="9"/>
  <c r="U22" i="9"/>
  <c r="V19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1" i="8"/>
  <c r="K16" i="8"/>
  <c r="K15" i="8"/>
  <c r="K14" i="8"/>
  <c r="K13" i="8"/>
  <c r="P14" i="9"/>
  <c r="K12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L14" i="9"/>
  <c r="Y16" i="8"/>
  <c r="Y14" i="8"/>
  <c r="V14" i="9"/>
  <c r="S12" i="8"/>
  <c r="U14" i="9"/>
  <c r="S13" i="8"/>
  <c r="X11" i="8"/>
  <c r="X15" i="8"/>
  <c r="S15" i="8"/>
  <c r="X13" i="8"/>
  <c r="X12" i="8"/>
  <c r="S11" i="8"/>
  <c r="Y11" i="8"/>
  <c r="Y15" i="8"/>
  <c r="X16" i="8"/>
  <c r="X14" i="8"/>
  <c r="S14" i="8"/>
  <c r="Y13" i="8"/>
  <c r="Y12" i="8"/>
  <c r="S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V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U8" i="9"/>
  <c r="L9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T10" i="7"/>
  <c r="O10" i="7"/>
  <c r="T9" i="7"/>
  <c r="H8" i="7"/>
  <c r="U10" i="7"/>
  <c r="K9" i="8"/>
  <c r="U9" i="7"/>
  <c r="H8" i="8"/>
  <c r="U8" i="8" l="1"/>
  <c r="Q9" i="7"/>
  <c r="R9" i="7" s="1"/>
  <c r="S9" i="7" s="1"/>
  <c r="Q10" i="7"/>
  <c r="R10" i="7" s="1"/>
  <c r="S10" i="7" s="1"/>
  <c r="Q8" i="7"/>
  <c r="X9" i="8"/>
  <c r="Y9" i="8"/>
  <c r="O8" i="7"/>
  <c r="K8" i="8"/>
  <c r="S9" i="8"/>
  <c r="U8" i="7"/>
  <c r="T8" i="7"/>
  <c r="V9" i="8" l="1"/>
  <c r="W9" i="8" s="1"/>
  <c r="R8" i="7"/>
  <c r="S8" i="7" s="1"/>
  <c r="S8" i="8"/>
  <c r="Y8" i="8"/>
  <c r="X8" i="8"/>
  <c r="V8" i="8" l="1"/>
  <c r="W8" i="8" s="1"/>
  <c r="G12" i="9" l="1"/>
  <c r="G13" i="9" s="1"/>
  <c r="U11" i="9"/>
  <c r="L11" i="9"/>
  <c r="V11" i="9"/>
  <c r="V12" i="9"/>
  <c r="L12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<sst xmlns="http://schemas.openxmlformats.org/spreadsheetml/2006/main" count="2114" uniqueCount="274">
  <si>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</si>
  <si>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</si>
  <si>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</si>
  <si>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</si>
  <si>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</si>
  <si>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</si>
  <si>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</si>
  <si>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</si>
  <si>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</si>
  <si>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</si>
  <si>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</si>
  <si>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</si>
  <si>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</si>
  <si>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</si>
  <si>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</si>
  <si>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</si>
  <si>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</si>
  <si>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</si>
  <si>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</si>
  <si>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</si>
  <si>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</si>
  <si>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</si>
  <si>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</si>
  <si>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</si>
  <si>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</si>
  <si>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</si>
  <si>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</si>
  <si>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</si>
  <si>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</si>
  <si>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</si>
  <si>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</si>
  <si>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</si>
  <si>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</si>
  <si>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</si>
  <si>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</si>
  <si>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</si>
  <si>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</si>
  <si>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</si>
  <si>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</si>
  <si>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</si>
  <si>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</si>
  <si>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</si>
  <si>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</si>
  <si>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</si>
  <si>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</si>
  <si>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</si>
  <si>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</si>
  <si>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</si>
  <si>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</si>
  <si>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</si>
  <si>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</si>
  <si>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</si>
  <si>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</si>
  <si>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</si>
  <si>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</si>
  <si>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</si>
  <si>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</si>
  <si>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</si>
  <si>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</si>
  <si>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</si>
  <si>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</si>
  <si>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</si>
  <si>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</si>
  <si>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</si>
  <si>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</si>
  <si>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</si>
  <si>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</si>
  <si>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</si>
  <si>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</si>
  <si>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</si>
  <si>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</si>
  <si>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</si>
  <si>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</si>
  <si>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</si>
  <si>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</si>
  <si>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</si>
  <si>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</si>
  <si>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</si>
  <si>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</si>
  <si>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</si>
  <si>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</si>
  <si>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</si>
  <si>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</si>
  <si>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</si>
  <si>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</si>
  <si>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</si>
  <si>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</si>
  <si>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</si>
  <si>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</si>
  <si>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</si>
  <si>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</si>
  <si>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</si>
  <si>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</si>
  <si>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</si>
  <si>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</si>
  <si>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</si>
  <si>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</si>
  <si>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</si>
  <si>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</si>
  <si>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</si>
  <si>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</si>
  <si>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</si>
  <si>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</si>
  <si>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</si>
  <si>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</si>
  <si>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</si>
  <si>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</si>
  <si>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</si>
  <si>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</si>
  <si>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</si>
  <si>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</si>
  <si>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</si>
  <si>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</si>
  <si>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</si>
  <si>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</si>
  <si>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</si>
  <si>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</si>
  <si>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</si>
  <si>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</si>
  <si>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</si>
  <si>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</si>
  <si>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</si>
  <si>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</si>
  <si>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</si>
  <si>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</si>
  <si>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</si>
  <si>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</si>
  <si>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</si>
  <si>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</si>
  <si>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</si>
  <si>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</si>
  <si>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</si>
  <si>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</si>
  <si>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</si>
  <si>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</si>
  <si>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</si>
  <si>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</si>
  <si>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</si>
  <si>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</si>
  <si>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</si>
  <si>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</si>
  <si>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</si>
  <si>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</si>
  <si>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</si>
  <si>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</si>
  <si>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</si>
  <si>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</si>
  <si>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</si>
  <si>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</si>
  <si>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</si>
  <si>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</si>
  <si>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</si>
  <si>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</si>
  <si>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</si>
  <si>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</si>
  <si>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</si>
  <si>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</si>
  <si>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</si>
  <si>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</si>
  <si>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</si>
  <si>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</si>
  <si>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</si>
  <si>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</si>
  <si>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</si>
  <si>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</si>
  <si>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</si>
  <si>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</si>
  <si>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</si>
  <si>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</si>
  <si>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</si>
  <si>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</si>
  <si>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</si>
  <si>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</si>
  <si>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</si>
  <si>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</si>
  <si>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</si>
  <si>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</si>
  <si>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</si>
  <si>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</si>
  <si>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</si>
  <si>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</si>
  <si>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</si>
  <si>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</si>
  <si>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</si>
  <si>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</si>
  <si>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</si>
  <si>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</si>
  <si>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</si>
  <si>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</si>
  <si>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</si>
  <si>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</si>
  <si>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</si>
  <si>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</si>
  <si>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</si>
  <si>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</si>
  <si>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</si>
  <si>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</si>
  <si>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</si>
  <si>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</si>
  <si>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</si>
  <si>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</si>
  <si>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</si>
  <si>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</si>
  <si>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</si>
  <si>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</si>
  <si>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</si>
  <si>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</si>
  <si>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</si>
  <si>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</si>
  <si>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</si>
  <si>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</si>
  <si>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</si>
  <si>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</si>
  <si>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</si>
  <si>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</si>
  <si>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</si>
  <si>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</si>
  <si>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</si>
  <si>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</si>
  <si>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</si>
  <si>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</si>
  <si>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</si>
  <si>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</si>
  <si>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</si>
  <si>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</si>
  <si>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</si>
  <si>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</si>
  <si>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</si>
  <si>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</si>
  <si>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</si>
  <si>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ta809</t>
  </si>
  <si>
    <t>zc809</t>
  </si>
  <si>
    <t>pp1809</t>
  </si>
  <si>
    <t>v1809</t>
  </si>
  <si>
    <t>i1809</t>
  </si>
  <si>
    <t>j1809</t>
  </si>
  <si>
    <t>成交回报 l</t>
    <phoneticPr fontId="2" type="noConversion"/>
  </si>
  <si>
    <t>成交回报 2</t>
    <phoneticPr fontId="2" type="noConversion"/>
  </si>
  <si>
    <t>ru1809</t>
  </si>
  <si>
    <t>cf809</t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</si>
  <si>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</si>
  <si>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</si>
  <si>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</si>
  <si>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</si>
  <si>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</si>
  <si>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</si>
  <si>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</si>
  <si>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</si>
  <si>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</si>
  <si>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</si>
  <si>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</si>
  <si>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</si>
  <si>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</si>
  <si>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sr901</t>
  </si>
  <si>
    <t>Example</t>
    <phoneticPr fontId="2" type="noConversion"/>
  </si>
  <si>
    <t>成交回报3</t>
    <phoneticPr fontId="2" type="noConversion"/>
  </si>
  <si>
    <t>jm1809</t>
  </si>
  <si>
    <t>.</t>
    <phoneticPr fontId="2" type="noConversion"/>
  </si>
  <si>
    <t>al1809</t>
  </si>
  <si>
    <t>al1809</t>
    <phoneticPr fontId="2" type="noConversion"/>
  </si>
  <si>
    <t>cf</t>
    <phoneticPr fontId="2" type="noConversion"/>
  </si>
  <si>
    <t>oi</t>
  </si>
  <si>
    <t>oi</t>
    <phoneticPr fontId="2" type="noConversion"/>
  </si>
  <si>
    <t>i1809</t>
    <phoneticPr fontId="2" type="noConversion"/>
  </si>
  <si>
    <t>rb1810</t>
    <phoneticPr fontId="2" type="noConversion"/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</si>
  <si>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</si>
  <si>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</si>
  <si>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</si>
  <si>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</si>
  <si>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cu1808</t>
    <phoneticPr fontId="2" type="noConversion"/>
  </si>
  <si>
    <t>i1809</t>
    <phoneticPr fontId="2" type="noConversion"/>
  </si>
  <si>
    <t>c1901</t>
    <phoneticPr fontId="2" type="noConversion"/>
  </si>
  <si>
    <t>al1810</t>
  </si>
  <si>
    <t>cf809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</si>
</sst>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50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2" fontId="6" fillId="6" borderId="0" xfId="5" applyNumberFormat="1" applyFont="1" applyFill="1" applyAlignment="1"/>
    <xf numFmtId="179" fontId="6" fillId="9" borderId="2" xfId="0" applyNumberFormat="1" applyFont="1" applyFill="1" applyBorder="1"/>
    <xf numFmtId="0" fontId="6" fillId="6" borderId="17" xfId="0" applyFont="1" applyFill="1" applyBorder="1"/>
    <xf numFmtId="2" fontId="6" fillId="6" borderId="17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50930</v>
        <stp/>
        <stp>cu1808</stp>
        <stp>LastPrice</stp>
        <tr r="P58" s="1"/>
      </tp>
      <tp t="e">
        <v>#N/A</v>
        <stp/>
        <stp>al1809</stp>
        <stp>LastPrice</stp>
        <tr r="P19" s="1"/>
        <tr r="P20" s="1"/>
        <tr r="P33" s="1"/>
        <tr r="P39" s="1"/>
        <tr r="P32" s="1"/>
        <tr r="P38" s="1"/>
        <tr r="P40" s="1"/>
        <tr r="P67" s="1"/>
      </tp>
      <tp t="b">
        <v>0</v>
        <stp/>
        <stp>al1808</stp>
        <stp>LastPrice</stp>
        <tr r="P8" s="1"/>
        <tr r="P18" s="1"/>
        <tr r="P17" s="1"/>
        <tr r="P31" s="1"/>
        <tr r="P30" s="1"/>
        <tr r="P36" s="1"/>
        <tr r="P37" s="1"/>
        <tr r="P68" s="1"/>
        <tr r="P66" s="1"/>
      </tp>
      <tp t="b">
        <v>0</v>
        <stp/>
        <stp>i1809</stp>
        <stp>LastPrice</stp>
        <tr r="P11" s="9"/>
        <tr r="P12" s="1"/>
        <tr r="P13" s="1"/>
        <tr r="P14" s="1"/>
        <tr r="P47" s="1"/>
      </tp>
      <tp>
        <v>3045</v>
        <stp/>
        <stp>m1809</stp>
        <stp>LastPrice</stp>
        <tr r="P18" s="9"/>
        <tr r="P21" s="9"/>
        <tr r="P29" s="9"/>
        <tr r="P26" s="9"/>
      </tp>
      <tp t="b">
        <v>0</v>
        <stp/>
        <stp>rb1810</stp>
        <stp>LastPrice</stp>
        <tr r="P14" s="9"/>
        <tr r="P49" s="1"/>
      </tp>
      <tp t="b"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86"/>
  <sheetViews>
    <sheetView topLeftCell="A152" zoomScaleNormal="100" workbookViewId="0">
      <selection activeCell="O189" sqref="O189:O19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4" t="s">
        <v>158</v>
      </c>
      <c r="C1" s="124"/>
      <c r="D1" s="124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228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228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228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228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229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229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230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231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231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231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231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232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233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228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234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234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235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238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238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238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239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239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240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240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240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242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242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242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229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229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240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240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240</v>
      </c>
      <c r="D74" s="93">
        <v>43230</v>
      </c>
      <c r="E74" s="93">
        <v>43261</v>
      </c>
      <c r="F74" s="92" t="s">
        <v>243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240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240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240</v>
      </c>
      <c r="D77" s="93">
        <v>43230</v>
      </c>
      <c r="E77" s="93">
        <v>43322</v>
      </c>
      <c r="F77" s="92" t="s">
        <v>243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240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240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240</v>
      </c>
      <c r="D82" s="93">
        <v>43230</v>
      </c>
      <c r="E82" s="93">
        <v>43261</v>
      </c>
      <c r="F82" s="92" t="s">
        <v>244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240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240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240</v>
      </c>
      <c r="D85" s="93">
        <v>43230</v>
      </c>
      <c r="E85" s="93">
        <v>43322</v>
      </c>
      <c r="F85" s="92" t="s">
        <v>244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245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246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247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247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240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240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239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248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231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231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231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231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232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232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22" x14ac:dyDescent="0.15">
      <c r="B113" s="92" t="s">
        <v>160</v>
      </c>
      <c r="C113" s="92" t="s">
        <v>230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22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22" x14ac:dyDescent="0.15">
      <c r="B115" s="92" t="s">
        <v>160</v>
      </c>
      <c r="C115" s="92" t="s">
        <v>252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22" x14ac:dyDescent="0.15">
      <c r="B116" s="92" t="s">
        <v>160</v>
      </c>
      <c r="C116" s="92" t="s">
        <v>252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  <row r="117" spans="2:22" x14ac:dyDescent="0.15">
      <c r="B117" s="91" t="s">
        <v>2</v>
      </c>
      <c r="C117" s="33" t="s">
        <v>181</v>
      </c>
      <c r="D117" s="33" t="s">
        <v>180</v>
      </c>
      <c r="E117" s="33" t="s">
        <v>10</v>
      </c>
      <c r="F117" s="33" t="s">
        <v>184</v>
      </c>
      <c r="G117" s="33" t="s">
        <v>11</v>
      </c>
      <c r="H117" s="33" t="s">
        <v>12</v>
      </c>
      <c r="I117" s="33" t="s">
        <v>47</v>
      </c>
      <c r="J117" s="33" t="s">
        <v>13</v>
      </c>
      <c r="K117" s="33" t="s">
        <v>14</v>
      </c>
      <c r="L117" s="33" t="s">
        <v>26</v>
      </c>
      <c r="M117" s="33" t="s">
        <v>28</v>
      </c>
      <c r="N117" s="33" t="s">
        <v>182</v>
      </c>
      <c r="O117" s="33" t="s">
        <v>8</v>
      </c>
      <c r="P117" s="33" t="s">
        <v>23</v>
      </c>
      <c r="Q117" s="33"/>
      <c r="R117" s="33" t="s">
        <v>30</v>
      </c>
    </row>
    <row r="118" spans="2:22" x14ac:dyDescent="0.15">
      <c r="B118" s="92" t="s">
        <v>254</v>
      </c>
      <c r="C118" s="92" t="s">
        <v>253</v>
      </c>
      <c r="D118" s="93">
        <v>43236</v>
      </c>
      <c r="E118" s="93">
        <v>43430</v>
      </c>
      <c r="F118" s="92">
        <v>5200</v>
      </c>
      <c r="G118" s="92">
        <v>194</v>
      </c>
      <c r="H118" s="92">
        <v>0.53150684931506853</v>
      </c>
      <c r="I118" s="92">
        <v>0</v>
      </c>
      <c r="J118" s="92">
        <v>0.1</v>
      </c>
      <c r="K118" s="92">
        <v>48.289310808150503</v>
      </c>
      <c r="L118" s="92"/>
      <c r="M118" s="92">
        <v>0</v>
      </c>
      <c r="N118" s="99">
        <v>48.289310808150503</v>
      </c>
      <c r="O118" s="92">
        <v>5503</v>
      </c>
      <c r="P118" s="92" t="s">
        <v>85</v>
      </c>
      <c r="Q118" s="92">
        <v>1</v>
      </c>
      <c r="R118" s="92" t="s">
        <v>151</v>
      </c>
    </row>
    <row r="119" spans="2:22" x14ac:dyDescent="0.15">
      <c r="B119" s="92" t="s">
        <v>160</v>
      </c>
      <c r="C119" s="92" t="s">
        <v>253</v>
      </c>
      <c r="D119" s="93">
        <v>43236</v>
      </c>
      <c r="E119" s="93">
        <v>43430</v>
      </c>
      <c r="F119" s="92">
        <v>5200</v>
      </c>
      <c r="G119" s="92">
        <v>194</v>
      </c>
      <c r="H119" s="92">
        <v>0.53150684931506853</v>
      </c>
      <c r="I119" s="92">
        <v>0</v>
      </c>
      <c r="J119" s="92">
        <v>0.15</v>
      </c>
      <c r="K119" s="92">
        <v>-111.23715733611107</v>
      </c>
      <c r="L119" s="92"/>
      <c r="M119" s="92">
        <v>0</v>
      </c>
      <c r="N119" s="99">
        <v>111.23715733611107</v>
      </c>
      <c r="O119" s="92">
        <v>5503</v>
      </c>
      <c r="P119" s="92" t="s">
        <v>85</v>
      </c>
      <c r="Q119" s="92">
        <v>-1</v>
      </c>
      <c r="R119" s="92" t="s">
        <v>20</v>
      </c>
    </row>
    <row r="120" spans="2:22" x14ac:dyDescent="0.15">
      <c r="B120" s="91" t="s">
        <v>2</v>
      </c>
      <c r="C120" s="33" t="s">
        <v>181</v>
      </c>
      <c r="D120" s="33" t="s">
        <v>180</v>
      </c>
      <c r="E120" s="33" t="s">
        <v>10</v>
      </c>
      <c r="F120" s="33" t="s">
        <v>184</v>
      </c>
      <c r="G120" s="33" t="s">
        <v>11</v>
      </c>
      <c r="H120" s="33" t="s">
        <v>12</v>
      </c>
      <c r="I120" s="33" t="s">
        <v>47</v>
      </c>
      <c r="J120" s="33" t="s">
        <v>13</v>
      </c>
      <c r="K120" s="33" t="s">
        <v>14</v>
      </c>
      <c r="L120" s="33" t="s">
        <v>26</v>
      </c>
      <c r="M120" s="33" t="s">
        <v>28</v>
      </c>
      <c r="N120" s="33" t="s">
        <v>182</v>
      </c>
      <c r="O120" s="33" t="s">
        <v>8</v>
      </c>
      <c r="P120" s="33" t="s">
        <v>23</v>
      </c>
      <c r="Q120" s="33"/>
      <c r="R120" s="33" t="s">
        <v>30</v>
      </c>
    </row>
    <row r="121" spans="2:22" x14ac:dyDescent="0.15">
      <c r="B121" s="92" t="s">
        <v>160</v>
      </c>
      <c r="C121" s="92" t="s">
        <v>234</v>
      </c>
      <c r="D121" s="93">
        <v>43236</v>
      </c>
      <c r="E121" s="93">
        <v>43266</v>
      </c>
      <c r="F121" s="92">
        <v>480</v>
      </c>
      <c r="G121" s="92">
        <v>30</v>
      </c>
      <c r="H121" s="92">
        <v>8.2191780821917804E-2</v>
      </c>
      <c r="I121" s="92">
        <v>0</v>
      </c>
      <c r="J121" s="92">
        <v>0.35249999999999998</v>
      </c>
      <c r="K121" s="92">
        <v>-17.91152955692263</v>
      </c>
      <c r="L121" s="92"/>
      <c r="M121" s="92">
        <v>0</v>
      </c>
      <c r="N121" s="99">
        <v>17.91152955692263</v>
      </c>
      <c r="O121" s="92">
        <v>483</v>
      </c>
      <c r="P121" s="92" t="s">
        <v>85</v>
      </c>
      <c r="Q121" s="92">
        <v>-1</v>
      </c>
      <c r="R121" s="92" t="s">
        <v>20</v>
      </c>
      <c r="V121" s="6">
        <v>100000</v>
      </c>
    </row>
    <row r="122" spans="2:22" x14ac:dyDescent="0.15">
      <c r="B122" s="92" t="s">
        <v>160</v>
      </c>
      <c r="C122" s="92" t="s">
        <v>234</v>
      </c>
      <c r="D122" s="93">
        <v>43236</v>
      </c>
      <c r="E122" s="93">
        <v>43294</v>
      </c>
      <c r="F122" s="92">
        <v>480</v>
      </c>
      <c r="G122" s="92">
        <v>58</v>
      </c>
      <c r="H122" s="92">
        <v>0.15890410958904111</v>
      </c>
      <c r="I122" s="92">
        <v>0</v>
      </c>
      <c r="J122" s="92">
        <v>0.35249999999999998</v>
      </c>
      <c r="K122" s="92">
        <v>-25.415248406449365</v>
      </c>
      <c r="L122" s="92"/>
      <c r="M122" s="92">
        <v>0</v>
      </c>
      <c r="N122" s="99">
        <v>25.415248406449365</v>
      </c>
      <c r="O122" s="92">
        <v>483</v>
      </c>
      <c r="P122" s="92" t="s">
        <v>85</v>
      </c>
      <c r="Q122" s="92">
        <v>-1</v>
      </c>
      <c r="R122" s="92" t="s">
        <v>20</v>
      </c>
      <c r="V122" s="6">
        <v>535</v>
      </c>
    </row>
    <row r="123" spans="2:22" x14ac:dyDescent="0.15">
      <c r="B123" s="92" t="s">
        <v>160</v>
      </c>
      <c r="C123" s="92" t="s">
        <v>234</v>
      </c>
      <c r="D123" s="93">
        <v>43236</v>
      </c>
      <c r="E123" s="93">
        <v>43322</v>
      </c>
      <c r="F123" s="92">
        <v>480</v>
      </c>
      <c r="G123" s="92">
        <v>86</v>
      </c>
      <c r="H123" s="92">
        <v>0.23561643835616439</v>
      </c>
      <c r="I123" s="92">
        <v>0</v>
      </c>
      <c r="J123" s="92">
        <v>0.35249999999999998</v>
      </c>
      <c r="K123" s="92">
        <v>-31.201898791525934</v>
      </c>
      <c r="L123" s="92"/>
      <c r="M123" s="92">
        <v>0</v>
      </c>
      <c r="N123" s="99">
        <v>31.201898791525934</v>
      </c>
      <c r="O123" s="92">
        <v>483</v>
      </c>
      <c r="P123" s="92" t="s">
        <v>85</v>
      </c>
      <c r="Q123" s="92">
        <v>-1</v>
      </c>
      <c r="R123" s="92" t="s">
        <v>20</v>
      </c>
      <c r="V123" s="120">
        <f>V122*V121</f>
        <v>53500000</v>
      </c>
    </row>
    <row r="124" spans="2:22" x14ac:dyDescent="0.15">
      <c r="B124" s="92" t="s">
        <v>160</v>
      </c>
      <c r="C124" s="92" t="s">
        <v>234</v>
      </c>
      <c r="D124" s="93">
        <v>43236</v>
      </c>
      <c r="E124" s="93">
        <v>43266</v>
      </c>
      <c r="F124" s="92">
        <v>480</v>
      </c>
      <c r="G124" s="92">
        <v>30</v>
      </c>
      <c r="H124" s="92">
        <v>8.2191780821917804E-2</v>
      </c>
      <c r="I124" s="92">
        <v>0</v>
      </c>
      <c r="J124" s="92">
        <v>0.35249999999999998</v>
      </c>
      <c r="K124" s="92">
        <v>-20.906602101146518</v>
      </c>
      <c r="L124" s="92"/>
      <c r="M124" s="92">
        <v>0</v>
      </c>
      <c r="N124" s="99">
        <v>20.906602101146518</v>
      </c>
      <c r="O124" s="92">
        <v>483</v>
      </c>
      <c r="P124" s="92" t="s">
        <v>39</v>
      </c>
      <c r="Q124" s="92">
        <v>-1</v>
      </c>
      <c r="R124" s="92" t="s">
        <v>20</v>
      </c>
    </row>
    <row r="125" spans="2:22" x14ac:dyDescent="0.15">
      <c r="B125" s="92" t="s">
        <v>160</v>
      </c>
      <c r="C125" s="92" t="s">
        <v>234</v>
      </c>
      <c r="D125" s="93">
        <v>43236</v>
      </c>
      <c r="E125" s="93">
        <v>43294</v>
      </c>
      <c r="F125" s="92">
        <v>480</v>
      </c>
      <c r="G125" s="92">
        <v>58</v>
      </c>
      <c r="H125" s="92">
        <v>0.15890410958904111</v>
      </c>
      <c r="I125" s="92">
        <v>0</v>
      </c>
      <c r="J125" s="92">
        <v>0.35249999999999998</v>
      </c>
      <c r="K125" s="92">
        <v>-28.405729294146767</v>
      </c>
      <c r="L125" s="92"/>
      <c r="M125" s="92">
        <v>0</v>
      </c>
      <c r="N125" s="99">
        <v>28.405729294146767</v>
      </c>
      <c r="O125" s="92">
        <v>483</v>
      </c>
      <c r="P125" s="92" t="s">
        <v>39</v>
      </c>
      <c r="Q125" s="92">
        <v>-1</v>
      </c>
      <c r="R125" s="92" t="s">
        <v>20</v>
      </c>
    </row>
    <row r="126" spans="2:22" x14ac:dyDescent="0.15">
      <c r="B126" s="92" t="s">
        <v>160</v>
      </c>
      <c r="C126" s="92" t="s">
        <v>234</v>
      </c>
      <c r="D126" s="93">
        <v>43236</v>
      </c>
      <c r="E126" s="93">
        <v>43322</v>
      </c>
      <c r="F126" s="92">
        <v>480</v>
      </c>
      <c r="G126" s="92">
        <v>86</v>
      </c>
      <c r="H126" s="92">
        <v>0.23561643835616439</v>
      </c>
      <c r="I126" s="92">
        <v>0</v>
      </c>
      <c r="J126" s="92">
        <v>0.35249999999999998</v>
      </c>
      <c r="K126" s="92">
        <v>-34.18779506202867</v>
      </c>
      <c r="L126" s="92"/>
      <c r="M126" s="92">
        <v>0</v>
      </c>
      <c r="N126" s="99">
        <v>34.18779506202867</v>
      </c>
      <c r="O126" s="92">
        <v>483</v>
      </c>
      <c r="P126" s="92" t="s">
        <v>39</v>
      </c>
      <c r="Q126" s="92">
        <v>-1</v>
      </c>
      <c r="R126" s="92" t="s">
        <v>20</v>
      </c>
    </row>
    <row r="127" spans="2:22" x14ac:dyDescent="0.15">
      <c r="B127" s="91" t="s">
        <v>2</v>
      </c>
      <c r="C127" s="33" t="s">
        <v>181</v>
      </c>
      <c r="D127" s="33" t="s">
        <v>180</v>
      </c>
      <c r="E127" s="33" t="s">
        <v>10</v>
      </c>
      <c r="F127" s="33" t="s">
        <v>184</v>
      </c>
      <c r="G127" s="33" t="s">
        <v>11</v>
      </c>
      <c r="H127" s="33" t="s">
        <v>12</v>
      </c>
      <c r="I127" s="33" t="s">
        <v>47</v>
      </c>
      <c r="J127" s="33" t="s">
        <v>13</v>
      </c>
      <c r="K127" s="33" t="s">
        <v>14</v>
      </c>
      <c r="L127" s="33" t="s">
        <v>26</v>
      </c>
      <c r="M127" s="33" t="s">
        <v>28</v>
      </c>
      <c r="N127" s="33" t="s">
        <v>182</v>
      </c>
      <c r="O127" s="33" t="s">
        <v>8</v>
      </c>
      <c r="P127" s="33" t="s">
        <v>23</v>
      </c>
      <c r="Q127" s="33"/>
      <c r="R127" s="33" t="s">
        <v>30</v>
      </c>
    </row>
    <row r="128" spans="2:22" x14ac:dyDescent="0.15">
      <c r="B128" s="92" t="s">
        <v>160</v>
      </c>
      <c r="C128" s="92" t="s">
        <v>234</v>
      </c>
      <c r="D128" s="93">
        <v>43237</v>
      </c>
      <c r="E128" s="93">
        <v>43266</v>
      </c>
      <c r="F128" s="92">
        <v>430</v>
      </c>
      <c r="G128" s="92">
        <v>29</v>
      </c>
      <c r="H128" s="92">
        <v>7.9452054794520555E-2</v>
      </c>
      <c r="I128" s="92">
        <v>0</v>
      </c>
      <c r="J128" s="92">
        <v>0.37</v>
      </c>
      <c r="K128" s="92">
        <v>-3.101094311276313</v>
      </c>
      <c r="L128" s="92"/>
      <c r="M128" s="92">
        <v>0</v>
      </c>
      <c r="N128" s="99">
        <v>3.101094311276313</v>
      </c>
      <c r="O128" s="92">
        <v>483.5</v>
      </c>
      <c r="P128" s="92" t="s">
        <v>85</v>
      </c>
      <c r="Q128" s="92">
        <v>-1</v>
      </c>
      <c r="R128" s="92" t="s">
        <v>20</v>
      </c>
    </row>
    <row r="129" spans="2:18" x14ac:dyDescent="0.15">
      <c r="B129" s="92" t="s">
        <v>160</v>
      </c>
      <c r="C129" s="92" t="s">
        <v>234</v>
      </c>
      <c r="D129" s="93">
        <v>43237</v>
      </c>
      <c r="E129" s="93">
        <v>43294</v>
      </c>
      <c r="F129" s="92">
        <v>430</v>
      </c>
      <c r="G129" s="92">
        <v>57</v>
      </c>
      <c r="H129" s="92">
        <v>0.15616438356164383</v>
      </c>
      <c r="I129" s="92">
        <v>0</v>
      </c>
      <c r="J129" s="92">
        <v>0.36499999999999999</v>
      </c>
      <c r="K129" s="92">
        <v>-7.6903764663189946</v>
      </c>
      <c r="L129" s="92"/>
      <c r="M129" s="92">
        <v>0</v>
      </c>
      <c r="N129" s="99">
        <v>7.6903764663189946</v>
      </c>
      <c r="O129" s="92">
        <v>483.5</v>
      </c>
      <c r="P129" s="92" t="s">
        <v>85</v>
      </c>
      <c r="Q129" s="92">
        <v>-1</v>
      </c>
      <c r="R129" s="92" t="s">
        <v>20</v>
      </c>
    </row>
    <row r="130" spans="2:18" x14ac:dyDescent="0.15">
      <c r="B130" s="92" t="s">
        <v>160</v>
      </c>
      <c r="C130" s="92" t="s">
        <v>234</v>
      </c>
      <c r="D130" s="93">
        <v>43237</v>
      </c>
      <c r="E130" s="93">
        <v>43322</v>
      </c>
      <c r="F130" s="92">
        <v>430</v>
      </c>
      <c r="G130" s="92">
        <v>85</v>
      </c>
      <c r="H130" s="92">
        <v>0.23287671232876711</v>
      </c>
      <c r="I130" s="92">
        <v>0</v>
      </c>
      <c r="J130" s="92">
        <v>0.36499999999999999</v>
      </c>
      <c r="K130" s="92">
        <v>-12.072825026404317</v>
      </c>
      <c r="L130" s="92"/>
      <c r="M130" s="92">
        <v>0</v>
      </c>
      <c r="N130" s="99">
        <v>12.072825026404317</v>
      </c>
      <c r="O130" s="92">
        <v>483.5</v>
      </c>
      <c r="P130" s="92" t="s">
        <v>85</v>
      </c>
      <c r="Q130" s="92">
        <v>-1</v>
      </c>
      <c r="R130" s="92" t="s">
        <v>20</v>
      </c>
    </row>
    <row r="131" spans="2:18" x14ac:dyDescent="0.15">
      <c r="B131" s="91" t="s">
        <v>2</v>
      </c>
      <c r="C131" s="33" t="s">
        <v>181</v>
      </c>
      <c r="D131" s="33" t="s">
        <v>180</v>
      </c>
      <c r="E131" s="33" t="s">
        <v>10</v>
      </c>
      <c r="F131" s="33" t="s">
        <v>184</v>
      </c>
      <c r="G131" s="33" t="s">
        <v>11</v>
      </c>
      <c r="H131" s="33" t="s">
        <v>12</v>
      </c>
      <c r="I131" s="33" t="s">
        <v>47</v>
      </c>
      <c r="J131" s="33" t="s">
        <v>13</v>
      </c>
      <c r="K131" s="33" t="s">
        <v>14</v>
      </c>
      <c r="L131" s="33" t="s">
        <v>26</v>
      </c>
      <c r="M131" s="33" t="s">
        <v>28</v>
      </c>
      <c r="N131" s="33" t="s">
        <v>182</v>
      </c>
      <c r="O131" s="33" t="s">
        <v>8</v>
      </c>
      <c r="P131" s="33" t="s">
        <v>23</v>
      </c>
      <c r="Q131" s="33"/>
      <c r="R131" s="33" t="s">
        <v>30</v>
      </c>
    </row>
    <row r="132" spans="2:18" x14ac:dyDescent="0.15">
      <c r="B132" s="92" t="s">
        <v>160</v>
      </c>
      <c r="C132" s="92" t="s">
        <v>185</v>
      </c>
      <c r="D132" s="93">
        <v>43237</v>
      </c>
      <c r="E132" s="93">
        <v>43353</v>
      </c>
      <c r="F132" s="92">
        <v>3669</v>
      </c>
      <c r="G132" s="92">
        <v>116</v>
      </c>
      <c r="H132" s="92">
        <v>0.31780821917808222</v>
      </c>
      <c r="I132" s="92">
        <v>0</v>
      </c>
      <c r="J132" s="92">
        <v>0.19500000000000001</v>
      </c>
      <c r="K132" s="92">
        <v>159.80702588726945</v>
      </c>
      <c r="L132" s="92">
        <v>30</v>
      </c>
      <c r="M132" s="92">
        <v>3.498115068493151</v>
      </c>
      <c r="N132" s="99">
        <v>156.3089108187763</v>
      </c>
      <c r="O132" s="92">
        <v>3669</v>
      </c>
      <c r="P132" s="92" t="s">
        <v>39</v>
      </c>
      <c r="Q132" s="92">
        <v>1</v>
      </c>
      <c r="R132" s="92" t="s">
        <v>151</v>
      </c>
    </row>
    <row r="133" spans="2:18" x14ac:dyDescent="0.15">
      <c r="B133" s="91" t="s">
        <v>2</v>
      </c>
      <c r="C133" s="33" t="s">
        <v>181</v>
      </c>
      <c r="D133" s="33" t="s">
        <v>180</v>
      </c>
      <c r="E133" s="33" t="s">
        <v>10</v>
      </c>
      <c r="F133" s="33" t="s">
        <v>184</v>
      </c>
      <c r="G133" s="33" t="s">
        <v>11</v>
      </c>
      <c r="H133" s="33" t="s">
        <v>12</v>
      </c>
      <c r="I133" s="33" t="s">
        <v>47</v>
      </c>
      <c r="J133" s="33" t="s">
        <v>13</v>
      </c>
      <c r="K133" s="33" t="s">
        <v>14</v>
      </c>
      <c r="L133" s="33" t="s">
        <v>26</v>
      </c>
      <c r="M133" s="33" t="s">
        <v>28</v>
      </c>
      <c r="N133" s="33" t="s">
        <v>182</v>
      </c>
      <c r="O133" s="33" t="s">
        <v>8</v>
      </c>
      <c r="P133" s="33" t="s">
        <v>23</v>
      </c>
      <c r="Q133" s="33"/>
      <c r="R133" s="33" t="s">
        <v>30</v>
      </c>
    </row>
    <row r="134" spans="2:18" x14ac:dyDescent="0.15">
      <c r="B134" s="92" t="s">
        <v>160</v>
      </c>
      <c r="C134" s="92" t="s">
        <v>233</v>
      </c>
      <c r="D134" s="93">
        <v>43237</v>
      </c>
      <c r="E134" s="93">
        <v>43315</v>
      </c>
      <c r="F134" s="92">
        <v>6600</v>
      </c>
      <c r="G134" s="92">
        <v>78</v>
      </c>
      <c r="H134" s="92">
        <v>0.21369863013698631</v>
      </c>
      <c r="I134" s="92">
        <v>0</v>
      </c>
      <c r="J134" s="92">
        <v>0.22</v>
      </c>
      <c r="K134" s="92">
        <v>-205.35943726084224</v>
      </c>
      <c r="L134" s="92"/>
      <c r="M134" s="92">
        <v>0</v>
      </c>
      <c r="N134" s="99">
        <v>205.35943726084224</v>
      </c>
      <c r="O134" s="92">
        <v>6740</v>
      </c>
      <c r="P134" s="92" t="s">
        <v>85</v>
      </c>
      <c r="Q134" s="92">
        <v>-1</v>
      </c>
      <c r="R134" s="92" t="s">
        <v>20</v>
      </c>
    </row>
    <row r="135" spans="2:18" x14ac:dyDescent="0.15">
      <c r="B135" s="92" t="s">
        <v>160</v>
      </c>
      <c r="C135" s="92" t="s">
        <v>233</v>
      </c>
      <c r="D135" s="93">
        <v>43237</v>
      </c>
      <c r="E135" s="93">
        <v>43315</v>
      </c>
      <c r="F135" s="92">
        <v>7200</v>
      </c>
      <c r="G135" s="92">
        <v>78</v>
      </c>
      <c r="H135" s="92">
        <v>0.21369863013698631</v>
      </c>
      <c r="I135" s="92">
        <v>0</v>
      </c>
      <c r="J135" s="92">
        <v>0.16</v>
      </c>
      <c r="K135" s="92">
        <v>52.206060971161151</v>
      </c>
      <c r="L135" s="92"/>
      <c r="M135" s="92">
        <v>0</v>
      </c>
      <c r="N135" s="99">
        <v>48</v>
      </c>
      <c r="O135" s="92">
        <v>6740</v>
      </c>
      <c r="P135" s="92" t="s">
        <v>39</v>
      </c>
      <c r="Q135" s="92">
        <v>1</v>
      </c>
      <c r="R135" s="92" t="s">
        <v>151</v>
      </c>
    </row>
    <row r="136" spans="2:18" x14ac:dyDescent="0.15">
      <c r="B136" s="91" t="s">
        <v>2</v>
      </c>
      <c r="C136" s="33" t="s">
        <v>181</v>
      </c>
      <c r="D136" s="33" t="s">
        <v>180</v>
      </c>
      <c r="E136" s="33" t="s">
        <v>10</v>
      </c>
      <c r="F136" s="33" t="s">
        <v>184</v>
      </c>
      <c r="G136" s="33" t="s">
        <v>11</v>
      </c>
      <c r="H136" s="33" t="s">
        <v>12</v>
      </c>
      <c r="I136" s="33" t="s">
        <v>47</v>
      </c>
      <c r="J136" s="33" t="s">
        <v>13</v>
      </c>
      <c r="K136" s="33" t="s">
        <v>14</v>
      </c>
      <c r="L136" s="33" t="s">
        <v>26</v>
      </c>
      <c r="M136" s="33" t="s">
        <v>28</v>
      </c>
      <c r="N136" s="33" t="s">
        <v>182</v>
      </c>
      <c r="O136" s="33" t="s">
        <v>8</v>
      </c>
      <c r="P136" s="33" t="s">
        <v>23</v>
      </c>
      <c r="Q136" s="33"/>
      <c r="R136" s="33" t="s">
        <v>30</v>
      </c>
    </row>
    <row r="137" spans="2:18" x14ac:dyDescent="0.15">
      <c r="B137" s="92" t="s">
        <v>160</v>
      </c>
      <c r="C137" s="92" t="s">
        <v>234</v>
      </c>
      <c r="D137" s="93">
        <v>43241</v>
      </c>
      <c r="E137" s="93">
        <v>43322</v>
      </c>
      <c r="F137" s="92">
        <v>480</v>
      </c>
      <c r="G137" s="92">
        <v>81</v>
      </c>
      <c r="H137" s="92">
        <v>0.22191780821917809</v>
      </c>
      <c r="I137" s="92">
        <v>0</v>
      </c>
      <c r="J137" s="92">
        <v>0.36499999999999999</v>
      </c>
      <c r="K137" s="92">
        <v>-40.241601265935884</v>
      </c>
      <c r="L137" s="92"/>
      <c r="M137" s="92">
        <v>0</v>
      </c>
      <c r="N137" s="99">
        <v>40.241601265935884</v>
      </c>
      <c r="O137" s="92">
        <v>465</v>
      </c>
      <c r="P137" s="92" t="s">
        <v>85</v>
      </c>
      <c r="Q137" s="92">
        <v>-1</v>
      </c>
      <c r="R137" s="92" t="s">
        <v>20</v>
      </c>
    </row>
    <row r="138" spans="2:18" x14ac:dyDescent="0.15">
      <c r="B138" s="92" t="s">
        <v>160</v>
      </c>
      <c r="C138" s="92" t="s">
        <v>234</v>
      </c>
      <c r="D138" s="93">
        <v>43241</v>
      </c>
      <c r="E138" s="93">
        <v>43322</v>
      </c>
      <c r="F138" s="92">
        <v>430</v>
      </c>
      <c r="G138" s="92">
        <v>81</v>
      </c>
      <c r="H138" s="92">
        <v>0.22191780821917809</v>
      </c>
      <c r="I138" s="92">
        <v>0</v>
      </c>
      <c r="J138" s="92">
        <v>0.36499999999999999</v>
      </c>
      <c r="K138" s="92">
        <v>-16.198540619170956</v>
      </c>
      <c r="L138" s="92"/>
      <c r="M138" s="92">
        <v>0</v>
      </c>
      <c r="N138" s="99">
        <v>16.198540619170956</v>
      </c>
      <c r="O138" s="92">
        <v>465</v>
      </c>
      <c r="P138" s="92" t="s">
        <v>85</v>
      </c>
      <c r="Q138" s="92">
        <v>-1</v>
      </c>
      <c r="R138" s="92" t="s">
        <v>20</v>
      </c>
    </row>
    <row r="139" spans="2:18" x14ac:dyDescent="0.15">
      <c r="B139" s="92" t="s">
        <v>160</v>
      </c>
      <c r="C139" s="92" t="s">
        <v>234</v>
      </c>
      <c r="D139" s="93">
        <v>43241</v>
      </c>
      <c r="E139" s="93">
        <v>43322</v>
      </c>
      <c r="F139" s="92">
        <v>465</v>
      </c>
      <c r="G139" s="92">
        <v>81</v>
      </c>
      <c r="H139" s="92">
        <v>0.22191780821917809</v>
      </c>
      <c r="I139" s="92">
        <v>0</v>
      </c>
      <c r="J139" s="92">
        <v>0.36499999999999999</v>
      </c>
      <c r="K139" s="92">
        <v>-31.716822654485497</v>
      </c>
      <c r="L139" s="92"/>
      <c r="M139" s="92">
        <v>0</v>
      </c>
      <c r="N139" s="99">
        <v>31.716822654485497</v>
      </c>
      <c r="O139" s="92">
        <v>465</v>
      </c>
      <c r="P139" s="92" t="s">
        <v>85</v>
      </c>
      <c r="Q139" s="92">
        <v>-1</v>
      </c>
      <c r="R139" s="92" t="s">
        <v>20</v>
      </c>
    </row>
    <row r="140" spans="2:18" x14ac:dyDescent="0.15">
      <c r="B140" s="91" t="s">
        <v>2</v>
      </c>
      <c r="C140" s="33" t="s">
        <v>181</v>
      </c>
      <c r="D140" s="33" t="s">
        <v>180</v>
      </c>
      <c r="E140" s="33" t="s">
        <v>10</v>
      </c>
      <c r="F140" s="33" t="s">
        <v>184</v>
      </c>
      <c r="G140" s="33" t="s">
        <v>11</v>
      </c>
      <c r="H140" s="33" t="s">
        <v>12</v>
      </c>
      <c r="I140" s="33" t="s">
        <v>47</v>
      </c>
      <c r="J140" s="33" t="s">
        <v>13</v>
      </c>
      <c r="K140" s="33" t="s">
        <v>14</v>
      </c>
      <c r="L140" s="33" t="s">
        <v>26</v>
      </c>
      <c r="M140" s="33" t="s">
        <v>28</v>
      </c>
      <c r="N140" s="33" t="s">
        <v>182</v>
      </c>
      <c r="O140" s="33" t="s">
        <v>8</v>
      </c>
      <c r="P140" s="33" t="s">
        <v>23</v>
      </c>
      <c r="Q140" s="33"/>
      <c r="R140" s="33" t="s">
        <v>30</v>
      </c>
    </row>
    <row r="141" spans="2:18" x14ac:dyDescent="0.15">
      <c r="B141" s="92" t="s">
        <v>160</v>
      </c>
      <c r="C141" s="92" t="s">
        <v>185</v>
      </c>
      <c r="D141" s="93">
        <v>43242</v>
      </c>
      <c r="E141" s="93">
        <v>43251</v>
      </c>
      <c r="F141" s="92">
        <v>3500</v>
      </c>
      <c r="G141" s="92">
        <v>9</v>
      </c>
      <c r="H141" s="92">
        <v>2.4657534246575342E-2</v>
      </c>
      <c r="I141" s="92">
        <v>0</v>
      </c>
      <c r="J141" s="92">
        <v>0.18</v>
      </c>
      <c r="K141" s="92">
        <v>13.554618445439701</v>
      </c>
      <c r="L141" s="92"/>
      <c r="M141" s="92">
        <v>0</v>
      </c>
      <c r="N141" s="99">
        <v>13.554618445439701</v>
      </c>
      <c r="O141" s="92">
        <v>3573</v>
      </c>
      <c r="P141" s="92" t="s">
        <v>85</v>
      </c>
      <c r="Q141" s="92">
        <v>1</v>
      </c>
      <c r="R141" s="92" t="s">
        <v>151</v>
      </c>
    </row>
    <row r="142" spans="2:18" x14ac:dyDescent="0.15">
      <c r="B142" s="92" t="s">
        <v>160</v>
      </c>
      <c r="C142" s="92" t="s">
        <v>245</v>
      </c>
      <c r="D142" s="93">
        <v>43242</v>
      </c>
      <c r="E142" s="93">
        <v>43294</v>
      </c>
      <c r="F142" s="92">
        <v>14500</v>
      </c>
      <c r="G142" s="92">
        <v>52</v>
      </c>
      <c r="H142" s="92">
        <v>0.14246575342465753</v>
      </c>
      <c r="I142" s="92">
        <v>0</v>
      </c>
      <c r="J142" s="92">
        <v>0.15</v>
      </c>
      <c r="K142" s="92">
        <v>193.13653115325724</v>
      </c>
      <c r="L142" s="92"/>
      <c r="M142" s="92">
        <v>0</v>
      </c>
      <c r="N142" s="99">
        <v>193.13653115325724</v>
      </c>
      <c r="O142" s="92">
        <v>14825</v>
      </c>
      <c r="P142" s="92" t="s">
        <v>85</v>
      </c>
      <c r="Q142" s="92">
        <v>1</v>
      </c>
      <c r="R142" s="92" t="s">
        <v>151</v>
      </c>
    </row>
    <row r="143" spans="2:18" x14ac:dyDescent="0.15">
      <c r="B143" s="92" t="s">
        <v>160</v>
      </c>
      <c r="C143" s="92" t="s">
        <v>234</v>
      </c>
      <c r="D143" s="93">
        <v>43242</v>
      </c>
      <c r="E143" s="93">
        <v>43322</v>
      </c>
      <c r="F143" s="92">
        <v>480</v>
      </c>
      <c r="G143" s="92">
        <v>80</v>
      </c>
      <c r="H143" s="92">
        <v>0.21917808219178081</v>
      </c>
      <c r="I143" s="92">
        <v>0</v>
      </c>
      <c r="J143" s="92">
        <v>0.3</v>
      </c>
      <c r="K143" s="92">
        <v>38.236597967491889</v>
      </c>
      <c r="L143" s="92"/>
      <c r="M143" s="92">
        <v>0</v>
      </c>
      <c r="N143" s="99">
        <v>38.236597967491889</v>
      </c>
      <c r="O143" s="92">
        <v>458.5</v>
      </c>
      <c r="P143" s="92" t="s">
        <v>85</v>
      </c>
      <c r="Q143" s="92">
        <v>1</v>
      </c>
      <c r="R143" s="92" t="s">
        <v>151</v>
      </c>
    </row>
    <row r="144" spans="2:18" x14ac:dyDescent="0.15">
      <c r="B144" s="92" t="s">
        <v>160</v>
      </c>
      <c r="C144" s="92" t="s">
        <v>234</v>
      </c>
      <c r="D144" s="93">
        <v>43242</v>
      </c>
      <c r="E144" s="93">
        <v>43322</v>
      </c>
      <c r="F144" s="92">
        <v>430</v>
      </c>
      <c r="G144" s="92">
        <v>80</v>
      </c>
      <c r="H144" s="92">
        <v>0.21917808219178081</v>
      </c>
      <c r="I144" s="92">
        <v>0</v>
      </c>
      <c r="J144" s="92">
        <v>0.3</v>
      </c>
      <c r="K144" s="92">
        <v>13.110640096108312</v>
      </c>
      <c r="L144" s="92"/>
      <c r="M144" s="92">
        <v>0</v>
      </c>
      <c r="N144" s="99">
        <v>13.110640096108312</v>
      </c>
      <c r="O144" s="92">
        <v>458.5</v>
      </c>
      <c r="P144" s="92" t="s">
        <v>85</v>
      </c>
      <c r="Q144" s="92">
        <v>1</v>
      </c>
      <c r="R144" s="92" t="s">
        <v>151</v>
      </c>
    </row>
    <row r="145" spans="2:18" x14ac:dyDescent="0.15">
      <c r="B145" s="91" t="s">
        <v>2</v>
      </c>
      <c r="C145" s="33" t="s">
        <v>181</v>
      </c>
      <c r="D145" s="33" t="s">
        <v>180</v>
      </c>
      <c r="E145" s="33" t="s">
        <v>10</v>
      </c>
      <c r="F145" s="33" t="s">
        <v>184</v>
      </c>
      <c r="G145" s="33" t="s">
        <v>11</v>
      </c>
      <c r="H145" s="33" t="s">
        <v>12</v>
      </c>
      <c r="I145" s="33" t="s">
        <v>47</v>
      </c>
      <c r="J145" s="33" t="s">
        <v>13</v>
      </c>
      <c r="K145" s="33" t="s">
        <v>14</v>
      </c>
      <c r="L145" s="33" t="s">
        <v>26</v>
      </c>
      <c r="M145" s="33" t="s">
        <v>28</v>
      </c>
      <c r="N145" s="33" t="s">
        <v>182</v>
      </c>
      <c r="O145" s="33" t="s">
        <v>8</v>
      </c>
      <c r="P145" s="33" t="s">
        <v>23</v>
      </c>
      <c r="Q145" s="33"/>
      <c r="R145" s="33" t="s">
        <v>30</v>
      </c>
    </row>
    <row r="146" spans="2:18" x14ac:dyDescent="0.15">
      <c r="B146" s="92" t="s">
        <v>160</v>
      </c>
      <c r="C146" s="92" t="s">
        <v>234</v>
      </c>
      <c r="D146" s="93">
        <v>43242</v>
      </c>
      <c r="E146" s="93">
        <v>43322</v>
      </c>
      <c r="F146" s="92">
        <v>465</v>
      </c>
      <c r="G146" s="92">
        <v>80</v>
      </c>
      <c r="H146" s="92">
        <v>0.21917808219178081</v>
      </c>
      <c r="I146" s="92">
        <v>0</v>
      </c>
      <c r="J146" s="92">
        <v>0.36499999999999999</v>
      </c>
      <c r="K146" s="92">
        <v>-34.643998950779434</v>
      </c>
      <c r="L146" s="92"/>
      <c r="M146" s="92">
        <v>0</v>
      </c>
      <c r="N146" s="99">
        <v>34.643998950779434</v>
      </c>
      <c r="O146" s="92">
        <v>458.5</v>
      </c>
      <c r="P146" s="92" t="s">
        <v>85</v>
      </c>
      <c r="Q146" s="92">
        <v>-1</v>
      </c>
      <c r="R146" s="92" t="s">
        <v>20</v>
      </c>
    </row>
    <row r="147" spans="2:18" x14ac:dyDescent="0.15">
      <c r="B147" s="91" t="s">
        <v>2</v>
      </c>
      <c r="C147" s="33" t="s">
        <v>181</v>
      </c>
      <c r="D147" s="33" t="s">
        <v>180</v>
      </c>
      <c r="E147" s="33" t="s">
        <v>10</v>
      </c>
      <c r="F147" s="33" t="s">
        <v>184</v>
      </c>
      <c r="G147" s="33" t="s">
        <v>11</v>
      </c>
      <c r="H147" s="33" t="s">
        <v>12</v>
      </c>
      <c r="I147" s="33" t="s">
        <v>47</v>
      </c>
      <c r="J147" s="33" t="s">
        <v>13</v>
      </c>
      <c r="K147" s="33" t="s">
        <v>14</v>
      </c>
      <c r="L147" s="33" t="s">
        <v>26</v>
      </c>
      <c r="M147" s="33" t="s">
        <v>28</v>
      </c>
      <c r="N147" s="33" t="s">
        <v>182</v>
      </c>
      <c r="O147" s="33" t="s">
        <v>8</v>
      </c>
      <c r="P147" s="33" t="s">
        <v>23</v>
      </c>
      <c r="Q147" s="33"/>
      <c r="R147" s="33" t="s">
        <v>30</v>
      </c>
    </row>
    <row r="148" spans="2:18" x14ac:dyDescent="0.15">
      <c r="B148" s="92" t="s">
        <v>160</v>
      </c>
      <c r="C148" s="92" t="s">
        <v>230</v>
      </c>
      <c r="D148" s="93">
        <v>43242</v>
      </c>
      <c r="E148" s="93">
        <v>43272</v>
      </c>
      <c r="F148" s="92">
        <v>100</v>
      </c>
      <c r="G148" s="92">
        <v>30</v>
      </c>
      <c r="H148" s="92">
        <v>8.2191780821917804E-2</v>
      </c>
      <c r="I148" s="92">
        <v>0</v>
      </c>
      <c r="J148" s="92">
        <v>0.1075</v>
      </c>
      <c r="K148" s="92">
        <v>1.2274438352226085</v>
      </c>
      <c r="L148" s="92"/>
      <c r="M148" s="92">
        <v>0</v>
      </c>
      <c r="N148" s="99">
        <v>1.2274438352226085</v>
      </c>
      <c r="O148" s="92">
        <v>100</v>
      </c>
      <c r="P148" s="92" t="s">
        <v>85</v>
      </c>
      <c r="Q148" s="92">
        <v>1</v>
      </c>
      <c r="R148" s="92" t="s">
        <v>151</v>
      </c>
    </row>
    <row r="149" spans="2:18" x14ac:dyDescent="0.15">
      <c r="B149" s="92" t="s">
        <v>160</v>
      </c>
      <c r="C149" s="92" t="s">
        <v>229</v>
      </c>
      <c r="D149" s="93">
        <v>43242</v>
      </c>
      <c r="E149" s="93">
        <v>43272</v>
      </c>
      <c r="F149" s="92">
        <v>100</v>
      </c>
      <c r="G149" s="92">
        <v>30</v>
      </c>
      <c r="H149" s="92">
        <v>8.2191780821917804E-2</v>
      </c>
      <c r="I149" s="92">
        <v>0</v>
      </c>
      <c r="J149" s="92">
        <v>0.23499999999999999</v>
      </c>
      <c r="K149" s="92">
        <v>2.6828480996015003</v>
      </c>
      <c r="L149" s="92"/>
      <c r="M149" s="92">
        <v>0</v>
      </c>
      <c r="N149" s="99">
        <v>2.6828480996015003</v>
      </c>
      <c r="O149" s="92">
        <v>100</v>
      </c>
      <c r="P149" s="92" t="s">
        <v>85</v>
      </c>
      <c r="Q149" s="92">
        <v>1</v>
      </c>
      <c r="R149" s="92" t="s">
        <v>151</v>
      </c>
    </row>
    <row r="150" spans="2:18" x14ac:dyDescent="0.15">
      <c r="B150" s="92" t="s">
        <v>160</v>
      </c>
      <c r="C150" s="92" t="s">
        <v>232</v>
      </c>
      <c r="D150" s="93">
        <v>43242</v>
      </c>
      <c r="E150" s="93">
        <v>43272</v>
      </c>
      <c r="F150" s="92">
        <v>100</v>
      </c>
      <c r="G150" s="92">
        <v>30</v>
      </c>
      <c r="H150" s="92">
        <v>8.2191780821917804E-2</v>
      </c>
      <c r="I150" s="92">
        <v>0</v>
      </c>
      <c r="J150" s="92">
        <v>0.125</v>
      </c>
      <c r="K150" s="92">
        <v>1.4272403868415324</v>
      </c>
      <c r="L150" s="92"/>
      <c r="M150" s="92">
        <v>0</v>
      </c>
      <c r="N150" s="99">
        <v>1.4272403868415324</v>
      </c>
      <c r="O150" s="92">
        <v>100</v>
      </c>
      <c r="P150" s="92" t="s">
        <v>85</v>
      </c>
      <c r="Q150" s="92">
        <v>1</v>
      </c>
      <c r="R150" s="92" t="s">
        <v>151</v>
      </c>
    </row>
    <row r="151" spans="2:18" x14ac:dyDescent="0.15">
      <c r="B151" s="92" t="s">
        <v>160</v>
      </c>
      <c r="C151" s="92" t="s">
        <v>256</v>
      </c>
      <c r="D151" s="93">
        <v>43242</v>
      </c>
      <c r="E151" s="93">
        <v>43272</v>
      </c>
      <c r="F151" s="92">
        <v>100</v>
      </c>
      <c r="G151" s="92">
        <v>30</v>
      </c>
      <c r="H151" s="92">
        <v>8.2191780821917804E-2</v>
      </c>
      <c r="I151" s="92">
        <v>0</v>
      </c>
      <c r="J151" s="92">
        <v>0.2525</v>
      </c>
      <c r="K151" s="92">
        <v>2.8825504543547567</v>
      </c>
      <c r="L151" s="92"/>
      <c r="M151" s="92">
        <v>0</v>
      </c>
      <c r="N151" s="99">
        <v>2.8825504543547567</v>
      </c>
      <c r="O151" s="92">
        <v>100</v>
      </c>
      <c r="P151" s="92" t="s">
        <v>85</v>
      </c>
      <c r="Q151" s="92">
        <v>1</v>
      </c>
      <c r="R151" s="92" t="s">
        <v>151</v>
      </c>
    </row>
    <row r="152" spans="2:18" x14ac:dyDescent="0.15">
      <c r="B152" s="92" t="s">
        <v>160</v>
      </c>
      <c r="C152" s="92" t="s">
        <v>185</v>
      </c>
      <c r="D152" s="93">
        <v>43242</v>
      </c>
      <c r="E152" s="93">
        <v>43272</v>
      </c>
      <c r="F152" s="92">
        <v>100</v>
      </c>
      <c r="G152" s="92">
        <v>30</v>
      </c>
      <c r="H152" s="92">
        <v>8.2191780821917804E-2</v>
      </c>
      <c r="I152" s="92">
        <v>0</v>
      </c>
      <c r="J152" s="92">
        <v>0.215</v>
      </c>
      <c r="K152" s="92">
        <v>2.4545962454477035</v>
      </c>
      <c r="L152" s="92"/>
      <c r="M152" s="92">
        <v>0</v>
      </c>
      <c r="N152" s="99">
        <v>2.4545962454477035</v>
      </c>
      <c r="O152" s="92">
        <v>100</v>
      </c>
      <c r="P152" s="92" t="s">
        <v>85</v>
      </c>
      <c r="Q152" s="92">
        <v>1</v>
      </c>
      <c r="R152" s="92" t="s">
        <v>151</v>
      </c>
    </row>
    <row r="153" spans="2:18" x14ac:dyDescent="0.15">
      <c r="B153" s="92" t="s">
        <v>160</v>
      </c>
      <c r="C153" s="92" t="s">
        <v>185</v>
      </c>
      <c r="D153" s="93">
        <v>43242</v>
      </c>
      <c r="E153" s="93">
        <v>43272</v>
      </c>
      <c r="F153" s="92">
        <v>100</v>
      </c>
      <c r="G153" s="92">
        <v>30</v>
      </c>
      <c r="H153" s="92">
        <v>8.2191780821917804E-2</v>
      </c>
      <c r="I153" s="92">
        <v>0</v>
      </c>
      <c r="J153" s="92">
        <v>0.28499999999999998</v>
      </c>
      <c r="K153" s="92">
        <v>-3.2533772011772371</v>
      </c>
      <c r="L153" s="92"/>
      <c r="M153" s="92">
        <v>0</v>
      </c>
      <c r="N153" s="99">
        <v>3.2533772011772371</v>
      </c>
      <c r="O153" s="92">
        <v>100</v>
      </c>
      <c r="P153" s="92" t="s">
        <v>85</v>
      </c>
      <c r="Q153" s="92">
        <v>-1</v>
      </c>
      <c r="R153" s="92" t="s">
        <v>20</v>
      </c>
    </row>
    <row r="154" spans="2:18" x14ac:dyDescent="0.15">
      <c r="B154" s="92" t="s">
        <v>160</v>
      </c>
      <c r="C154" s="92" t="s">
        <v>231</v>
      </c>
      <c r="D154" s="93">
        <v>43242</v>
      </c>
      <c r="E154" s="93">
        <v>43272</v>
      </c>
      <c r="F154" s="92">
        <v>100</v>
      </c>
      <c r="G154" s="92">
        <v>30</v>
      </c>
      <c r="H154" s="92">
        <v>8.2191780821917804E-2</v>
      </c>
      <c r="I154" s="92">
        <v>0</v>
      </c>
      <c r="J154" s="92">
        <v>0.17</v>
      </c>
      <c r="K154" s="92">
        <v>1.9409586889787747</v>
      </c>
      <c r="L154" s="92"/>
      <c r="M154" s="92">
        <v>0</v>
      </c>
      <c r="N154" s="99">
        <v>1.9409586889787747</v>
      </c>
      <c r="O154" s="92">
        <v>100</v>
      </c>
      <c r="P154" s="92" t="s">
        <v>85</v>
      </c>
      <c r="Q154" s="92">
        <v>1</v>
      </c>
      <c r="R154" s="92" t="s">
        <v>151</v>
      </c>
    </row>
    <row r="155" spans="2:18" x14ac:dyDescent="0.15">
      <c r="B155" s="92" t="s">
        <v>160</v>
      </c>
      <c r="C155" s="92" t="s">
        <v>231</v>
      </c>
      <c r="D155" s="93">
        <v>43242</v>
      </c>
      <c r="E155" s="93">
        <v>43272</v>
      </c>
      <c r="F155" s="92">
        <v>100</v>
      </c>
      <c r="G155" s="92">
        <v>30</v>
      </c>
      <c r="H155" s="92">
        <v>8.2191780821917804E-2</v>
      </c>
      <c r="I155" s="92">
        <v>0</v>
      </c>
      <c r="J155" s="92">
        <v>0.23</v>
      </c>
      <c r="K155" s="92">
        <v>-2.6257871293425126</v>
      </c>
      <c r="L155" s="92"/>
      <c r="M155" s="92">
        <v>0</v>
      </c>
      <c r="N155" s="99">
        <v>2.6257871293425126</v>
      </c>
      <c r="O155" s="92">
        <v>100</v>
      </c>
      <c r="P155" s="92" t="s">
        <v>85</v>
      </c>
      <c r="Q155" s="92">
        <v>-1</v>
      </c>
      <c r="R155" s="92" t="s">
        <v>20</v>
      </c>
    </row>
    <row r="156" spans="2:18" x14ac:dyDescent="0.15">
      <c r="B156" s="92" t="s">
        <v>160</v>
      </c>
      <c r="C156" s="92" t="s">
        <v>231</v>
      </c>
      <c r="D156" s="93">
        <v>43242</v>
      </c>
      <c r="E156" s="93">
        <v>43301</v>
      </c>
      <c r="F156" s="92">
        <v>100</v>
      </c>
      <c r="G156" s="92">
        <v>59</v>
      </c>
      <c r="H156" s="92">
        <v>0.16164383561643836</v>
      </c>
      <c r="I156" s="92">
        <v>0</v>
      </c>
      <c r="J156" s="92">
        <v>0.17249999999999999</v>
      </c>
      <c r="K156" s="92">
        <v>2.7573232762272042</v>
      </c>
      <c r="L156" s="92"/>
      <c r="M156" s="92">
        <v>0</v>
      </c>
      <c r="N156" s="99">
        <v>2.7573232762272042</v>
      </c>
      <c r="O156" s="92">
        <v>100</v>
      </c>
      <c r="P156" s="92" t="s">
        <v>85</v>
      </c>
      <c r="Q156" s="92">
        <v>1</v>
      </c>
      <c r="R156" s="92" t="s">
        <v>151</v>
      </c>
    </row>
    <row r="157" spans="2:18" x14ac:dyDescent="0.15">
      <c r="B157" s="92" t="s">
        <v>160</v>
      </c>
      <c r="C157" s="92" t="s">
        <v>231</v>
      </c>
      <c r="D157" s="93">
        <v>43242</v>
      </c>
      <c r="E157" s="93">
        <v>43301</v>
      </c>
      <c r="F157" s="92">
        <v>100</v>
      </c>
      <c r="G157" s="92">
        <v>59</v>
      </c>
      <c r="H157" s="92">
        <v>0.16164383561643836</v>
      </c>
      <c r="I157" s="92">
        <v>0</v>
      </c>
      <c r="J157" s="92">
        <v>0.23749999999999999</v>
      </c>
      <c r="K157" s="92">
        <v>-3.7956334668117861</v>
      </c>
      <c r="L157" s="92"/>
      <c r="M157" s="92">
        <v>0</v>
      </c>
      <c r="N157" s="99">
        <v>3.7956334668117861</v>
      </c>
      <c r="O157" s="92">
        <v>100</v>
      </c>
      <c r="P157" s="92" t="s">
        <v>85</v>
      </c>
      <c r="Q157" s="92">
        <v>-1</v>
      </c>
      <c r="R157" s="92" t="s">
        <v>20</v>
      </c>
    </row>
    <row r="158" spans="2:18" x14ac:dyDescent="0.15">
      <c r="B158" s="91" t="s">
        <v>2</v>
      </c>
      <c r="C158" s="33" t="s">
        <v>181</v>
      </c>
      <c r="D158" s="33" t="s">
        <v>180</v>
      </c>
      <c r="E158" s="33" t="s">
        <v>10</v>
      </c>
      <c r="F158" s="33" t="s">
        <v>184</v>
      </c>
      <c r="G158" s="33" t="s">
        <v>11</v>
      </c>
      <c r="H158" s="33" t="s">
        <v>12</v>
      </c>
      <c r="I158" s="33" t="s">
        <v>47</v>
      </c>
      <c r="J158" s="33" t="s">
        <v>13</v>
      </c>
      <c r="K158" s="33" t="s">
        <v>14</v>
      </c>
      <c r="L158" s="33" t="s">
        <v>26</v>
      </c>
      <c r="M158" s="33" t="s">
        <v>28</v>
      </c>
      <c r="N158" s="33" t="s">
        <v>182</v>
      </c>
      <c r="O158" s="33" t="s">
        <v>8</v>
      </c>
      <c r="P158" s="33" t="s">
        <v>23</v>
      </c>
      <c r="Q158" s="33"/>
      <c r="R158" s="33" t="s">
        <v>30</v>
      </c>
    </row>
    <row r="159" spans="2:18" x14ac:dyDescent="0.15">
      <c r="B159" s="92" t="s">
        <v>160</v>
      </c>
      <c r="C159" s="92" t="s">
        <v>245</v>
      </c>
      <c r="D159" s="93">
        <v>43243</v>
      </c>
      <c r="E159" s="93">
        <v>43294</v>
      </c>
      <c r="F159" s="92">
        <v>13800</v>
      </c>
      <c r="G159" s="92">
        <v>51</v>
      </c>
      <c r="H159" s="92">
        <v>0.13972602739726028</v>
      </c>
      <c r="I159" s="92">
        <v>0</v>
      </c>
      <c r="J159" s="92">
        <v>0.14000000000000001</v>
      </c>
      <c r="K159" s="92">
        <v>42.725461964348824</v>
      </c>
      <c r="L159" s="92">
        <v>30</v>
      </c>
      <c r="M159" s="92">
        <v>6.1556301369863018</v>
      </c>
      <c r="N159" s="99">
        <v>36.56983182736252</v>
      </c>
      <c r="O159" s="92">
        <v>14685</v>
      </c>
      <c r="P159" s="92" t="s">
        <v>85</v>
      </c>
      <c r="Q159" s="92">
        <v>1</v>
      </c>
      <c r="R159" s="92" t="s">
        <v>151</v>
      </c>
    </row>
    <row r="160" spans="2:18" x14ac:dyDescent="0.15">
      <c r="B160" s="92" t="s">
        <v>160</v>
      </c>
      <c r="C160" s="92" t="s">
        <v>245</v>
      </c>
      <c r="D160" s="93">
        <v>43243</v>
      </c>
      <c r="E160" s="93">
        <v>43294</v>
      </c>
      <c r="F160" s="92">
        <v>14000</v>
      </c>
      <c r="G160" s="92">
        <v>51</v>
      </c>
      <c r="H160" s="92">
        <v>0.13972602739726028</v>
      </c>
      <c r="I160" s="92">
        <v>0</v>
      </c>
      <c r="J160" s="92">
        <v>0.14000000000000001</v>
      </c>
      <c r="K160" s="92">
        <v>73.385056834770239</v>
      </c>
      <c r="L160" s="92">
        <v>30</v>
      </c>
      <c r="M160" s="92">
        <v>6.1556301369863018</v>
      </c>
      <c r="N160" s="99">
        <v>67.229426697783936</v>
      </c>
      <c r="O160" s="92">
        <v>14685</v>
      </c>
      <c r="P160" s="92" t="s">
        <v>85</v>
      </c>
      <c r="Q160" s="92">
        <v>1</v>
      </c>
      <c r="R160" s="92" t="s">
        <v>151</v>
      </c>
    </row>
    <row r="161" spans="2:18" x14ac:dyDescent="0.15">
      <c r="B161" s="92" t="s">
        <v>160</v>
      </c>
      <c r="C161" s="92" t="s">
        <v>258</v>
      </c>
      <c r="D161" s="93">
        <v>43243</v>
      </c>
      <c r="E161" s="93">
        <v>43326</v>
      </c>
      <c r="F161" s="92">
        <v>13800</v>
      </c>
      <c r="G161" s="92">
        <v>83</v>
      </c>
      <c r="H161" s="92">
        <v>0.22739726027397261</v>
      </c>
      <c r="I161" s="92">
        <v>0</v>
      </c>
      <c r="J161" s="92">
        <v>0.14000000000000001</v>
      </c>
      <c r="K161" s="92">
        <v>78.638194812504935</v>
      </c>
      <c r="L161" s="92">
        <v>30</v>
      </c>
      <c r="M161" s="92">
        <v>10.065739726027397</v>
      </c>
      <c r="N161" s="99">
        <v>68.572455086477532</v>
      </c>
      <c r="O161" s="92">
        <v>14755</v>
      </c>
      <c r="P161" s="92" t="s">
        <v>85</v>
      </c>
      <c r="Q161" s="92">
        <v>1</v>
      </c>
      <c r="R161" s="92" t="s">
        <v>151</v>
      </c>
    </row>
    <row r="162" spans="2:18" x14ac:dyDescent="0.15">
      <c r="B162" s="92" t="s">
        <v>160</v>
      </c>
      <c r="C162" s="92" t="s">
        <v>258</v>
      </c>
      <c r="D162" s="93">
        <v>43243</v>
      </c>
      <c r="E162" s="93">
        <v>43326</v>
      </c>
      <c r="F162" s="92">
        <v>14000</v>
      </c>
      <c r="G162" s="92">
        <v>83</v>
      </c>
      <c r="H162" s="92">
        <v>0.22739726027397261</v>
      </c>
      <c r="I162" s="92">
        <v>0</v>
      </c>
      <c r="J162" s="92">
        <v>0.14000000000000001</v>
      </c>
      <c r="K162" s="92">
        <v>117.4828896758977</v>
      </c>
      <c r="L162" s="92">
        <v>30</v>
      </c>
      <c r="M162" s="92">
        <v>10.065739726027397</v>
      </c>
      <c r="N162" s="99">
        <v>107.41714994987029</v>
      </c>
      <c r="O162" s="92">
        <v>14755</v>
      </c>
      <c r="P162" s="92" t="s">
        <v>85</v>
      </c>
      <c r="Q162" s="92">
        <v>1</v>
      </c>
      <c r="R162" s="92" t="s">
        <v>151</v>
      </c>
    </row>
    <row r="163" spans="2:18" x14ac:dyDescent="0.15">
      <c r="B163" s="91" t="s">
        <v>2</v>
      </c>
      <c r="C163" s="33" t="s">
        <v>181</v>
      </c>
      <c r="D163" s="33" t="s">
        <v>180</v>
      </c>
      <c r="E163" s="33" t="s">
        <v>10</v>
      </c>
      <c r="F163" s="33" t="s">
        <v>184</v>
      </c>
      <c r="G163" s="33" t="s">
        <v>11</v>
      </c>
      <c r="H163" s="33" t="s">
        <v>12</v>
      </c>
      <c r="I163" s="33" t="s">
        <v>47</v>
      </c>
      <c r="J163" s="33" t="s">
        <v>13</v>
      </c>
      <c r="K163" s="33" t="s">
        <v>14</v>
      </c>
      <c r="L163" s="33" t="s">
        <v>26</v>
      </c>
      <c r="M163" s="33" t="s">
        <v>28</v>
      </c>
      <c r="N163" s="33" t="s">
        <v>182</v>
      </c>
      <c r="O163" s="33" t="s">
        <v>8</v>
      </c>
      <c r="P163" s="33" t="s">
        <v>23</v>
      </c>
      <c r="Q163" s="33"/>
      <c r="R163" s="33" t="s">
        <v>30</v>
      </c>
    </row>
    <row r="164" spans="2:18" x14ac:dyDescent="0.15">
      <c r="B164" s="92" t="s">
        <v>160</v>
      </c>
      <c r="C164" s="92" t="s">
        <v>91</v>
      </c>
      <c r="D164" s="93">
        <v>43244</v>
      </c>
      <c r="E164" s="93">
        <v>43276</v>
      </c>
      <c r="F164" s="92">
        <v>100</v>
      </c>
      <c r="G164" s="92">
        <v>32</v>
      </c>
      <c r="H164" s="92">
        <v>8.7671232876712329E-2</v>
      </c>
      <c r="I164" s="92">
        <v>0</v>
      </c>
      <c r="J164" s="92">
        <v>0.115</v>
      </c>
      <c r="K164" s="92">
        <v>1.3559821728240848</v>
      </c>
      <c r="L164" s="92"/>
      <c r="M164" s="92">
        <v>0</v>
      </c>
      <c r="N164" s="99">
        <v>1.3559821728240848</v>
      </c>
      <c r="O164" s="92">
        <v>100</v>
      </c>
      <c r="P164" s="92" t="s">
        <v>85</v>
      </c>
      <c r="Q164" s="92">
        <v>1</v>
      </c>
      <c r="R164" s="92" t="s">
        <v>151</v>
      </c>
    </row>
    <row r="165" spans="2:18" x14ac:dyDescent="0.15">
      <c r="B165" s="92" t="s">
        <v>160</v>
      </c>
      <c r="C165" s="92" t="s">
        <v>91</v>
      </c>
      <c r="D165" s="93">
        <v>43244</v>
      </c>
      <c r="E165" s="93">
        <v>43276</v>
      </c>
      <c r="F165" s="92">
        <v>100</v>
      </c>
      <c r="G165" s="92">
        <v>32</v>
      </c>
      <c r="H165" s="92">
        <v>8.7671232876712329E-2</v>
      </c>
      <c r="I165" s="92">
        <v>0</v>
      </c>
      <c r="J165" s="92">
        <v>0.22500000000000001</v>
      </c>
      <c r="K165" s="92">
        <v>-2.6526462008723612</v>
      </c>
      <c r="L165" s="92"/>
      <c r="M165" s="92">
        <v>0</v>
      </c>
      <c r="N165" s="99">
        <v>2.6526462008723612</v>
      </c>
      <c r="O165" s="92">
        <v>100</v>
      </c>
      <c r="P165" s="92" t="s">
        <v>85</v>
      </c>
      <c r="Q165" s="92">
        <v>-1</v>
      </c>
      <c r="R165" s="92" t="s">
        <v>20</v>
      </c>
    </row>
    <row r="166" spans="2:18" x14ac:dyDescent="0.15">
      <c r="B166" s="92" t="s">
        <v>160</v>
      </c>
      <c r="C166" s="92" t="s">
        <v>91</v>
      </c>
      <c r="D166" s="93">
        <v>43244</v>
      </c>
      <c r="E166" s="93">
        <v>43304</v>
      </c>
      <c r="F166" s="92">
        <v>100</v>
      </c>
      <c r="G166" s="92">
        <v>60</v>
      </c>
      <c r="H166" s="92">
        <v>0.16438356164383561</v>
      </c>
      <c r="I166" s="92">
        <v>0</v>
      </c>
      <c r="J166" s="92">
        <v>0.11799999999999999</v>
      </c>
      <c r="K166" s="92">
        <v>1.9021818418049463</v>
      </c>
      <c r="L166" s="92"/>
      <c r="M166" s="92">
        <v>0</v>
      </c>
      <c r="N166" s="99">
        <v>1.9021818418049463</v>
      </c>
      <c r="O166" s="92">
        <v>100</v>
      </c>
      <c r="P166" s="92" t="s">
        <v>85</v>
      </c>
      <c r="Q166" s="92">
        <v>1</v>
      </c>
      <c r="R166" s="92" t="s">
        <v>151</v>
      </c>
    </row>
    <row r="167" spans="2:18" x14ac:dyDescent="0.15">
      <c r="B167" s="92" t="s">
        <v>160</v>
      </c>
      <c r="C167" s="92" t="s">
        <v>91</v>
      </c>
      <c r="D167" s="93">
        <v>43244</v>
      </c>
      <c r="E167" s="93">
        <v>43304</v>
      </c>
      <c r="F167" s="92">
        <v>100</v>
      </c>
      <c r="G167" s="92">
        <v>60</v>
      </c>
      <c r="H167" s="92">
        <v>0.16438356164383561</v>
      </c>
      <c r="I167" s="92">
        <v>0</v>
      </c>
      <c r="J167" s="92">
        <v>0.23</v>
      </c>
      <c r="K167" s="92">
        <v>-3.7066530980644856</v>
      </c>
      <c r="L167" s="92"/>
      <c r="M167" s="92">
        <v>0</v>
      </c>
      <c r="N167" s="99">
        <v>3.7066530980644856</v>
      </c>
      <c r="O167" s="92">
        <v>100</v>
      </c>
      <c r="P167" s="92" t="s">
        <v>85</v>
      </c>
      <c r="Q167" s="92">
        <v>-1</v>
      </c>
      <c r="R167" s="92" t="s">
        <v>20</v>
      </c>
    </row>
    <row r="168" spans="2:18" x14ac:dyDescent="0.15">
      <c r="B168" s="92" t="s">
        <v>160</v>
      </c>
      <c r="C168" s="92" t="s">
        <v>261</v>
      </c>
      <c r="D168" s="93">
        <v>43244</v>
      </c>
      <c r="E168" s="93">
        <v>43276</v>
      </c>
      <c r="F168" s="92">
        <v>100</v>
      </c>
      <c r="G168" s="92">
        <v>32</v>
      </c>
      <c r="H168" s="92">
        <v>8.7671232876712329E-2</v>
      </c>
      <c r="I168" s="92">
        <v>0</v>
      </c>
      <c r="J168" s="92">
        <v>0.14499999999999999</v>
      </c>
      <c r="K168" s="92">
        <v>-1.7096679406089024</v>
      </c>
      <c r="L168" s="92"/>
      <c r="M168" s="92">
        <v>0</v>
      </c>
      <c r="N168" s="99">
        <v>1.7096679406089024</v>
      </c>
      <c r="O168" s="92">
        <v>100</v>
      </c>
      <c r="P168" s="92" t="s">
        <v>85</v>
      </c>
      <c r="Q168" s="92">
        <v>-1</v>
      </c>
      <c r="R168" s="92" t="s">
        <v>20</v>
      </c>
    </row>
    <row r="169" spans="2:18" x14ac:dyDescent="0.15">
      <c r="B169" s="92" t="s">
        <v>160</v>
      </c>
      <c r="C169" s="92" t="s">
        <v>39</v>
      </c>
      <c r="D169" s="93">
        <v>43244</v>
      </c>
      <c r="E169" s="93">
        <v>43276</v>
      </c>
      <c r="F169" s="92">
        <v>100</v>
      </c>
      <c r="G169" s="92">
        <v>32</v>
      </c>
      <c r="H169" s="92">
        <v>8.7671232876712329E-2</v>
      </c>
      <c r="I169" s="92">
        <v>0</v>
      </c>
      <c r="J169" s="92">
        <v>0.115</v>
      </c>
      <c r="K169" s="92">
        <v>-1.3559821728240848</v>
      </c>
      <c r="L169" s="92"/>
      <c r="M169" s="92">
        <v>0</v>
      </c>
      <c r="N169" s="99">
        <v>1.3559821728240848</v>
      </c>
      <c r="O169" s="92">
        <v>100</v>
      </c>
      <c r="P169" s="92" t="s">
        <v>85</v>
      </c>
      <c r="Q169" s="92">
        <v>-1</v>
      </c>
      <c r="R169" s="92" t="s">
        <v>20</v>
      </c>
    </row>
    <row r="170" spans="2:18" x14ac:dyDescent="0.15">
      <c r="B170" s="91" t="s">
        <v>2</v>
      </c>
      <c r="C170" s="33" t="s">
        <v>181</v>
      </c>
      <c r="D170" s="33" t="s">
        <v>180</v>
      </c>
      <c r="E170" s="33" t="s">
        <v>10</v>
      </c>
      <c r="F170" s="33" t="s">
        <v>184</v>
      </c>
      <c r="G170" s="33" t="s">
        <v>11</v>
      </c>
      <c r="H170" s="33" t="s">
        <v>12</v>
      </c>
      <c r="I170" s="33" t="s">
        <v>47</v>
      </c>
      <c r="J170" s="33" t="s">
        <v>13</v>
      </c>
      <c r="K170" s="33" t="s">
        <v>14</v>
      </c>
      <c r="L170" s="33" t="s">
        <v>26</v>
      </c>
      <c r="M170" s="33" t="s">
        <v>28</v>
      </c>
      <c r="N170" s="33" t="s">
        <v>182</v>
      </c>
      <c r="O170" s="33" t="s">
        <v>8</v>
      </c>
      <c r="P170" s="33" t="s">
        <v>23</v>
      </c>
      <c r="Q170" s="33"/>
      <c r="R170" s="33" t="s">
        <v>30</v>
      </c>
    </row>
    <row r="171" spans="2:18" x14ac:dyDescent="0.15">
      <c r="B171" s="92" t="s">
        <v>160</v>
      </c>
      <c r="C171" s="92" t="s">
        <v>228</v>
      </c>
      <c r="D171" s="93">
        <v>43248</v>
      </c>
      <c r="E171" s="93">
        <v>43279</v>
      </c>
      <c r="F171" s="92">
        <v>52000</v>
      </c>
      <c r="G171" s="92">
        <v>31</v>
      </c>
      <c r="H171" s="92">
        <v>8.4931506849315067E-2</v>
      </c>
      <c r="I171" s="92">
        <v>0</v>
      </c>
      <c r="J171" s="92">
        <v>0.17749999999999999</v>
      </c>
      <c r="K171" s="92">
        <v>-779.63573658485257</v>
      </c>
      <c r="L171" s="92"/>
      <c r="M171" s="92">
        <v>0</v>
      </c>
      <c r="N171" s="99">
        <v>779.63573658485257</v>
      </c>
      <c r="O171" s="92">
        <v>51370</v>
      </c>
      <c r="P171" s="92" t="s">
        <v>39</v>
      </c>
      <c r="Q171" s="92">
        <v>-1</v>
      </c>
      <c r="R171" s="92" t="s">
        <v>20</v>
      </c>
    </row>
    <row r="172" spans="2:18" x14ac:dyDescent="0.15">
      <c r="B172" s="91" t="s">
        <v>2</v>
      </c>
      <c r="C172" s="33" t="s">
        <v>181</v>
      </c>
      <c r="D172" s="33" t="s">
        <v>180</v>
      </c>
      <c r="E172" s="33" t="s">
        <v>10</v>
      </c>
      <c r="F172" s="33" t="s">
        <v>184</v>
      </c>
      <c r="G172" s="33" t="s">
        <v>11</v>
      </c>
      <c r="H172" s="33" t="s">
        <v>12</v>
      </c>
      <c r="I172" s="33" t="s">
        <v>47</v>
      </c>
      <c r="J172" s="33" t="s">
        <v>13</v>
      </c>
      <c r="K172" s="33" t="s">
        <v>14</v>
      </c>
      <c r="L172" s="33" t="s">
        <v>26</v>
      </c>
      <c r="M172" s="33" t="s">
        <v>28</v>
      </c>
      <c r="N172" s="33" t="s">
        <v>182</v>
      </c>
      <c r="O172" s="33" t="s">
        <v>8</v>
      </c>
      <c r="P172" s="33" t="s">
        <v>23</v>
      </c>
      <c r="Q172" s="33"/>
      <c r="R172" s="33" t="s">
        <v>30</v>
      </c>
    </row>
    <row r="173" spans="2:18" x14ac:dyDescent="0.15">
      <c r="B173" s="92" t="s">
        <v>160</v>
      </c>
      <c r="C173" s="92" t="s">
        <v>234</v>
      </c>
      <c r="D173" s="93">
        <v>43249</v>
      </c>
      <c r="E173" s="93">
        <v>43280</v>
      </c>
      <c r="F173" s="92">
        <v>495</v>
      </c>
      <c r="G173" s="92">
        <v>31</v>
      </c>
      <c r="H173" s="92">
        <v>8.4931506849315067E-2</v>
      </c>
      <c r="I173" s="92">
        <v>0</v>
      </c>
      <c r="J173" s="92">
        <v>0.26</v>
      </c>
      <c r="K173" s="92">
        <v>3.1948957210646256</v>
      </c>
      <c r="L173" s="92"/>
      <c r="M173" s="92">
        <v>0</v>
      </c>
      <c r="N173" s="99">
        <v>3.1948957210646256</v>
      </c>
      <c r="O173" s="92">
        <v>460</v>
      </c>
      <c r="P173" s="92" t="s">
        <v>39</v>
      </c>
      <c r="Q173" s="92">
        <v>1</v>
      </c>
      <c r="R173" s="92" t="s">
        <v>151</v>
      </c>
    </row>
    <row r="174" spans="2:18" x14ac:dyDescent="0.15">
      <c r="B174" s="92" t="s">
        <v>160</v>
      </c>
      <c r="C174" s="92" t="s">
        <v>234</v>
      </c>
      <c r="D174" s="93">
        <v>43249</v>
      </c>
      <c r="E174" s="93">
        <v>43280</v>
      </c>
      <c r="F174" s="92">
        <v>500</v>
      </c>
      <c r="G174" s="92">
        <v>31</v>
      </c>
      <c r="H174" s="92">
        <v>8.4931506849315067E-2</v>
      </c>
      <c r="I174" s="92">
        <v>0</v>
      </c>
      <c r="J174" s="92">
        <v>0.26</v>
      </c>
      <c r="K174" s="92">
        <v>2.4860394008728051</v>
      </c>
      <c r="L174" s="92"/>
      <c r="M174" s="92">
        <v>0</v>
      </c>
      <c r="N174" s="99">
        <v>2.4860394008728051</v>
      </c>
      <c r="O174" s="92">
        <v>460</v>
      </c>
      <c r="P174" s="92" t="s">
        <v>39</v>
      </c>
      <c r="Q174" s="92">
        <v>1</v>
      </c>
      <c r="R174" s="92" t="s">
        <v>151</v>
      </c>
    </row>
    <row r="175" spans="2:18" x14ac:dyDescent="0.15">
      <c r="B175" s="91" t="s">
        <v>2</v>
      </c>
      <c r="C175" s="33" t="s">
        <v>181</v>
      </c>
      <c r="D175" s="33" t="s">
        <v>180</v>
      </c>
      <c r="E175" s="33" t="s">
        <v>10</v>
      </c>
      <c r="F175" s="33" t="s">
        <v>184</v>
      </c>
      <c r="G175" s="33" t="s">
        <v>11</v>
      </c>
      <c r="H175" s="33" t="s">
        <v>12</v>
      </c>
      <c r="I175" s="33" t="s">
        <v>47</v>
      </c>
      <c r="J175" s="33" t="s">
        <v>13</v>
      </c>
      <c r="K175" s="33" t="s">
        <v>14</v>
      </c>
      <c r="L175" s="33" t="s">
        <v>26</v>
      </c>
      <c r="M175" s="33" t="s">
        <v>28</v>
      </c>
      <c r="N175" s="33" t="s">
        <v>182</v>
      </c>
      <c r="O175" s="33" t="s">
        <v>8</v>
      </c>
      <c r="P175" s="33" t="s">
        <v>23</v>
      </c>
      <c r="Q175" s="33"/>
      <c r="R175" s="33" t="s">
        <v>30</v>
      </c>
    </row>
    <row r="176" spans="2:18" x14ac:dyDescent="0.15">
      <c r="B176" s="92" t="s">
        <v>160</v>
      </c>
      <c r="C176" s="92" t="s">
        <v>247</v>
      </c>
      <c r="D176" s="93">
        <v>43250</v>
      </c>
      <c r="E176" s="93">
        <v>43280</v>
      </c>
      <c r="F176" s="92">
        <v>49500</v>
      </c>
      <c r="G176" s="92">
        <v>30</v>
      </c>
      <c r="H176" s="92">
        <v>8.2191780821917804E-2</v>
      </c>
      <c r="I176" s="92">
        <v>0</v>
      </c>
      <c r="J176" s="92">
        <v>0.12</v>
      </c>
      <c r="K176" s="92">
        <v>116.15780886073208</v>
      </c>
      <c r="L176" s="92">
        <v>30</v>
      </c>
      <c r="M176" s="92">
        <v>12.681369863013698</v>
      </c>
      <c r="N176" s="99">
        <v>103.47643899771838</v>
      </c>
      <c r="O176" s="92">
        <v>51430</v>
      </c>
      <c r="P176" s="92" t="s">
        <v>85</v>
      </c>
      <c r="Q176" s="92">
        <v>1</v>
      </c>
      <c r="R176" s="92" t="s">
        <v>151</v>
      </c>
    </row>
    <row r="177" spans="2:18" x14ac:dyDescent="0.15">
      <c r="B177" s="91" t="s">
        <v>2</v>
      </c>
      <c r="C177" s="33" t="s">
        <v>181</v>
      </c>
      <c r="D177" s="33" t="s">
        <v>180</v>
      </c>
      <c r="E177" s="33" t="s">
        <v>10</v>
      </c>
      <c r="F177" s="33" t="s">
        <v>184</v>
      </c>
      <c r="G177" s="33" t="s">
        <v>11</v>
      </c>
      <c r="H177" s="33" t="s">
        <v>12</v>
      </c>
      <c r="I177" s="33" t="s">
        <v>47</v>
      </c>
      <c r="J177" s="33" t="s">
        <v>13</v>
      </c>
      <c r="K177" s="33" t="s">
        <v>14</v>
      </c>
      <c r="L177" s="33" t="s">
        <v>26</v>
      </c>
      <c r="M177" s="33" t="s">
        <v>28</v>
      </c>
      <c r="N177" s="33" t="s">
        <v>182</v>
      </c>
      <c r="O177" s="33" t="s">
        <v>8</v>
      </c>
      <c r="P177" s="33" t="s">
        <v>23</v>
      </c>
      <c r="Q177" s="33"/>
      <c r="R177" s="33" t="s">
        <v>30</v>
      </c>
    </row>
    <row r="178" spans="2:18" x14ac:dyDescent="0.15">
      <c r="B178" s="92" t="s">
        <v>160</v>
      </c>
      <c r="C178" s="92" t="s">
        <v>245</v>
      </c>
      <c r="D178" s="93">
        <v>43250</v>
      </c>
      <c r="E178" s="93">
        <v>43294</v>
      </c>
      <c r="F178" s="92">
        <v>14500</v>
      </c>
      <c r="G178" s="92">
        <v>44</v>
      </c>
      <c r="H178" s="92">
        <v>0.12054794520547946</v>
      </c>
      <c r="I178" s="92">
        <v>0</v>
      </c>
      <c r="J178" s="92">
        <v>0.13</v>
      </c>
      <c r="K178" s="92">
        <v>148.1957993354099</v>
      </c>
      <c r="L178" s="92">
        <v>30</v>
      </c>
      <c r="M178" s="92">
        <v>5.3432876712328774</v>
      </c>
      <c r="N178" s="99">
        <v>142.85251166417703</v>
      </c>
      <c r="O178" s="92">
        <v>14775</v>
      </c>
      <c r="P178" s="92" t="s">
        <v>85</v>
      </c>
      <c r="Q178" s="92">
        <v>1</v>
      </c>
      <c r="R178" s="92" t="s">
        <v>151</v>
      </c>
    </row>
    <row r="179" spans="2:18" x14ac:dyDescent="0.15">
      <c r="B179" s="92" t="s">
        <v>160</v>
      </c>
      <c r="C179" s="92" t="s">
        <v>258</v>
      </c>
      <c r="D179" s="93">
        <v>43250</v>
      </c>
      <c r="E179" s="93">
        <v>43325</v>
      </c>
      <c r="F179" s="92">
        <v>14500</v>
      </c>
      <c r="G179" s="92">
        <v>75</v>
      </c>
      <c r="H179" s="92">
        <v>0.20547945205479451</v>
      </c>
      <c r="I179" s="92">
        <v>0</v>
      </c>
      <c r="J179" s="92">
        <v>0.13</v>
      </c>
      <c r="K179" s="92">
        <v>197.0015228979737</v>
      </c>
      <c r="L179" s="92">
        <v>30</v>
      </c>
      <c r="M179" s="92">
        <v>9.1541095890410951</v>
      </c>
      <c r="N179" s="99">
        <v>187.8474133089326</v>
      </c>
      <c r="O179" s="92">
        <v>14850</v>
      </c>
      <c r="P179" s="92" t="s">
        <v>85</v>
      </c>
      <c r="Q179" s="92">
        <v>1</v>
      </c>
      <c r="R179" s="92" t="s">
        <v>151</v>
      </c>
    </row>
    <row r="180" spans="2:18" x14ac:dyDescent="0.15">
      <c r="B180" s="92" t="s">
        <v>160</v>
      </c>
      <c r="C180" s="92" t="s">
        <v>272</v>
      </c>
      <c r="D180" s="93">
        <v>43250</v>
      </c>
      <c r="E180" s="93">
        <v>43356</v>
      </c>
      <c r="F180" s="92">
        <v>14500</v>
      </c>
      <c r="G180" s="92">
        <v>106</v>
      </c>
      <c r="H180" s="92">
        <v>0.29041095890410956</v>
      </c>
      <c r="I180" s="92">
        <v>0</v>
      </c>
      <c r="J180" s="92">
        <v>0.13</v>
      </c>
      <c r="K180" s="92">
        <v>231.7094428625951</v>
      </c>
      <c r="L180" s="92">
        <v>30</v>
      </c>
      <c r="M180" s="92">
        <v>13.003150684931507</v>
      </c>
      <c r="N180" s="99">
        <v>218.70629217766358</v>
      </c>
      <c r="O180" s="92">
        <v>14925</v>
      </c>
      <c r="P180" s="92" t="s">
        <v>85</v>
      </c>
      <c r="Q180" s="92">
        <v>1</v>
      </c>
      <c r="R180" s="92" t="s">
        <v>151</v>
      </c>
    </row>
    <row r="181" spans="2:18" x14ac:dyDescent="0.15">
      <c r="B181" s="91" t="s">
        <v>2</v>
      </c>
      <c r="C181" s="33" t="s">
        <v>181</v>
      </c>
      <c r="D181" s="33" t="s">
        <v>180</v>
      </c>
      <c r="E181" s="33" t="s">
        <v>10</v>
      </c>
      <c r="F181" s="33" t="s">
        <v>184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14</v>
      </c>
      <c r="L181" s="33" t="s">
        <v>26</v>
      </c>
      <c r="M181" s="33" t="s">
        <v>28</v>
      </c>
      <c r="N181" s="33" t="s">
        <v>182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92" t="s">
        <v>160</v>
      </c>
      <c r="C182" s="92" t="s">
        <v>247</v>
      </c>
      <c r="D182" s="93">
        <v>43250</v>
      </c>
      <c r="E182" s="93">
        <v>43280</v>
      </c>
      <c r="F182" s="92">
        <v>49500</v>
      </c>
      <c r="G182" s="92">
        <v>30</v>
      </c>
      <c r="H182" s="92">
        <v>8.2191780821917804E-2</v>
      </c>
      <c r="I182" s="92">
        <v>0</v>
      </c>
      <c r="J182" s="92">
        <v>0.12</v>
      </c>
      <c r="K182" s="92">
        <v>171.01217245503904</v>
      </c>
      <c r="L182" s="92">
        <v>30</v>
      </c>
      <c r="M182" s="92">
        <v>12.592602739726027</v>
      </c>
      <c r="N182" s="99">
        <v>158.419569715313</v>
      </c>
      <c r="O182" s="92">
        <v>51070</v>
      </c>
      <c r="P182" s="92" t="s">
        <v>85</v>
      </c>
      <c r="Q182" s="92">
        <v>1</v>
      </c>
      <c r="R182" s="92" t="s">
        <v>151</v>
      </c>
    </row>
    <row r="183" spans="2:18" x14ac:dyDescent="0.15">
      <c r="B183" s="91" t="s">
        <v>2</v>
      </c>
      <c r="C183" s="33" t="s">
        <v>181</v>
      </c>
      <c r="D183" s="33" t="s">
        <v>180</v>
      </c>
      <c r="E183" s="33" t="s">
        <v>10</v>
      </c>
      <c r="F183" s="33" t="s">
        <v>184</v>
      </c>
      <c r="G183" s="33" t="s">
        <v>11</v>
      </c>
      <c r="H183" s="33" t="s">
        <v>12</v>
      </c>
      <c r="I183" s="33" t="s">
        <v>47</v>
      </c>
      <c r="J183" s="33" t="s">
        <v>13</v>
      </c>
      <c r="K183" s="33" t="s">
        <v>14</v>
      </c>
      <c r="L183" s="33" t="s">
        <v>26</v>
      </c>
      <c r="M183" s="33" t="s">
        <v>28</v>
      </c>
      <c r="N183" s="33" t="s">
        <v>182</v>
      </c>
      <c r="O183" s="33" t="s">
        <v>8</v>
      </c>
      <c r="P183" s="33" t="s">
        <v>23</v>
      </c>
      <c r="Q183" s="33"/>
      <c r="R183" s="33" t="s">
        <v>30</v>
      </c>
    </row>
    <row r="184" spans="2:18" x14ac:dyDescent="0.15">
      <c r="B184" s="92" t="s">
        <v>160</v>
      </c>
      <c r="C184" s="92" t="s">
        <v>245</v>
      </c>
      <c r="D184" s="93">
        <v>43250</v>
      </c>
      <c r="E184" s="93">
        <v>43294</v>
      </c>
      <c r="F184" s="92">
        <v>14500</v>
      </c>
      <c r="G184" s="92">
        <v>44</v>
      </c>
      <c r="H184" s="92">
        <v>0.12054794520547946</v>
      </c>
      <c r="I184" s="92">
        <v>0</v>
      </c>
      <c r="J184" s="92">
        <v>0.13</v>
      </c>
      <c r="K184" s="92">
        <v>151.51897168068444</v>
      </c>
      <c r="L184" s="92">
        <v>30</v>
      </c>
      <c r="M184" s="92">
        <v>5.3396712328767126</v>
      </c>
      <c r="N184" s="99">
        <v>146.17930044780772</v>
      </c>
      <c r="O184" s="92">
        <v>14765</v>
      </c>
      <c r="P184" s="92" t="s">
        <v>85</v>
      </c>
      <c r="Q184" s="92">
        <v>1</v>
      </c>
      <c r="R184" s="92" t="s">
        <v>151</v>
      </c>
    </row>
    <row r="185" spans="2:18" x14ac:dyDescent="0.15">
      <c r="B185" s="92" t="s">
        <v>160</v>
      </c>
      <c r="C185" s="92" t="s">
        <v>258</v>
      </c>
      <c r="D185" s="93">
        <v>43250</v>
      </c>
      <c r="E185" s="93">
        <v>43325</v>
      </c>
      <c r="F185" s="92">
        <v>14500</v>
      </c>
      <c r="G185" s="92">
        <v>75</v>
      </c>
      <c r="H185" s="92">
        <v>0.20547945205479451</v>
      </c>
      <c r="I185" s="92">
        <v>0</v>
      </c>
      <c r="J185" s="92">
        <v>0.13</v>
      </c>
      <c r="K185" s="92">
        <v>203.69858170859607</v>
      </c>
      <c r="L185" s="92">
        <v>30</v>
      </c>
      <c r="M185" s="92">
        <v>9.1417808219178074</v>
      </c>
      <c r="N185" s="99">
        <v>194.55680088667825</v>
      </c>
      <c r="O185" s="92">
        <v>14830</v>
      </c>
      <c r="P185" s="92" t="s">
        <v>85</v>
      </c>
      <c r="Q185" s="92">
        <v>1</v>
      </c>
      <c r="R185" s="92" t="s">
        <v>151</v>
      </c>
    </row>
    <row r="186" spans="2:18" x14ac:dyDescent="0.15">
      <c r="B186" s="92" t="s">
        <v>160</v>
      </c>
      <c r="C186" s="92" t="s">
        <v>245</v>
      </c>
      <c r="D186" s="93">
        <v>43250</v>
      </c>
      <c r="E186" s="93">
        <v>43294</v>
      </c>
      <c r="F186" s="92">
        <v>15200</v>
      </c>
      <c r="G186" s="92">
        <v>44</v>
      </c>
      <c r="H186" s="92">
        <v>0.12054794520547946</v>
      </c>
      <c r="I186" s="92">
        <v>0</v>
      </c>
      <c r="J186" s="92">
        <v>0.13</v>
      </c>
      <c r="K186" s="92">
        <v>105.96230614958267</v>
      </c>
      <c r="L186" s="92">
        <v>30</v>
      </c>
      <c r="M186" s="92">
        <v>5.3396712328767126</v>
      </c>
      <c r="N186" s="99">
        <v>100.62263491670596</v>
      </c>
      <c r="O186" s="92">
        <v>14765</v>
      </c>
      <c r="P186" s="92" t="s">
        <v>39</v>
      </c>
      <c r="Q186" s="92">
        <v>1</v>
      </c>
      <c r="R186" s="92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9" t="s">
        <v>37</v>
      </c>
      <c r="C1" s="14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43250</v>
      </c>
      <c r="K8" s="21">
        <f ca="1">J8+L8</f>
        <v>43280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43250</v>
      </c>
      <c r="K9" s="8">
        <f ca="1">J9+L9</f>
        <v>43280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43250</v>
      </c>
      <c r="K10" s="8">
        <f ca="1">J10+L10</f>
        <v>43280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3" activePane="bottomLeft" state="frozen"/>
      <selection pane="bottomLeft" activeCell="R80" sqref="R8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0" t="s">
        <v>118</v>
      </c>
      <c r="C1" s="140"/>
    </row>
    <row r="2" spans="2:20" ht="11.25" thickTop="1" x14ac:dyDescent="0.15"/>
    <row r="3" spans="2:20" ht="11.25" thickBot="1" x14ac:dyDescent="0.2">
      <c r="B3" s="141" t="s">
        <v>119</v>
      </c>
      <c r="C3" s="141"/>
      <c r="D3" s="141"/>
      <c r="E3" s="141"/>
      <c r="G3" s="145" t="s">
        <v>120</v>
      </c>
      <c r="H3" s="145"/>
      <c r="I3" s="145"/>
      <c r="J3" s="145"/>
      <c r="L3" s="141" t="s">
        <v>165</v>
      </c>
      <c r="M3" s="141"/>
      <c r="N3" s="141"/>
      <c r="O3" s="141"/>
      <c r="Q3" s="145" t="s">
        <v>166</v>
      </c>
      <c r="R3" s="145"/>
      <c r="S3" s="145"/>
      <c r="T3" s="145"/>
    </row>
    <row r="4" spans="2:20" ht="12" thickTop="1" thickBot="1" x14ac:dyDescent="0.2">
      <c r="B4" s="142" t="s">
        <v>121</v>
      </c>
      <c r="C4" s="142"/>
      <c r="D4" s="142"/>
      <c r="E4" s="142"/>
      <c r="G4" s="142" t="s">
        <v>34</v>
      </c>
      <c r="H4" s="142"/>
      <c r="I4" s="142"/>
      <c r="J4" s="142"/>
      <c r="L4" s="142" t="s">
        <v>121</v>
      </c>
      <c r="M4" s="142"/>
      <c r="N4" s="142"/>
      <c r="O4" s="142"/>
      <c r="Q4" s="142" t="s">
        <v>34</v>
      </c>
      <c r="R4" s="142"/>
      <c r="S4" s="142"/>
      <c r="T4" s="142"/>
    </row>
    <row r="5" spans="2:20" ht="15" customHeight="1" thickTop="1" x14ac:dyDescent="0.15">
      <c r="B5" s="139" t="s">
        <v>122</v>
      </c>
      <c r="C5" s="139"/>
      <c r="D5" s="143"/>
      <c r="E5" s="144"/>
      <c r="G5" s="139" t="s">
        <v>123</v>
      </c>
      <c r="H5" s="139"/>
      <c r="I5" s="103"/>
      <c r="J5" s="104"/>
      <c r="L5" s="101" t="s">
        <v>122</v>
      </c>
      <c r="M5" s="102"/>
      <c r="N5" s="103"/>
      <c r="O5" s="104"/>
      <c r="Q5" s="139" t="s">
        <v>123</v>
      </c>
      <c r="R5" s="139"/>
      <c r="S5" s="103"/>
      <c r="T5" s="104"/>
    </row>
    <row r="6" spans="2:20" x14ac:dyDescent="0.15">
      <c r="B6" s="139" t="s">
        <v>124</v>
      </c>
      <c r="C6" s="139"/>
      <c r="D6" s="137" t="s">
        <v>125</v>
      </c>
      <c r="E6" s="138"/>
      <c r="G6" s="139" t="s">
        <v>126</v>
      </c>
      <c r="H6" s="139"/>
      <c r="I6" s="137"/>
      <c r="J6" s="138"/>
      <c r="L6" s="139" t="s">
        <v>124</v>
      </c>
      <c r="M6" s="139"/>
      <c r="N6" s="137" t="s">
        <v>125</v>
      </c>
      <c r="O6" s="138"/>
      <c r="Q6" s="139" t="s">
        <v>126</v>
      </c>
      <c r="R6" s="139"/>
      <c r="S6" s="137"/>
      <c r="T6" s="138"/>
    </row>
    <row r="7" spans="2:20" ht="2.25" customHeight="1" x14ac:dyDescent="0.15">
      <c r="B7" s="139" t="s">
        <v>127</v>
      </c>
      <c r="C7" s="139"/>
      <c r="D7" s="137" t="s">
        <v>125</v>
      </c>
      <c r="E7" s="138"/>
      <c r="G7" s="139" t="s">
        <v>128</v>
      </c>
      <c r="H7" s="139"/>
      <c r="I7" s="137"/>
      <c r="J7" s="138"/>
      <c r="L7" s="139" t="s">
        <v>127</v>
      </c>
      <c r="M7" s="139"/>
      <c r="N7" s="137" t="s">
        <v>125</v>
      </c>
      <c r="O7" s="138"/>
      <c r="Q7" s="139" t="s">
        <v>128</v>
      </c>
      <c r="R7" s="139"/>
      <c r="S7" s="137"/>
      <c r="T7" s="138"/>
    </row>
    <row r="8" spans="2:20" hidden="1" x14ac:dyDescent="0.15">
      <c r="B8" s="139" t="s">
        <v>129</v>
      </c>
      <c r="C8" s="139"/>
      <c r="D8" s="137">
        <f>D13*D15</f>
        <v>305000</v>
      </c>
      <c r="E8" s="138"/>
      <c r="G8" s="139" t="s">
        <v>130</v>
      </c>
      <c r="H8" s="139"/>
      <c r="I8" s="137"/>
      <c r="J8" s="138"/>
      <c r="L8" s="139" t="s">
        <v>129</v>
      </c>
      <c r="M8" s="139"/>
      <c r="N8" s="137">
        <f>N14*N16</f>
        <v>305000</v>
      </c>
      <c r="O8" s="138"/>
      <c r="Q8" s="139" t="s">
        <v>130</v>
      </c>
      <c r="R8" s="139"/>
      <c r="S8" s="137"/>
      <c r="T8" s="138"/>
    </row>
    <row r="9" spans="2:20" hidden="1" x14ac:dyDescent="0.15">
      <c r="B9" s="139" t="s">
        <v>131</v>
      </c>
      <c r="C9" s="139"/>
      <c r="D9" s="137" t="s">
        <v>132</v>
      </c>
      <c r="E9" s="138"/>
      <c r="G9" s="139" t="s">
        <v>133</v>
      </c>
      <c r="H9" s="139"/>
      <c r="I9" s="137"/>
      <c r="J9" s="138"/>
      <c r="L9" s="139" t="s">
        <v>131</v>
      </c>
      <c r="M9" s="139"/>
      <c r="N9" s="137" t="s">
        <v>132</v>
      </c>
      <c r="O9" s="138"/>
      <c r="Q9" s="139" t="s">
        <v>133</v>
      </c>
      <c r="R9" s="139"/>
      <c r="S9" s="137"/>
      <c r="T9" s="138"/>
    </row>
    <row r="10" spans="2:20" hidden="1" x14ac:dyDescent="0.15">
      <c r="B10" s="139" t="s">
        <v>134</v>
      </c>
      <c r="C10" s="139"/>
      <c r="D10" s="137">
        <v>43084</v>
      </c>
      <c r="E10" s="138"/>
      <c r="G10" s="105" t="s">
        <v>135</v>
      </c>
      <c r="H10" s="105"/>
      <c r="I10" s="137"/>
      <c r="J10" s="138"/>
      <c r="L10" s="139" t="s">
        <v>134</v>
      </c>
      <c r="M10" s="139"/>
      <c r="N10" s="137">
        <v>43084</v>
      </c>
      <c r="O10" s="138"/>
      <c r="Q10" s="105" t="s">
        <v>135</v>
      </c>
      <c r="R10" s="105"/>
      <c r="S10" s="137"/>
      <c r="T10" s="138"/>
    </row>
    <row r="11" spans="2:20" hidden="1" x14ac:dyDescent="0.15">
      <c r="B11" s="139" t="s">
        <v>136</v>
      </c>
      <c r="C11" s="139"/>
      <c r="D11" s="137">
        <v>3935</v>
      </c>
      <c r="E11" s="138"/>
      <c r="G11" s="139" t="s">
        <v>137</v>
      </c>
      <c r="H11" s="139"/>
      <c r="I11" s="137"/>
      <c r="J11" s="138"/>
      <c r="L11" s="139" t="s">
        <v>136</v>
      </c>
      <c r="M11" s="139"/>
      <c r="N11" s="137">
        <v>3935</v>
      </c>
      <c r="O11" s="138"/>
      <c r="Q11" s="139" t="s">
        <v>137</v>
      </c>
      <c r="R11" s="139"/>
      <c r="S11" s="137"/>
      <c r="T11" s="138"/>
    </row>
    <row r="12" spans="2:20" hidden="1" x14ac:dyDescent="0.15">
      <c r="B12" s="139" t="s">
        <v>138</v>
      </c>
      <c r="C12" s="139"/>
      <c r="D12" s="137">
        <v>3800</v>
      </c>
      <c r="E12" s="138"/>
      <c r="G12" s="139" t="s">
        <v>139</v>
      </c>
      <c r="H12" s="139"/>
      <c r="I12" s="137"/>
      <c r="J12" s="138"/>
      <c r="L12" s="139" t="s">
        <v>163</v>
      </c>
      <c r="M12" s="139"/>
      <c r="N12" s="137">
        <v>3800</v>
      </c>
      <c r="O12" s="138"/>
      <c r="Q12" s="139" t="s">
        <v>167</v>
      </c>
      <c r="R12" s="139"/>
      <c r="S12" s="137"/>
      <c r="T12" s="138"/>
    </row>
    <row r="13" spans="2:20" hidden="1" x14ac:dyDescent="0.15">
      <c r="B13" s="139" t="s">
        <v>140</v>
      </c>
      <c r="C13" s="139"/>
      <c r="D13" s="137">
        <v>61</v>
      </c>
      <c r="E13" s="138"/>
      <c r="G13" s="139" t="s">
        <v>141</v>
      </c>
      <c r="H13" s="139"/>
      <c r="I13" s="137"/>
      <c r="J13" s="138"/>
      <c r="L13" s="139" t="s">
        <v>164</v>
      </c>
      <c r="M13" s="139"/>
      <c r="N13" s="137">
        <v>3800</v>
      </c>
      <c r="O13" s="138"/>
      <c r="Q13" s="139" t="s">
        <v>168</v>
      </c>
      <c r="R13" s="139"/>
      <c r="S13" s="137"/>
      <c r="T13" s="138"/>
    </row>
    <row r="14" spans="2:20" hidden="1" x14ac:dyDescent="0.15">
      <c r="B14" s="139" t="s">
        <v>142</v>
      </c>
      <c r="C14" s="139"/>
      <c r="D14" s="137" t="s">
        <v>143</v>
      </c>
      <c r="E14" s="138"/>
      <c r="G14" s="139" t="s">
        <v>144</v>
      </c>
      <c r="H14" s="139"/>
      <c r="I14" s="106"/>
      <c r="J14" s="107"/>
      <c r="L14" s="139" t="s">
        <v>140</v>
      </c>
      <c r="M14" s="139"/>
      <c r="N14" s="137">
        <v>61</v>
      </c>
      <c r="O14" s="138"/>
      <c r="Q14" s="139" t="s">
        <v>141</v>
      </c>
      <c r="R14" s="139"/>
      <c r="S14" s="137"/>
      <c r="T14" s="138"/>
    </row>
    <row r="15" spans="2:20" hidden="1" x14ac:dyDescent="0.15">
      <c r="B15" s="139" t="s">
        <v>145</v>
      </c>
      <c r="C15" s="139"/>
      <c r="D15" s="137">
        <v>5000</v>
      </c>
      <c r="E15" s="138"/>
      <c r="G15" s="139" t="s">
        <v>146</v>
      </c>
      <c r="H15" s="139"/>
      <c r="I15" s="137"/>
      <c r="J15" s="138"/>
      <c r="L15" s="139" t="s">
        <v>142</v>
      </c>
      <c r="M15" s="139"/>
      <c r="N15" s="137" t="s">
        <v>143</v>
      </c>
      <c r="O15" s="138"/>
      <c r="Q15" s="139" t="s">
        <v>144</v>
      </c>
      <c r="R15" s="139"/>
      <c r="S15" s="106"/>
      <c r="T15" s="107"/>
    </row>
    <row r="16" spans="2:20" ht="11.25" hidden="1" thickBot="1" x14ac:dyDescent="0.2">
      <c r="B16" s="134" t="s">
        <v>147</v>
      </c>
      <c r="C16" s="134"/>
      <c r="D16" s="135" t="s">
        <v>148</v>
      </c>
      <c r="E16" s="136"/>
      <c r="G16" s="134" t="s">
        <v>149</v>
      </c>
      <c r="H16" s="134"/>
      <c r="I16" s="135"/>
      <c r="J16" s="136"/>
      <c r="L16" s="139" t="s">
        <v>145</v>
      </c>
      <c r="M16" s="139"/>
      <c r="N16" s="137">
        <v>5000</v>
      </c>
      <c r="O16" s="138"/>
      <c r="Q16" s="139" t="s">
        <v>146</v>
      </c>
      <c r="R16" s="139"/>
      <c r="S16" s="137"/>
      <c r="T16" s="138"/>
    </row>
    <row r="17" spans="2:25" ht="12" hidden="1" thickTop="1" thickBot="1" x14ac:dyDescent="0.2">
      <c r="L17" s="134" t="s">
        <v>147</v>
      </c>
      <c r="M17" s="134"/>
      <c r="N17" s="135" t="s">
        <v>148</v>
      </c>
      <c r="O17" s="136"/>
      <c r="Q17" s="134" t="s">
        <v>149</v>
      </c>
      <c r="R17" s="134"/>
      <c r="S17" s="135"/>
      <c r="T17" s="136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2" t="s">
        <v>221</v>
      </c>
      <c r="C22" s="132"/>
      <c r="D22" s="132"/>
      <c r="E22" s="132"/>
      <c r="G22" s="132" t="s">
        <v>189</v>
      </c>
      <c r="H22" s="132"/>
      <c r="I22" s="132"/>
      <c r="J22" s="132"/>
      <c r="L22" s="142" t="s">
        <v>189</v>
      </c>
      <c r="M22" s="142"/>
      <c r="N22" s="142"/>
      <c r="O22" s="142"/>
      <c r="Q22" s="132" t="s">
        <v>188</v>
      </c>
      <c r="R22" s="132"/>
      <c r="S22" s="132"/>
      <c r="T22" s="132"/>
      <c r="V22" s="142" t="s">
        <v>189</v>
      </c>
      <c r="W22" s="142"/>
      <c r="X22" s="142"/>
      <c r="Y22" s="142"/>
    </row>
    <row r="23" spans="2:25" ht="12" thickTop="1" x14ac:dyDescent="0.15">
      <c r="B23" s="125" t="s">
        <v>122</v>
      </c>
      <c r="C23" s="125"/>
      <c r="D23" s="131">
        <v>43209</v>
      </c>
      <c r="E23" s="133"/>
      <c r="G23" s="125" t="s">
        <v>122</v>
      </c>
      <c r="H23" s="125"/>
      <c r="I23" s="131">
        <f ca="1">TODAY()</f>
        <v>43250</v>
      </c>
      <c r="J23" s="133"/>
      <c r="L23" s="125" t="s">
        <v>122</v>
      </c>
      <c r="M23" s="125"/>
      <c r="N23" s="131">
        <f ca="1">TODAY()</f>
        <v>43250</v>
      </c>
      <c r="O23" s="133"/>
      <c r="Q23" s="125" t="s">
        <v>122</v>
      </c>
      <c r="R23" s="125"/>
      <c r="S23" s="131">
        <f ca="1">TODAY()-1</f>
        <v>43249</v>
      </c>
      <c r="T23" s="133"/>
      <c r="V23" s="125" t="s">
        <v>122</v>
      </c>
      <c r="W23" s="125"/>
      <c r="X23" s="131">
        <f ca="1">TODAY()-1</f>
        <v>43249</v>
      </c>
      <c r="Y23" s="133"/>
    </row>
    <row r="24" spans="2:25" ht="11.25" x14ac:dyDescent="0.15">
      <c r="B24" s="125" t="s">
        <v>124</v>
      </c>
      <c r="C24" s="125"/>
      <c r="D24" s="126" t="s">
        <v>186</v>
      </c>
      <c r="E24" s="127"/>
      <c r="G24" s="125" t="s">
        <v>124</v>
      </c>
      <c r="H24" s="125"/>
      <c r="I24" s="126" t="s">
        <v>186</v>
      </c>
      <c r="J24" s="127"/>
      <c r="L24" s="125" t="s">
        <v>124</v>
      </c>
      <c r="M24" s="125"/>
      <c r="N24" s="126" t="s">
        <v>36</v>
      </c>
      <c r="O24" s="127"/>
      <c r="Q24" s="125" t="s">
        <v>124</v>
      </c>
      <c r="R24" s="125"/>
      <c r="S24" s="126" t="s">
        <v>36</v>
      </c>
      <c r="T24" s="127"/>
      <c r="V24" s="125" t="s">
        <v>124</v>
      </c>
      <c r="W24" s="125"/>
      <c r="X24" s="126" t="s">
        <v>36</v>
      </c>
      <c r="Y24" s="127"/>
    </row>
    <row r="25" spans="2:25" ht="11.25" x14ac:dyDescent="0.15">
      <c r="B25" s="125" t="s">
        <v>127</v>
      </c>
      <c r="C25" s="125"/>
      <c r="D25" s="126" t="s">
        <v>222</v>
      </c>
      <c r="E25" s="127"/>
      <c r="G25" s="125" t="s">
        <v>127</v>
      </c>
      <c r="H25" s="125"/>
      <c r="I25" s="126" t="s">
        <v>5</v>
      </c>
      <c r="J25" s="127"/>
      <c r="L25" s="125" t="s">
        <v>127</v>
      </c>
      <c r="M25" s="125"/>
      <c r="N25" s="126" t="s">
        <v>195</v>
      </c>
      <c r="O25" s="127"/>
      <c r="Q25" s="125" t="s">
        <v>127</v>
      </c>
      <c r="R25" s="125"/>
      <c r="S25" s="126" t="s">
        <v>187</v>
      </c>
      <c r="T25" s="127"/>
      <c r="V25" s="125" t="s">
        <v>127</v>
      </c>
      <c r="W25" s="125"/>
      <c r="X25" s="126" t="s">
        <v>187</v>
      </c>
      <c r="Y25" s="127"/>
    </row>
    <row r="26" spans="2:25" ht="11.25" x14ac:dyDescent="0.15">
      <c r="B26" s="125" t="s">
        <v>129</v>
      </c>
      <c r="C26" s="125"/>
      <c r="D26" s="126">
        <f>D31*D33</f>
        <v>290000</v>
      </c>
      <c r="E26" s="127"/>
      <c r="G26" s="125" t="s">
        <v>179</v>
      </c>
      <c r="H26" s="125"/>
      <c r="I26" s="126">
        <f>I31*I33</f>
        <v>271800</v>
      </c>
      <c r="J26" s="127"/>
      <c r="L26" s="125" t="s">
        <v>129</v>
      </c>
      <c r="M26" s="125"/>
      <c r="N26" s="126">
        <f>N31*N33</f>
        <v>275000</v>
      </c>
      <c r="O26" s="127"/>
      <c r="Q26" s="125" t="s">
        <v>129</v>
      </c>
      <c r="R26" s="125"/>
      <c r="S26" s="126">
        <f>S31*S33</f>
        <v>235799.99999999997</v>
      </c>
      <c r="T26" s="127"/>
      <c r="V26" s="125" t="s">
        <v>129</v>
      </c>
      <c r="W26" s="125"/>
      <c r="X26" s="126">
        <f>X31*X33</f>
        <v>235799.99999999997</v>
      </c>
      <c r="Y26" s="127"/>
    </row>
    <row r="27" spans="2:25" ht="11.25" x14ac:dyDescent="0.15">
      <c r="B27" s="125" t="s">
        <v>131</v>
      </c>
      <c r="C27" s="125"/>
      <c r="D27" s="126" t="s">
        <v>191</v>
      </c>
      <c r="E27" s="127"/>
      <c r="F27" s="100">
        <f>1160*250</f>
        <v>290000</v>
      </c>
      <c r="G27" s="125" t="s">
        <v>131</v>
      </c>
      <c r="H27" s="125"/>
      <c r="I27" s="126" t="s">
        <v>197</v>
      </c>
      <c r="J27" s="127"/>
      <c r="L27" s="125" t="s">
        <v>131</v>
      </c>
      <c r="M27" s="125"/>
      <c r="N27" s="126" t="s">
        <v>190</v>
      </c>
      <c r="O27" s="127"/>
      <c r="Q27" s="125" t="s">
        <v>131</v>
      </c>
      <c r="R27" s="125"/>
      <c r="S27" s="126" t="s">
        <v>191</v>
      </c>
      <c r="T27" s="127"/>
      <c r="V27" s="125" t="s">
        <v>131</v>
      </c>
      <c r="W27" s="125"/>
      <c r="X27" s="126" t="s">
        <v>190</v>
      </c>
      <c r="Y27" s="127"/>
    </row>
    <row r="28" spans="2:25" ht="11.25" x14ac:dyDescent="0.15">
      <c r="B28" s="125" t="s">
        <v>134</v>
      </c>
      <c r="C28" s="125"/>
      <c r="D28" s="131">
        <v>43222</v>
      </c>
      <c r="E28" s="127"/>
      <c r="G28" s="125" t="s">
        <v>134</v>
      </c>
      <c r="H28" s="125"/>
      <c r="I28" s="131">
        <v>43182</v>
      </c>
      <c r="J28" s="127"/>
      <c r="L28" s="125" t="s">
        <v>134</v>
      </c>
      <c r="M28" s="125"/>
      <c r="N28" s="131">
        <v>43219</v>
      </c>
      <c r="O28" s="127"/>
      <c r="Q28" s="125" t="s">
        <v>134</v>
      </c>
      <c r="R28" s="125"/>
      <c r="S28" s="131">
        <v>43201</v>
      </c>
      <c r="T28" s="127"/>
      <c r="V28" s="125" t="s">
        <v>134</v>
      </c>
      <c r="W28" s="125"/>
      <c r="X28" s="131">
        <v>43201</v>
      </c>
      <c r="Y28" s="127"/>
    </row>
    <row r="29" spans="2:25" ht="11.25" x14ac:dyDescent="0.15">
      <c r="B29" s="125" t="s">
        <v>136</v>
      </c>
      <c r="C29" s="125"/>
      <c r="D29" s="126">
        <v>108500</v>
      </c>
      <c r="E29" s="127"/>
      <c r="G29" s="125" t="s">
        <v>136</v>
      </c>
      <c r="H29" s="125"/>
      <c r="I29" s="126">
        <v>3856</v>
      </c>
      <c r="J29" s="127"/>
      <c r="L29" s="125" t="s">
        <v>136</v>
      </c>
      <c r="M29" s="125"/>
      <c r="N29" s="126">
        <v>3760</v>
      </c>
      <c r="O29" s="127"/>
      <c r="Q29" s="125" t="s">
        <v>136</v>
      </c>
      <c r="R29" s="125"/>
      <c r="S29" s="126">
        <v>524</v>
      </c>
      <c r="T29" s="127"/>
      <c r="V29" s="125" t="s">
        <v>136</v>
      </c>
      <c r="W29" s="125"/>
      <c r="X29" s="126">
        <v>524</v>
      </c>
      <c r="Y29" s="127"/>
    </row>
    <row r="30" spans="2:25" ht="11.25" x14ac:dyDescent="0.15">
      <c r="B30" s="125" t="s">
        <v>138</v>
      </c>
      <c r="C30" s="125"/>
      <c r="D30" s="126">
        <v>110000</v>
      </c>
      <c r="E30" s="127"/>
      <c r="G30" s="125" t="s">
        <v>138</v>
      </c>
      <c r="H30" s="125"/>
      <c r="I30" s="126">
        <v>3930</v>
      </c>
      <c r="J30" s="127"/>
      <c r="L30" s="125" t="s">
        <v>138</v>
      </c>
      <c r="M30" s="125"/>
      <c r="N30" s="126">
        <v>3700</v>
      </c>
      <c r="O30" s="127"/>
      <c r="Q30" s="125" t="s">
        <v>138</v>
      </c>
      <c r="R30" s="125"/>
      <c r="S30" s="126">
        <v>524</v>
      </c>
      <c r="T30" s="127"/>
      <c r="V30" s="125" t="s">
        <v>138</v>
      </c>
      <c r="W30" s="125"/>
      <c r="X30" s="126">
        <v>524</v>
      </c>
      <c r="Y30" s="127"/>
    </row>
    <row r="31" spans="2:25" ht="11.25" x14ac:dyDescent="0.15">
      <c r="B31" s="125" t="s">
        <v>140</v>
      </c>
      <c r="C31" s="125"/>
      <c r="D31" s="126">
        <v>1160</v>
      </c>
      <c r="E31" s="127"/>
      <c r="G31" s="125" t="s">
        <v>198</v>
      </c>
      <c r="H31" s="125"/>
      <c r="I31" s="126">
        <v>27.18</v>
      </c>
      <c r="J31" s="127"/>
      <c r="L31" s="125" t="s">
        <v>140</v>
      </c>
      <c r="M31" s="125"/>
      <c r="N31" s="126">
        <v>55</v>
      </c>
      <c r="O31" s="127"/>
      <c r="Q31" s="125" t="s">
        <v>140</v>
      </c>
      <c r="R31" s="125"/>
      <c r="S31" s="126">
        <v>23.58</v>
      </c>
      <c r="T31" s="127"/>
      <c r="V31" s="125" t="s">
        <v>140</v>
      </c>
      <c r="W31" s="125"/>
      <c r="X31" s="126">
        <v>23.58</v>
      </c>
      <c r="Y31" s="127"/>
    </row>
    <row r="32" spans="2:25" ht="11.25" x14ac:dyDescent="0.15">
      <c r="B32" s="125" t="s">
        <v>142</v>
      </c>
      <c r="C32" s="125"/>
      <c r="D32" s="126" t="s">
        <v>209</v>
      </c>
      <c r="E32" s="127"/>
      <c r="G32" s="125" t="s">
        <v>199</v>
      </c>
      <c r="H32" s="125"/>
      <c r="I32" s="126" t="s">
        <v>196</v>
      </c>
      <c r="J32" s="127"/>
      <c r="L32" s="125" t="s">
        <v>142</v>
      </c>
      <c r="M32" s="125"/>
      <c r="N32" s="126" t="s">
        <v>194</v>
      </c>
      <c r="O32" s="127"/>
      <c r="Q32" s="125" t="s">
        <v>142</v>
      </c>
      <c r="R32" s="125"/>
      <c r="S32" s="126" t="s">
        <v>192</v>
      </c>
      <c r="T32" s="127"/>
      <c r="V32" s="125" t="s">
        <v>142</v>
      </c>
      <c r="W32" s="125"/>
      <c r="X32" s="126" t="s">
        <v>192</v>
      </c>
      <c r="Y32" s="127"/>
    </row>
    <row r="33" spans="2:25" ht="11.25" x14ac:dyDescent="0.15">
      <c r="B33" s="125" t="s">
        <v>145</v>
      </c>
      <c r="C33" s="125"/>
      <c r="D33" s="126">
        <v>250</v>
      </c>
      <c r="E33" s="127"/>
      <c r="G33" s="125" t="s">
        <v>200</v>
      </c>
      <c r="H33" s="125"/>
      <c r="I33" s="126">
        <v>10000</v>
      </c>
      <c r="J33" s="127"/>
      <c r="L33" s="125" t="s">
        <v>145</v>
      </c>
      <c r="M33" s="125"/>
      <c r="N33" s="126">
        <v>5000</v>
      </c>
      <c r="O33" s="127"/>
      <c r="Q33" s="125" t="s">
        <v>145</v>
      </c>
      <c r="R33" s="125"/>
      <c r="S33" s="126">
        <v>10000</v>
      </c>
      <c r="T33" s="127"/>
      <c r="V33" s="125" t="s">
        <v>145</v>
      </c>
      <c r="W33" s="125"/>
      <c r="X33" s="126">
        <v>10000</v>
      </c>
      <c r="Y33" s="127"/>
    </row>
    <row r="34" spans="2:25" ht="12" thickBot="1" x14ac:dyDescent="0.2">
      <c r="B34" s="128" t="s">
        <v>147</v>
      </c>
      <c r="C34" s="128"/>
      <c r="D34" s="129" t="s">
        <v>148</v>
      </c>
      <c r="E34" s="130"/>
      <c r="G34" s="128" t="s">
        <v>147</v>
      </c>
      <c r="H34" s="128"/>
      <c r="I34" s="129" t="s">
        <v>148</v>
      </c>
      <c r="J34" s="130"/>
      <c r="L34" s="128" t="s">
        <v>147</v>
      </c>
      <c r="M34" s="128"/>
      <c r="N34" s="129" t="s">
        <v>148</v>
      </c>
      <c r="O34" s="130"/>
      <c r="Q34" s="128" t="s">
        <v>147</v>
      </c>
      <c r="R34" s="128"/>
      <c r="S34" s="129" t="s">
        <v>148</v>
      </c>
      <c r="T34" s="130"/>
      <c r="V34" s="128" t="s">
        <v>147</v>
      </c>
      <c r="W34" s="128"/>
      <c r="X34" s="129" t="s">
        <v>148</v>
      </c>
      <c r="Y34" s="130"/>
    </row>
    <row r="35" spans="2:25" ht="11.25" thickTop="1" x14ac:dyDescent="0.15"/>
    <row r="36" spans="2:25" ht="12" thickBot="1" x14ac:dyDescent="0.2">
      <c r="B36" s="132" t="s">
        <v>236</v>
      </c>
      <c r="C36" s="132"/>
      <c r="D36" s="132"/>
      <c r="E36" s="132"/>
      <c r="G36" s="132" t="s">
        <v>237</v>
      </c>
      <c r="H36" s="132"/>
      <c r="I36" s="132"/>
      <c r="J36" s="132"/>
      <c r="L36" s="132" t="s">
        <v>206</v>
      </c>
      <c r="M36" s="132"/>
      <c r="N36" s="132"/>
      <c r="O36" s="132"/>
      <c r="Q36" s="132" t="s">
        <v>121</v>
      </c>
      <c r="R36" s="132"/>
      <c r="S36" s="132"/>
      <c r="T36" s="132"/>
    </row>
    <row r="37" spans="2:25" ht="12" thickTop="1" x14ac:dyDescent="0.15">
      <c r="B37" s="125" t="s">
        <v>122</v>
      </c>
      <c r="C37" s="125"/>
      <c r="D37" s="131">
        <v>43229</v>
      </c>
      <c r="E37" s="133"/>
      <c r="G37" s="125" t="s">
        <v>122</v>
      </c>
      <c r="H37" s="125"/>
      <c r="I37" s="131">
        <v>43229</v>
      </c>
      <c r="J37" s="133"/>
      <c r="L37" s="125" t="s">
        <v>122</v>
      </c>
      <c r="M37" s="125"/>
      <c r="N37" s="131">
        <v>43214</v>
      </c>
      <c r="O37" s="133"/>
      <c r="Q37" s="125" t="s">
        <v>122</v>
      </c>
      <c r="R37" s="125"/>
      <c r="S37" s="131">
        <v>43209</v>
      </c>
      <c r="T37" s="133"/>
    </row>
    <row r="38" spans="2:25" ht="11.25" x14ac:dyDescent="0.15">
      <c r="B38" s="125" t="s">
        <v>124</v>
      </c>
      <c r="C38" s="125"/>
      <c r="D38" s="126" t="s">
        <v>187</v>
      </c>
      <c r="E38" s="127"/>
      <c r="G38" s="125" t="s">
        <v>124</v>
      </c>
      <c r="H38" s="125"/>
      <c r="I38" s="126" t="s">
        <v>187</v>
      </c>
      <c r="J38" s="127"/>
      <c r="L38" s="125" t="s">
        <v>124</v>
      </c>
      <c r="M38" s="125"/>
      <c r="N38" s="126" t="s">
        <v>204</v>
      </c>
      <c r="O38" s="127"/>
      <c r="Q38" s="125" t="s">
        <v>124</v>
      </c>
      <c r="R38" s="125"/>
      <c r="S38" s="126" t="s">
        <v>218</v>
      </c>
      <c r="T38" s="127"/>
    </row>
    <row r="39" spans="2:25" ht="11.25" x14ac:dyDescent="0.15">
      <c r="B39" s="125" t="s">
        <v>127</v>
      </c>
      <c r="C39" s="125"/>
      <c r="D39" s="126" t="s">
        <v>225</v>
      </c>
      <c r="E39" s="127"/>
      <c r="G39" s="125" t="s">
        <v>127</v>
      </c>
      <c r="H39" s="125"/>
      <c r="I39" s="126" t="s">
        <v>204</v>
      </c>
      <c r="J39" s="127"/>
      <c r="L39" s="125" t="s">
        <v>127</v>
      </c>
      <c r="M39" s="125"/>
      <c r="N39" s="126" t="s">
        <v>4</v>
      </c>
      <c r="O39" s="127"/>
      <c r="Q39" s="125" t="s">
        <v>127</v>
      </c>
      <c r="R39" s="125"/>
      <c r="S39" s="126" t="s">
        <v>204</v>
      </c>
      <c r="T39" s="127"/>
    </row>
    <row r="40" spans="2:25" ht="11.25" x14ac:dyDescent="0.15">
      <c r="B40" s="125" t="s">
        <v>179</v>
      </c>
      <c r="C40" s="125"/>
      <c r="D40" s="126">
        <f>D47*D45</f>
        <v>410500.00000000006</v>
      </c>
      <c r="E40" s="127"/>
      <c r="G40" s="125" t="s">
        <v>179</v>
      </c>
      <c r="H40" s="125"/>
      <c r="I40" s="126">
        <f>I45*I47</f>
        <v>410500.00000000006</v>
      </c>
      <c r="J40" s="127"/>
      <c r="L40" s="125" t="s">
        <v>129</v>
      </c>
      <c r="M40" s="125"/>
      <c r="N40" s="126">
        <f>N45*N47</f>
        <v>2117500</v>
      </c>
      <c r="O40" s="127"/>
      <c r="Q40" s="125" t="s">
        <v>179</v>
      </c>
      <c r="R40" s="125"/>
      <c r="S40" s="126">
        <f>S45*S47</f>
        <v>1045200</v>
      </c>
      <c r="T40" s="127"/>
    </row>
    <row r="41" spans="2:25" ht="11.25" x14ac:dyDescent="0.15">
      <c r="B41" s="125" t="s">
        <v>131</v>
      </c>
      <c r="C41" s="125"/>
      <c r="D41" s="126" t="s">
        <v>226</v>
      </c>
      <c r="E41" s="127"/>
      <c r="G41" s="125" t="s">
        <v>131</v>
      </c>
      <c r="H41" s="125"/>
      <c r="I41" s="126" t="s">
        <v>219</v>
      </c>
      <c r="J41" s="127"/>
      <c r="L41" s="125" t="s">
        <v>131</v>
      </c>
      <c r="M41" s="125"/>
      <c r="N41" s="126" t="s">
        <v>208</v>
      </c>
      <c r="O41" s="127"/>
      <c r="Q41" s="125" t="s">
        <v>131</v>
      </c>
      <c r="R41" s="125"/>
      <c r="S41" s="126" t="s">
        <v>219</v>
      </c>
      <c r="T41" s="127"/>
    </row>
    <row r="42" spans="2:25" ht="11.25" x14ac:dyDescent="0.15">
      <c r="B42" s="125" t="s">
        <v>134</v>
      </c>
      <c r="C42" s="125"/>
      <c r="D42" s="131">
        <f>D37+98</f>
        <v>43327</v>
      </c>
      <c r="E42" s="127"/>
      <c r="G42" s="125" t="s">
        <v>134</v>
      </c>
      <c r="H42" s="125"/>
      <c r="I42" s="131">
        <f>I37+98</f>
        <v>43327</v>
      </c>
      <c r="J42" s="127"/>
      <c r="L42" s="125" t="s">
        <v>134</v>
      </c>
      <c r="M42" s="125"/>
      <c r="N42" s="131">
        <v>43266</v>
      </c>
      <c r="O42" s="127"/>
      <c r="Q42" s="125" t="s">
        <v>134</v>
      </c>
      <c r="R42" s="125"/>
      <c r="S42" s="131">
        <v>43266</v>
      </c>
      <c r="T42" s="127"/>
    </row>
    <row r="43" spans="2:25" ht="11.25" x14ac:dyDescent="0.15">
      <c r="B43" s="125" t="s">
        <v>136</v>
      </c>
      <c r="C43" s="125"/>
      <c r="D43" s="126">
        <v>470.5</v>
      </c>
      <c r="E43" s="127"/>
      <c r="G43" s="125" t="s">
        <v>136</v>
      </c>
      <c r="H43" s="125"/>
      <c r="I43" s="126">
        <v>470.5</v>
      </c>
      <c r="J43" s="127"/>
      <c r="L43" s="125" t="s">
        <v>136</v>
      </c>
      <c r="M43" s="146"/>
      <c r="N43" s="126">
        <v>14535</v>
      </c>
      <c r="O43" s="127"/>
      <c r="Q43" s="125" t="s">
        <v>136</v>
      </c>
      <c r="R43" s="125"/>
      <c r="S43" s="126">
        <v>15250</v>
      </c>
      <c r="T43" s="127"/>
    </row>
    <row r="44" spans="2:25" ht="11.25" x14ac:dyDescent="0.15">
      <c r="B44" s="125" t="s">
        <v>138</v>
      </c>
      <c r="C44" s="125"/>
      <c r="D44" s="126">
        <v>470.5</v>
      </c>
      <c r="E44" s="127"/>
      <c r="F44" s="100">
        <f>D44*1.55/100</f>
        <v>7.2927499999999998</v>
      </c>
      <c r="G44" s="125" t="s">
        <v>138</v>
      </c>
      <c r="H44" s="125"/>
      <c r="I44" s="126">
        <v>470.5</v>
      </c>
      <c r="J44" s="127"/>
      <c r="L44" s="125" t="s">
        <v>138</v>
      </c>
      <c r="M44" s="125"/>
      <c r="N44" s="126">
        <v>14500</v>
      </c>
      <c r="O44" s="127"/>
      <c r="Q44" s="125" t="s">
        <v>138</v>
      </c>
      <c r="R44" s="125"/>
      <c r="S44" s="126">
        <v>14500</v>
      </c>
      <c r="T44" s="127"/>
    </row>
    <row r="45" spans="2:25" ht="11.25" x14ac:dyDescent="0.15">
      <c r="B45" s="125" t="s">
        <v>140</v>
      </c>
      <c r="C45" s="125"/>
      <c r="D45" s="126">
        <v>32.840000000000003</v>
      </c>
      <c r="E45" s="127"/>
      <c r="G45" s="125" t="s">
        <v>140</v>
      </c>
      <c r="H45" s="125"/>
      <c r="I45" s="126">
        <v>32.840000000000003</v>
      </c>
      <c r="J45" s="127"/>
      <c r="L45" s="125" t="s">
        <v>140</v>
      </c>
      <c r="M45" s="125"/>
      <c r="N45" s="126">
        <v>423.5</v>
      </c>
      <c r="O45" s="127"/>
      <c r="Q45" s="125" t="s">
        <v>198</v>
      </c>
      <c r="R45" s="125"/>
      <c r="S45" s="126">
        <v>209.04</v>
      </c>
      <c r="T45" s="127"/>
    </row>
    <row r="46" spans="2:25" ht="11.25" x14ac:dyDescent="0.15">
      <c r="B46" s="125" t="s">
        <v>199</v>
      </c>
      <c r="C46" s="125"/>
      <c r="D46" s="126" t="s">
        <v>202</v>
      </c>
      <c r="E46" s="127"/>
      <c r="G46" s="125" t="s">
        <v>142</v>
      </c>
      <c r="H46" s="125"/>
      <c r="I46" s="126" t="s">
        <v>202</v>
      </c>
      <c r="J46" s="127"/>
      <c r="L46" s="125" t="s">
        <v>142</v>
      </c>
      <c r="M46" s="125"/>
      <c r="N46" s="126" t="s">
        <v>210</v>
      </c>
      <c r="O46" s="127"/>
      <c r="Q46" s="125" t="s">
        <v>142</v>
      </c>
      <c r="R46" s="125"/>
      <c r="S46" s="126" t="s">
        <v>220</v>
      </c>
      <c r="T46" s="127"/>
    </row>
    <row r="47" spans="2:25" ht="11.25" x14ac:dyDescent="0.15">
      <c r="B47" s="125" t="s">
        <v>145</v>
      </c>
      <c r="C47" s="125"/>
      <c r="D47" s="126">
        <v>12500</v>
      </c>
      <c r="E47" s="127"/>
      <c r="G47" s="125" t="s">
        <v>145</v>
      </c>
      <c r="H47" s="125"/>
      <c r="I47" s="126">
        <v>12500</v>
      </c>
      <c r="J47" s="127"/>
      <c r="L47" s="125" t="s">
        <v>145</v>
      </c>
      <c r="M47" s="125"/>
      <c r="N47" s="126">
        <v>5000</v>
      </c>
      <c r="O47" s="127"/>
      <c r="Q47" s="125" t="s">
        <v>145</v>
      </c>
      <c r="R47" s="125"/>
      <c r="S47" s="126">
        <v>5000</v>
      </c>
      <c r="T47" s="127"/>
    </row>
    <row r="48" spans="2:25" ht="12" thickBot="1" x14ac:dyDescent="0.2">
      <c r="B48" s="128" t="s">
        <v>147</v>
      </c>
      <c r="C48" s="128"/>
      <c r="D48" s="129" t="s">
        <v>227</v>
      </c>
      <c r="E48" s="130"/>
      <c r="G48" s="128" t="s">
        <v>147</v>
      </c>
      <c r="H48" s="128"/>
      <c r="I48" s="129" t="s">
        <v>207</v>
      </c>
      <c r="J48" s="130"/>
      <c r="L48" s="128" t="s">
        <v>147</v>
      </c>
      <c r="M48" s="128"/>
      <c r="N48" s="129" t="s">
        <v>205</v>
      </c>
      <c r="O48" s="130"/>
      <c r="Q48" s="128" t="s">
        <v>147</v>
      </c>
      <c r="R48" s="128"/>
      <c r="S48" s="129" t="s">
        <v>207</v>
      </c>
      <c r="T48" s="130"/>
    </row>
    <row r="49" spans="2:20" ht="12.75" thickTop="1" thickBot="1" x14ac:dyDescent="0.2">
      <c r="B49" s="132" t="s">
        <v>121</v>
      </c>
      <c r="C49" s="132"/>
      <c r="D49" s="132"/>
      <c r="E49" s="132"/>
      <c r="G49" s="132" t="s">
        <v>206</v>
      </c>
      <c r="H49" s="132"/>
      <c r="I49" s="132"/>
      <c r="J49" s="132"/>
      <c r="L49" s="132" t="s">
        <v>189</v>
      </c>
      <c r="M49" s="132"/>
      <c r="N49" s="132"/>
      <c r="O49" s="132"/>
      <c r="Q49" s="132" t="s">
        <v>255</v>
      </c>
      <c r="R49" s="132"/>
      <c r="S49" s="132"/>
      <c r="T49" s="132"/>
    </row>
    <row r="50" spans="2:20" ht="12" thickTop="1" x14ac:dyDescent="0.15">
      <c r="B50" s="125" t="s">
        <v>122</v>
      </c>
      <c r="C50" s="125"/>
      <c r="D50" s="131">
        <v>43235</v>
      </c>
      <c r="E50" s="133"/>
      <c r="G50" s="125" t="s">
        <v>122</v>
      </c>
      <c r="H50" s="125"/>
      <c r="I50" s="131">
        <v>43236</v>
      </c>
      <c r="J50" s="133"/>
      <c r="L50" s="125" t="s">
        <v>122</v>
      </c>
      <c r="M50" s="125"/>
      <c r="N50" s="131">
        <v>43237</v>
      </c>
      <c r="O50" s="133"/>
      <c r="Q50" s="125" t="s">
        <v>122</v>
      </c>
      <c r="R50" s="125"/>
      <c r="S50" s="131">
        <v>43237</v>
      </c>
      <c r="T50" s="133"/>
    </row>
    <row r="51" spans="2:20" ht="11.25" x14ac:dyDescent="0.15">
      <c r="B51" s="125" t="s">
        <v>124</v>
      </c>
      <c r="C51" s="125"/>
      <c r="D51" s="126" t="s">
        <v>225</v>
      </c>
      <c r="E51" s="127"/>
      <c r="G51" s="125" t="s">
        <v>124</v>
      </c>
      <c r="H51" s="125"/>
      <c r="I51" s="126" t="s">
        <v>204</v>
      </c>
      <c r="J51" s="127"/>
      <c r="L51" s="125" t="s">
        <v>124</v>
      </c>
      <c r="M51" s="125"/>
      <c r="N51" s="126" t="s">
        <v>4</v>
      </c>
      <c r="O51" s="127"/>
      <c r="Q51" s="125" t="s">
        <v>124</v>
      </c>
      <c r="R51" s="125"/>
      <c r="S51" s="126" t="s">
        <v>4</v>
      </c>
      <c r="T51" s="127"/>
    </row>
    <row r="52" spans="2:20" ht="11.25" x14ac:dyDescent="0.15">
      <c r="B52" s="125" t="s">
        <v>127</v>
      </c>
      <c r="C52" s="125"/>
      <c r="D52" s="126" t="s">
        <v>250</v>
      </c>
      <c r="E52" s="127"/>
      <c r="G52" s="125" t="s">
        <v>127</v>
      </c>
      <c r="H52" s="125"/>
      <c r="I52" s="126" t="s">
        <v>4</v>
      </c>
      <c r="J52" s="127"/>
      <c r="L52" s="125" t="s">
        <v>127</v>
      </c>
      <c r="M52" s="125"/>
      <c r="N52" s="126" t="s">
        <v>36</v>
      </c>
      <c r="O52" s="127"/>
      <c r="Q52" s="125" t="s">
        <v>127</v>
      </c>
      <c r="R52" s="125"/>
      <c r="S52" s="126" t="s">
        <v>36</v>
      </c>
      <c r="T52" s="127"/>
    </row>
    <row r="53" spans="2:20" ht="11.25" x14ac:dyDescent="0.15">
      <c r="B53" s="125" t="s">
        <v>179</v>
      </c>
      <c r="C53" s="125"/>
      <c r="D53" s="126">
        <f>D58*D60</f>
        <v>280000</v>
      </c>
      <c r="E53" s="127"/>
      <c r="G53" s="125" t="s">
        <v>129</v>
      </c>
      <c r="H53" s="125"/>
      <c r="I53" s="126">
        <f>I58*I60</f>
        <v>936000</v>
      </c>
      <c r="J53" s="127"/>
      <c r="L53" s="125" t="s">
        <v>179</v>
      </c>
      <c r="M53" s="125"/>
      <c r="N53" s="126">
        <f>N58*N60</f>
        <v>1272000</v>
      </c>
      <c r="O53" s="127"/>
      <c r="Q53" s="125" t="s">
        <v>179</v>
      </c>
      <c r="R53" s="125"/>
      <c r="S53" s="126">
        <f>S58*S60</f>
        <v>1230000</v>
      </c>
      <c r="T53" s="127"/>
    </row>
    <row r="54" spans="2:20" ht="11.25" x14ac:dyDescent="0.15">
      <c r="B54" s="125" t="s">
        <v>131</v>
      </c>
      <c r="C54" s="125"/>
      <c r="D54" s="126" t="s">
        <v>190</v>
      </c>
      <c r="E54" s="127"/>
      <c r="G54" s="125" t="s">
        <v>131</v>
      </c>
      <c r="H54" s="125"/>
      <c r="I54" s="126" t="s">
        <v>208</v>
      </c>
      <c r="J54" s="127"/>
      <c r="L54" s="125" t="s">
        <v>131</v>
      </c>
      <c r="M54" s="125"/>
      <c r="N54" s="126" t="s">
        <v>132</v>
      </c>
      <c r="O54" s="127"/>
      <c r="Q54" s="125" t="s">
        <v>131</v>
      </c>
      <c r="R54" s="125"/>
      <c r="S54" s="126" t="s">
        <v>132</v>
      </c>
      <c r="T54" s="127"/>
    </row>
    <row r="55" spans="2:20" ht="11.25" x14ac:dyDescent="0.15">
      <c r="B55" s="125" t="s">
        <v>134</v>
      </c>
      <c r="C55" s="125"/>
      <c r="D55" s="131">
        <f>D50+87</f>
        <v>43322</v>
      </c>
      <c r="E55" s="127"/>
      <c r="G55" s="125" t="s">
        <v>134</v>
      </c>
      <c r="H55" s="125"/>
      <c r="I55" s="131">
        <v>43294</v>
      </c>
      <c r="J55" s="127"/>
      <c r="L55" s="125" t="s">
        <v>134</v>
      </c>
      <c r="M55" s="125"/>
      <c r="N55" s="131">
        <f>N50+85</f>
        <v>43322</v>
      </c>
      <c r="O55" s="127"/>
      <c r="Q55" s="125" t="s">
        <v>134</v>
      </c>
      <c r="R55" s="125"/>
      <c r="S55" s="131">
        <f>S50+85</f>
        <v>43322</v>
      </c>
      <c r="T55" s="127"/>
    </row>
    <row r="56" spans="2:20" ht="11.25" x14ac:dyDescent="0.15">
      <c r="B56" s="125" t="s">
        <v>136</v>
      </c>
      <c r="C56" s="125"/>
      <c r="D56" s="126">
        <v>14825</v>
      </c>
      <c r="E56" s="127"/>
      <c r="G56" s="125" t="s">
        <v>136</v>
      </c>
      <c r="H56" s="146"/>
      <c r="I56" s="126">
        <v>14730</v>
      </c>
      <c r="J56" s="127"/>
      <c r="L56" s="125" t="s">
        <v>136</v>
      </c>
      <c r="M56" s="125"/>
      <c r="N56" s="126">
        <v>482</v>
      </c>
      <c r="O56" s="127"/>
      <c r="Q56" s="125" t="s">
        <v>136</v>
      </c>
      <c r="R56" s="125"/>
      <c r="S56" s="126">
        <v>482.5</v>
      </c>
      <c r="T56" s="127"/>
    </row>
    <row r="57" spans="2:20" ht="11.25" x14ac:dyDescent="0.15">
      <c r="B57" s="125" t="s">
        <v>138</v>
      </c>
      <c r="C57" s="125"/>
      <c r="D57" s="126">
        <v>14100</v>
      </c>
      <c r="E57" s="127"/>
      <c r="G57" s="125" t="s">
        <v>138</v>
      </c>
      <c r="H57" s="125"/>
      <c r="I57" s="126">
        <v>14500</v>
      </c>
      <c r="J57" s="127"/>
      <c r="L57" s="125" t="s">
        <v>138</v>
      </c>
      <c r="M57" s="125"/>
      <c r="N57" s="126">
        <v>480</v>
      </c>
      <c r="O57" s="127"/>
      <c r="Q57" s="125" t="s">
        <v>138</v>
      </c>
      <c r="R57" s="125"/>
      <c r="S57" s="126">
        <v>430</v>
      </c>
      <c r="T57" s="127"/>
    </row>
    <row r="58" spans="2:20" ht="11.25" x14ac:dyDescent="0.15">
      <c r="B58" s="125" t="s">
        <v>140</v>
      </c>
      <c r="C58" s="125"/>
      <c r="D58" s="126">
        <v>140</v>
      </c>
      <c r="E58" s="127"/>
      <c r="G58" s="125" t="s">
        <v>140</v>
      </c>
      <c r="H58" s="125"/>
      <c r="I58" s="126">
        <v>312</v>
      </c>
      <c r="J58" s="127"/>
      <c r="L58" s="125" t="s">
        <v>140</v>
      </c>
      <c r="M58" s="125"/>
      <c r="N58" s="126">
        <v>31.8</v>
      </c>
      <c r="O58" s="127"/>
      <c r="Q58" s="125" t="s">
        <v>140</v>
      </c>
      <c r="R58" s="125"/>
      <c r="S58" s="126">
        <v>12.3</v>
      </c>
      <c r="T58" s="127"/>
    </row>
    <row r="59" spans="2:20" ht="11.25" x14ac:dyDescent="0.15">
      <c r="B59" s="125" t="s">
        <v>142</v>
      </c>
      <c r="C59" s="125"/>
      <c r="D59" s="126" t="s">
        <v>249</v>
      </c>
      <c r="E59" s="127"/>
      <c r="G59" s="125" t="s">
        <v>142</v>
      </c>
      <c r="H59" s="125"/>
      <c r="I59" s="126" t="s">
        <v>251</v>
      </c>
      <c r="J59" s="127"/>
      <c r="L59" s="125" t="s">
        <v>142</v>
      </c>
      <c r="M59" s="125"/>
      <c r="N59" s="126" t="s">
        <v>202</v>
      </c>
      <c r="O59" s="127"/>
      <c r="Q59" s="125" t="s">
        <v>142</v>
      </c>
      <c r="R59" s="125"/>
      <c r="S59" s="126" t="s">
        <v>202</v>
      </c>
      <c r="T59" s="127"/>
    </row>
    <row r="60" spans="2:20" ht="11.25" x14ac:dyDescent="0.15">
      <c r="B60" s="125" t="s">
        <v>145</v>
      </c>
      <c r="C60" s="125"/>
      <c r="D60" s="126">
        <v>2000</v>
      </c>
      <c r="E60" s="127"/>
      <c r="G60" s="125" t="s">
        <v>145</v>
      </c>
      <c r="H60" s="125"/>
      <c r="I60" s="126">
        <v>3000</v>
      </c>
      <c r="J60" s="127"/>
      <c r="L60" s="125" t="s">
        <v>145</v>
      </c>
      <c r="M60" s="125"/>
      <c r="N60" s="126">
        <v>40000</v>
      </c>
      <c r="O60" s="127"/>
      <c r="Q60" s="125" t="s">
        <v>145</v>
      </c>
      <c r="R60" s="125"/>
      <c r="S60" s="126">
        <v>100000</v>
      </c>
      <c r="T60" s="127"/>
    </row>
    <row r="61" spans="2:20" ht="12" thickBot="1" x14ac:dyDescent="0.2">
      <c r="B61" s="128" t="s">
        <v>147</v>
      </c>
      <c r="C61" s="128"/>
      <c r="D61" s="129" t="s">
        <v>207</v>
      </c>
      <c r="E61" s="130"/>
      <c r="G61" s="128" t="s">
        <v>147</v>
      </c>
      <c r="H61" s="128"/>
      <c r="I61" s="129" t="s">
        <v>205</v>
      </c>
      <c r="J61" s="130"/>
      <c r="L61" s="128" t="s">
        <v>147</v>
      </c>
      <c r="M61" s="128"/>
      <c r="N61" s="129" t="s">
        <v>207</v>
      </c>
      <c r="O61" s="130"/>
      <c r="Q61" s="128" t="s">
        <v>147</v>
      </c>
      <c r="R61" s="128"/>
      <c r="S61" s="129" t="s">
        <v>207</v>
      </c>
      <c r="T61" s="130"/>
    </row>
    <row r="62" spans="2:20" ht="11.25" thickTop="1" x14ac:dyDescent="0.15"/>
    <row r="63" spans="2:20" ht="12" thickBot="1" x14ac:dyDescent="0.2">
      <c r="G63" s="132" t="s">
        <v>267</v>
      </c>
      <c r="H63" s="132"/>
      <c r="I63" s="132"/>
      <c r="J63" s="132"/>
      <c r="L63" s="132" t="s">
        <v>268</v>
      </c>
      <c r="M63" s="132"/>
      <c r="N63" s="132"/>
      <c r="O63" s="132"/>
    </row>
    <row r="64" spans="2:20" ht="12" thickTop="1" x14ac:dyDescent="0.15">
      <c r="G64" s="125" t="s">
        <v>122</v>
      </c>
      <c r="H64" s="125"/>
      <c r="I64" s="131">
        <v>43248</v>
      </c>
      <c r="J64" s="133"/>
      <c r="L64" s="125" t="s">
        <v>122</v>
      </c>
      <c r="M64" s="125"/>
      <c r="N64" s="131">
        <v>43248</v>
      </c>
      <c r="O64" s="133"/>
    </row>
    <row r="65" spans="7:17" ht="11.25" x14ac:dyDescent="0.15">
      <c r="G65" s="125" t="s">
        <v>124</v>
      </c>
      <c r="H65" s="125"/>
      <c r="I65" s="126" t="s">
        <v>265</v>
      </c>
      <c r="J65" s="127"/>
      <c r="L65" s="125" t="s">
        <v>124</v>
      </c>
      <c r="M65" s="125"/>
      <c r="N65" s="126" t="s">
        <v>265</v>
      </c>
      <c r="O65" s="127"/>
    </row>
    <row r="66" spans="7:17" ht="11.25" x14ac:dyDescent="0.15">
      <c r="G66" s="125" t="s">
        <v>127</v>
      </c>
      <c r="H66" s="125"/>
      <c r="I66" s="126" t="s">
        <v>36</v>
      </c>
      <c r="J66" s="127"/>
      <c r="L66" s="125" t="s">
        <v>127</v>
      </c>
      <c r="M66" s="125"/>
      <c r="N66" s="126" t="s">
        <v>36</v>
      </c>
      <c r="O66" s="127"/>
    </row>
    <row r="67" spans="7:17" ht="11.25" x14ac:dyDescent="0.15">
      <c r="G67" s="125" t="s">
        <v>179</v>
      </c>
      <c r="H67" s="125"/>
      <c r="I67" s="126">
        <f>I72*I74</f>
        <v>244200.00000000003</v>
      </c>
      <c r="J67" s="127"/>
      <c r="L67" s="125" t="s">
        <v>179</v>
      </c>
      <c r="M67" s="125"/>
      <c r="N67" s="126">
        <f>N72*N74</f>
        <v>244200.00000000003</v>
      </c>
      <c r="O67" s="127"/>
    </row>
    <row r="68" spans="7:17" ht="11.25" x14ac:dyDescent="0.15">
      <c r="G68" s="125" t="s">
        <v>131</v>
      </c>
      <c r="H68" s="125"/>
      <c r="I68" s="126" t="s">
        <v>132</v>
      </c>
      <c r="J68" s="127"/>
      <c r="L68" s="125" t="s">
        <v>131</v>
      </c>
      <c r="M68" s="125"/>
      <c r="N68" s="126" t="s">
        <v>266</v>
      </c>
      <c r="O68" s="127"/>
    </row>
    <row r="69" spans="7:17" ht="11.25" x14ac:dyDescent="0.15">
      <c r="G69" s="125" t="s">
        <v>134</v>
      </c>
      <c r="H69" s="125"/>
      <c r="I69" s="131">
        <f>I64+79</f>
        <v>43327</v>
      </c>
      <c r="J69" s="127"/>
      <c r="L69" s="125" t="s">
        <v>134</v>
      </c>
      <c r="M69" s="125"/>
      <c r="N69" s="131">
        <f>N64+79</f>
        <v>43327</v>
      </c>
      <c r="O69" s="127"/>
    </row>
    <row r="70" spans="7:17" ht="11.25" x14ac:dyDescent="0.15">
      <c r="G70" s="125" t="s">
        <v>136</v>
      </c>
      <c r="H70" s="125"/>
      <c r="I70" s="126">
        <v>456.5</v>
      </c>
      <c r="J70" s="127"/>
      <c r="L70" s="125" t="s">
        <v>136</v>
      </c>
      <c r="M70" s="125"/>
      <c r="N70" s="126">
        <v>456.5</v>
      </c>
      <c r="O70" s="127"/>
    </row>
    <row r="71" spans="7:17" ht="11.25" x14ac:dyDescent="0.15">
      <c r="G71" s="125" t="s">
        <v>138</v>
      </c>
      <c r="H71" s="125"/>
      <c r="I71" s="126">
        <v>456.5</v>
      </c>
      <c r="J71" s="127"/>
      <c r="L71" s="125" t="s">
        <v>138</v>
      </c>
      <c r="M71" s="125"/>
      <c r="N71" s="126">
        <v>456.5</v>
      </c>
      <c r="O71" s="127"/>
    </row>
    <row r="72" spans="7:17" ht="11.25" x14ac:dyDescent="0.15">
      <c r="G72" s="125" t="s">
        <v>140</v>
      </c>
      <c r="H72" s="125"/>
      <c r="I72" s="126">
        <v>24.42</v>
      </c>
      <c r="J72" s="127"/>
      <c r="L72" s="125" t="s">
        <v>140</v>
      </c>
      <c r="M72" s="125"/>
      <c r="N72" s="126">
        <v>24.42</v>
      </c>
      <c r="O72" s="127"/>
      <c r="Q72" s="100">
        <f>N72/N71</f>
        <v>5.349397590361446E-2</v>
      </c>
    </row>
    <row r="73" spans="7:17" ht="11.25" x14ac:dyDescent="0.15">
      <c r="G73" s="125" t="s">
        <v>142</v>
      </c>
      <c r="H73" s="125"/>
      <c r="I73" s="126" t="s">
        <v>202</v>
      </c>
      <c r="J73" s="127"/>
      <c r="L73" s="125" t="s">
        <v>142</v>
      </c>
      <c r="M73" s="125"/>
      <c r="N73" s="126" t="s">
        <v>202</v>
      </c>
      <c r="O73" s="127"/>
    </row>
    <row r="74" spans="7:17" ht="11.25" x14ac:dyDescent="0.15">
      <c r="G74" s="125" t="s">
        <v>145</v>
      </c>
      <c r="H74" s="125"/>
      <c r="I74" s="126">
        <v>10000</v>
      </c>
      <c r="J74" s="127"/>
      <c r="L74" s="125" t="s">
        <v>145</v>
      </c>
      <c r="M74" s="125"/>
      <c r="N74" s="126">
        <v>10000</v>
      </c>
      <c r="O74" s="127"/>
    </row>
    <row r="75" spans="7:17" ht="12" thickBot="1" x14ac:dyDescent="0.2">
      <c r="G75" s="128" t="s">
        <v>147</v>
      </c>
      <c r="H75" s="128"/>
      <c r="I75" s="129" t="s">
        <v>207</v>
      </c>
      <c r="J75" s="130"/>
      <c r="L75" s="128" t="s">
        <v>147</v>
      </c>
      <c r="M75" s="128"/>
      <c r="N75" s="129" t="s">
        <v>207</v>
      </c>
      <c r="O75" s="130"/>
    </row>
    <row r="76" spans="7:17" ht="11.25" thickTop="1" x14ac:dyDescent="0.15"/>
    <row r="77" spans="7:17" ht="12" thickBot="1" x14ac:dyDescent="0.2">
      <c r="G77" s="132" t="s">
        <v>267</v>
      </c>
      <c r="H77" s="132"/>
      <c r="I77" s="132"/>
      <c r="J77" s="132"/>
      <c r="L77" s="132" t="s">
        <v>268</v>
      </c>
      <c r="M77" s="132"/>
      <c r="N77" s="132"/>
      <c r="O77" s="132"/>
    </row>
    <row r="78" spans="7:17" ht="12" thickTop="1" x14ac:dyDescent="0.15">
      <c r="G78" s="125" t="s">
        <v>122</v>
      </c>
      <c r="H78" s="125"/>
      <c r="I78" s="131">
        <v>43248</v>
      </c>
      <c r="J78" s="133"/>
      <c r="L78" s="125" t="s">
        <v>122</v>
      </c>
      <c r="M78" s="125"/>
      <c r="N78" s="131">
        <v>43248</v>
      </c>
      <c r="O78" s="133"/>
    </row>
    <row r="79" spans="7:17" ht="11.25" x14ac:dyDescent="0.15">
      <c r="G79" s="125" t="s">
        <v>124</v>
      </c>
      <c r="H79" s="125"/>
      <c r="I79" s="126" t="s">
        <v>265</v>
      </c>
      <c r="J79" s="127"/>
      <c r="L79" s="125" t="s">
        <v>124</v>
      </c>
      <c r="M79" s="125"/>
      <c r="N79" s="126" t="s">
        <v>265</v>
      </c>
      <c r="O79" s="127"/>
    </row>
    <row r="80" spans="7:17" ht="11.25" x14ac:dyDescent="0.15">
      <c r="G80" s="125" t="s">
        <v>127</v>
      </c>
      <c r="H80" s="125"/>
      <c r="I80" s="126" t="s">
        <v>36</v>
      </c>
      <c r="J80" s="127"/>
      <c r="L80" s="125" t="s">
        <v>127</v>
      </c>
      <c r="M80" s="125"/>
      <c r="N80" s="126" t="s">
        <v>36</v>
      </c>
      <c r="O80" s="127"/>
    </row>
    <row r="81" spans="7:16" ht="11.25" x14ac:dyDescent="0.15">
      <c r="G81" s="125" t="s">
        <v>179</v>
      </c>
      <c r="H81" s="125"/>
      <c r="I81" s="126">
        <f>I86*I88</f>
        <v>244200.00000000003</v>
      </c>
      <c r="J81" s="127"/>
      <c r="L81" s="125" t="s">
        <v>179</v>
      </c>
      <c r="M81" s="125"/>
      <c r="N81" s="126">
        <f>N86*N88</f>
        <v>244200.00000000003</v>
      </c>
      <c r="O81" s="127"/>
    </row>
    <row r="82" spans="7:16" ht="11.25" x14ac:dyDescent="0.15">
      <c r="G82" s="125" t="s">
        <v>131</v>
      </c>
      <c r="H82" s="125"/>
      <c r="I82" s="126" t="s">
        <v>132</v>
      </c>
      <c r="J82" s="127"/>
      <c r="L82" s="125" t="s">
        <v>131</v>
      </c>
      <c r="M82" s="125"/>
      <c r="N82" s="126" t="s">
        <v>266</v>
      </c>
      <c r="O82" s="127"/>
    </row>
    <row r="83" spans="7:16" ht="11.25" x14ac:dyDescent="0.15">
      <c r="G83" s="125" t="s">
        <v>134</v>
      </c>
      <c r="H83" s="125"/>
      <c r="I83" s="131">
        <f>I78+31</f>
        <v>43279</v>
      </c>
      <c r="J83" s="127"/>
      <c r="L83" s="125" t="s">
        <v>134</v>
      </c>
      <c r="M83" s="125"/>
      <c r="N83" s="131">
        <f>N78+31</f>
        <v>43279</v>
      </c>
      <c r="O83" s="127"/>
    </row>
    <row r="84" spans="7:16" ht="11.25" x14ac:dyDescent="0.15">
      <c r="G84" s="125" t="s">
        <v>136</v>
      </c>
      <c r="H84" s="125"/>
      <c r="I84" s="126">
        <v>456.5</v>
      </c>
      <c r="J84" s="127"/>
      <c r="L84" s="125" t="s">
        <v>136</v>
      </c>
      <c r="M84" s="125"/>
      <c r="N84" s="126">
        <v>456.5</v>
      </c>
      <c r="O84" s="127"/>
      <c r="P84" s="100">
        <f>N84*3.5/100</f>
        <v>15.977499999999999</v>
      </c>
    </row>
    <row r="85" spans="7:16" ht="11.25" x14ac:dyDescent="0.15">
      <c r="G85" s="125" t="s">
        <v>138</v>
      </c>
      <c r="H85" s="125"/>
      <c r="I85" s="126">
        <v>456.5</v>
      </c>
      <c r="J85" s="127"/>
      <c r="L85" s="125" t="s">
        <v>138</v>
      </c>
      <c r="M85" s="125"/>
      <c r="N85" s="126">
        <v>456.5</v>
      </c>
      <c r="O85" s="127"/>
    </row>
    <row r="86" spans="7:16" ht="11.25" x14ac:dyDescent="0.15">
      <c r="G86" s="125" t="s">
        <v>140</v>
      </c>
      <c r="H86" s="125"/>
      <c r="I86" s="126">
        <v>24.42</v>
      </c>
      <c r="J86" s="127"/>
      <c r="L86" s="125" t="s">
        <v>140</v>
      </c>
      <c r="M86" s="125"/>
      <c r="N86" s="126">
        <v>24.42</v>
      </c>
      <c r="O86" s="127"/>
    </row>
    <row r="87" spans="7:16" ht="11.25" x14ac:dyDescent="0.15">
      <c r="G87" s="125" t="s">
        <v>142</v>
      </c>
      <c r="H87" s="125"/>
      <c r="I87" s="126" t="s">
        <v>202</v>
      </c>
      <c r="J87" s="127"/>
      <c r="L87" s="125" t="s">
        <v>142</v>
      </c>
      <c r="M87" s="125"/>
      <c r="N87" s="126" t="s">
        <v>202</v>
      </c>
      <c r="O87" s="127"/>
    </row>
    <row r="88" spans="7:16" ht="11.25" x14ac:dyDescent="0.15">
      <c r="G88" s="125" t="s">
        <v>145</v>
      </c>
      <c r="H88" s="125"/>
      <c r="I88" s="126">
        <v>10000</v>
      </c>
      <c r="J88" s="127"/>
      <c r="L88" s="125" t="s">
        <v>145</v>
      </c>
      <c r="M88" s="125"/>
      <c r="N88" s="126">
        <v>10000</v>
      </c>
      <c r="O88" s="127"/>
    </row>
    <row r="89" spans="7:16" ht="12" thickBot="1" x14ac:dyDescent="0.2">
      <c r="G89" s="128" t="s">
        <v>147</v>
      </c>
      <c r="H89" s="128"/>
      <c r="I89" s="129" t="s">
        <v>207</v>
      </c>
      <c r="J89" s="130"/>
      <c r="L89" s="128" t="s">
        <v>147</v>
      </c>
      <c r="M89" s="128"/>
      <c r="N89" s="129" t="s">
        <v>207</v>
      </c>
      <c r="O89" s="130"/>
    </row>
    <row r="90" spans="7:16" ht="11.25" thickTop="1" x14ac:dyDescent="0.15"/>
  </sheetData>
  <mergeCells count="526"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74"/>
  <sheetViews>
    <sheetView topLeftCell="C37" zoomScaleNormal="100" workbookViewId="0">
      <selection activeCell="K72" sqref="K7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6" ht="13.5" customHeight="1" thickBot="1" x14ac:dyDescent="0.2">
      <c r="B1" s="147" t="s">
        <v>37</v>
      </c>
      <c r="C1" s="147"/>
    </row>
    <row r="2" spans="1:26" ht="12" thickTop="1" x14ac:dyDescent="0.15">
      <c r="B2" s="3" t="s">
        <v>0</v>
      </c>
      <c r="C2" s="4">
        <v>43111</v>
      </c>
    </row>
    <row r="3" spans="1:26" ht="13.5" x14ac:dyDescent="0.15">
      <c r="A3" s="39" t="s">
        <v>193</v>
      </c>
      <c r="B3" s="3" t="s">
        <v>1</v>
      </c>
      <c r="C3" s="3">
        <v>0.02</v>
      </c>
    </row>
    <row r="4" spans="1:26" ht="12" thickBot="1" x14ac:dyDescent="0.2">
      <c r="B4" s="5" t="s">
        <v>18</v>
      </c>
      <c r="C4" s="5">
        <v>0.01</v>
      </c>
    </row>
    <row r="5" spans="1:26" ht="12" thickTop="1" x14ac:dyDescent="0.15"/>
    <row r="6" spans="1:26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6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6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9" ca="1" si="0">TODAY()</f>
        <v>43250</v>
      </c>
      <c r="F8" s="8">
        <f t="shared" ref="F8" ca="1" si="1">E8+H8</f>
        <v>43341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-11442.800260330714</v>
      </c>
      <c r="M8" s="15"/>
      <c r="N8" s="13">
        <f t="shared" ref="N8" si="2">M8/10000*I8*P8</f>
        <v>0</v>
      </c>
      <c r="O8" s="13">
        <f>IF(L8&lt;=0,ABS(L8)+N8,L8-N8)</f>
        <v>11442.800260330714</v>
      </c>
      <c r="P8" s="11">
        <f>RTD("wdf.rtq",,D8,"LastPrice")</f>
        <v>0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#DIV/0!</v>
      </c>
      <c r="U8" s="13" t="e">
        <f>_xll.dnetGBlackScholesNGreeks("delta",$Q8,$P8,$G8,$I8,$C$3,$J8,$K8,$C$4)*R8</f>
        <v>#VALUE!</v>
      </c>
      <c r="V8" s="13">
        <f>_xll.dnetGBlackScholesNGreeks("vega",$Q8,$P8,$G8,$I8,$C$3,$J8,$K8,$C$4)*R8</f>
        <v>0</v>
      </c>
    </row>
    <row r="9" spans="1:26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43250</v>
      </c>
      <c r="F9" s="8">
        <f t="shared" ref="F9" ca="1" si="5">E9+H9</f>
        <v>43797.5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6" x14ac:dyDescent="0.15">
      <c r="N10" s="6">
        <f t="shared" si="6"/>
        <v>0</v>
      </c>
    </row>
    <row r="11" spans="1:26" x14ac:dyDescent="0.15">
      <c r="E11" s="117"/>
      <c r="F11" s="117"/>
    </row>
    <row r="12" spans="1:26" ht="10.5" customHeight="1" x14ac:dyDescent="0.15">
      <c r="A12" s="34"/>
      <c r="B12" s="13" t="s">
        <v>172</v>
      </c>
      <c r="C12" s="10" t="s">
        <v>160</v>
      </c>
      <c r="D12" s="10" t="s">
        <v>202</v>
      </c>
      <c r="E12" s="8">
        <f t="shared" ref="E12:E49" ca="1" si="9">TODAY()</f>
        <v>43250</v>
      </c>
      <c r="F12" s="8">
        <f t="shared" ref="F12" ca="1" si="10">E12+H12</f>
        <v>43331</v>
      </c>
      <c r="G12" s="11">
        <v>480</v>
      </c>
      <c r="H12" s="10">
        <v>81</v>
      </c>
      <c r="I12" s="12">
        <f t="shared" ref="I12:I13" si="11">H12/365</f>
        <v>0.22191780821917809</v>
      </c>
      <c r="J12" s="12">
        <v>0</v>
      </c>
      <c r="K12" s="116">
        <v>0.36499999999999999</v>
      </c>
      <c r="L12" s="13">
        <f>_xll.dnetGBlackScholesNGreeks("price",$Q12,$P12,$G12,$I12,$C$3,$J12,$K12,$C$4)*R12</f>
        <v>-477.8743098156599</v>
      </c>
      <c r="M12" s="15"/>
      <c r="N12" s="13">
        <f t="shared" ref="N12" si="12">M12/10000*I12*P12</f>
        <v>0</v>
      </c>
      <c r="O12" s="13">
        <f t="shared" ref="O12:O13" si="13">IF(L12&lt;=0,ABS(L12)+N12,L12-N12)</f>
        <v>477.8743098156599</v>
      </c>
      <c r="P12" s="121">
        <f>RTD("wdf.rtq",,D12,"LastPrice")</f>
        <v>0</v>
      </c>
      <c r="Q12" s="10" t="s">
        <v>85</v>
      </c>
      <c r="R12" s="10">
        <f t="shared" ref="R12" si="14">IF(S12="中金买入",1,-1)</f>
        <v>-1</v>
      </c>
      <c r="S12" s="10" t="s">
        <v>20</v>
      </c>
      <c r="T12" s="14" t="e">
        <f t="shared" ref="T12" si="15">O12/P12</f>
        <v>#DIV/0!</v>
      </c>
      <c r="U12" s="13" t="e">
        <f>_xll.dnetGBlackScholesNGreeks("delta",$Q12,$P12,$G12,$I12,$C$3,$J12,$K12,$C$4)*R12</f>
        <v>#VALUE!</v>
      </c>
      <c r="V12" s="13">
        <f>_xll.dnetGBlackScholesNGreeks("vega",$Q12,$P12,$G12,$I12,$C$3,$J12,$K12,$C$4)*R12</f>
        <v>0</v>
      </c>
      <c r="W12" s="114">
        <v>37.799999999999997</v>
      </c>
      <c r="X12" s="115">
        <f t="shared" ref="X12:X13" si="16">G12-W12</f>
        <v>442.2</v>
      </c>
      <c r="Y12" s="6" t="e">
        <f t="shared" ref="Y12:Y13" si="17">500*U12</f>
        <v>#VALUE!</v>
      </c>
      <c r="Z12" s="6" t="e">
        <f t="shared" ref="Z12:Z13" si="18">1000000/P12/10</f>
        <v>#DIV/0!</v>
      </c>
    </row>
    <row r="13" spans="1:26" ht="10.5" customHeight="1" x14ac:dyDescent="0.15">
      <c r="A13" s="34"/>
      <c r="B13" s="13" t="s">
        <v>172</v>
      </c>
      <c r="C13" s="10" t="s">
        <v>160</v>
      </c>
      <c r="D13" s="10" t="s">
        <v>202</v>
      </c>
      <c r="E13" s="8">
        <f t="shared" ca="1" si="9"/>
        <v>43250</v>
      </c>
      <c r="F13" s="8">
        <f t="shared" ref="F13" ca="1" si="19">E13+H13</f>
        <v>43331</v>
      </c>
      <c r="G13" s="11">
        <v>430</v>
      </c>
      <c r="H13" s="10">
        <v>81</v>
      </c>
      <c r="I13" s="12">
        <f t="shared" si="11"/>
        <v>0.22191780821917809</v>
      </c>
      <c r="J13" s="12">
        <v>0</v>
      </c>
      <c r="K13" s="116">
        <v>0.36499999999999999</v>
      </c>
      <c r="L13" s="13">
        <f>_xll.dnetGBlackScholesNGreeks("price",$Q13,$P13,$G13,$I13,$C$3,$J13,$K13,$C$4)*R13</f>
        <v>-428.09573587652864</v>
      </c>
      <c r="M13" s="15"/>
      <c r="N13" s="13">
        <f t="shared" ref="N13" si="20">M13/10000*I13*P13</f>
        <v>0</v>
      </c>
      <c r="O13" s="13">
        <f t="shared" si="13"/>
        <v>428.09573587652864</v>
      </c>
      <c r="P13" s="121">
        <f>RTD("wdf.rtq",,D13,"LastPrice")</f>
        <v>0</v>
      </c>
      <c r="Q13" s="10" t="s">
        <v>85</v>
      </c>
      <c r="R13" s="10">
        <f t="shared" ref="R13" si="21">IF(S13="中金买入",1,-1)</f>
        <v>-1</v>
      </c>
      <c r="S13" s="10" t="s">
        <v>20</v>
      </c>
      <c r="T13" s="14" t="e">
        <f t="shared" ref="T13" si="22">O13/P13</f>
        <v>#DIV/0!</v>
      </c>
      <c r="U13" s="13" t="e">
        <f>_xll.dnetGBlackScholesNGreeks("delta",$Q13,$P13,$G13,$I13,$C$3,$J13,$K13,$C$4)*R13</f>
        <v>#VALUE!</v>
      </c>
      <c r="V13" s="13">
        <f>_xll.dnetGBlackScholesNGreeks("vega",$Q13,$P13,$G13,$I13,$C$3,$J13,$K13,$C$4)*R13</f>
        <v>0</v>
      </c>
      <c r="W13" s="114">
        <v>37.799999999999997</v>
      </c>
      <c r="X13" s="115">
        <f t="shared" si="16"/>
        <v>392.2</v>
      </c>
      <c r="Y13" s="6" t="e">
        <f t="shared" si="17"/>
        <v>#VALUE!</v>
      </c>
      <c r="Z13" s="6" t="e">
        <f t="shared" si="18"/>
        <v>#DIV/0!</v>
      </c>
    </row>
    <row r="14" spans="1:26" ht="10.5" customHeight="1" x14ac:dyDescent="0.15">
      <c r="A14" s="34"/>
      <c r="B14" s="13" t="s">
        <v>172</v>
      </c>
      <c r="C14" s="10" t="s">
        <v>160</v>
      </c>
      <c r="D14" s="10" t="s">
        <v>202</v>
      </c>
      <c r="E14" s="8">
        <f t="shared" ca="1" si="9"/>
        <v>43250</v>
      </c>
      <c r="F14" s="8">
        <f t="shared" ref="F14" ca="1" si="23">E14+H14</f>
        <v>43331</v>
      </c>
      <c r="G14" s="11">
        <v>465</v>
      </c>
      <c r="H14" s="10">
        <v>81</v>
      </c>
      <c r="I14" s="12">
        <f t="shared" ref="I14" si="24">H14/365</f>
        <v>0.22191780821917809</v>
      </c>
      <c r="J14" s="12">
        <v>0</v>
      </c>
      <c r="K14" s="116">
        <v>0.36499999999999999</v>
      </c>
      <c r="L14" s="13">
        <f>_xll.dnetGBlackScholesNGreeks("price",$Q14,$P14,$G14,$I14,$C$3,$J14,$K14,$C$4)*R14</f>
        <v>-462.94073763392049</v>
      </c>
      <c r="M14" s="15"/>
      <c r="N14" s="13">
        <f t="shared" ref="N14" si="25">M14/10000*I14*P14</f>
        <v>0</v>
      </c>
      <c r="O14" s="13">
        <f t="shared" ref="O14" si="26">IF(L14&lt;=0,ABS(L14)+N14,L14-N14)</f>
        <v>462.94073763392049</v>
      </c>
      <c r="P14" s="121">
        <f>RTD("wdf.rtq",,D14,"LastPrice")</f>
        <v>0</v>
      </c>
      <c r="Q14" s="10" t="s">
        <v>85</v>
      </c>
      <c r="R14" s="10">
        <f t="shared" ref="R14" si="27">IF(S14="中金买入",1,-1)</f>
        <v>-1</v>
      </c>
      <c r="S14" s="10" t="s">
        <v>20</v>
      </c>
      <c r="T14" s="14" t="e">
        <f t="shared" ref="T14" si="28">O14/P14</f>
        <v>#DIV/0!</v>
      </c>
      <c r="U14" s="13" t="e">
        <f>_xll.dnetGBlackScholesNGreeks("delta",$Q14,$P14,$G14,$I14,$C$3,$J14,$K14,$C$4)*R14</f>
        <v>#VALUE!</v>
      </c>
      <c r="V14" s="13">
        <f>_xll.dnetGBlackScholesNGreeks("vega",$Q14,$P14,$G14,$I14,$C$3,$J14,$K14,$C$4)*R14</f>
        <v>0</v>
      </c>
      <c r="W14" s="114">
        <v>37.799999999999997</v>
      </c>
      <c r="X14" s="115">
        <f t="shared" ref="X14" si="29">G14-W14</f>
        <v>427.2</v>
      </c>
      <c r="Y14" s="6" t="e">
        <f t="shared" ref="Y14" si="30">500*U14</f>
        <v>#VALUE!</v>
      </c>
      <c r="Z14" s="6" t="e">
        <f t="shared" ref="Z14" si="31">1000000/P14/10</f>
        <v>#DIV/0!</v>
      </c>
    </row>
    <row r="15" spans="1:26" x14ac:dyDescent="0.15">
      <c r="F15" s="117"/>
      <c r="G15" s="117"/>
    </row>
    <row r="16" spans="1:26" x14ac:dyDescent="0.15">
      <c r="K16" s="6" t="s">
        <v>257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203</v>
      </c>
      <c r="E17" s="8">
        <f t="shared" ca="1" si="9"/>
        <v>43250</v>
      </c>
      <c r="F17" s="8">
        <f t="shared" ref="F17:F20" ca="1" si="32">E17+H17</f>
        <v>43301</v>
      </c>
      <c r="G17" s="11">
        <v>13800</v>
      </c>
      <c r="H17" s="10">
        <v>51</v>
      </c>
      <c r="I17" s="12">
        <f t="shared" ref="I17:I20" si="33">H17/365</f>
        <v>0.13972602739726028</v>
      </c>
      <c r="J17" s="12">
        <v>0</v>
      </c>
      <c r="K17" s="116">
        <v>0.14000000000000001</v>
      </c>
      <c r="L17" s="13">
        <f>_xll.dnetGBlackScholesNGreeks("price",$Q17,$P17,$G17,$I17,$C$3,$J17,$K17,$C$4)*R17</f>
        <v>13761.489450760782</v>
      </c>
      <c r="M17" s="15">
        <v>30</v>
      </c>
      <c r="N17" s="13">
        <f t="shared" ref="N17:N20" si="34">M17/10000*I17*P17</f>
        <v>0</v>
      </c>
      <c r="O17" s="13">
        <f t="shared" ref="O17:O20" si="35">IF(L17&lt;=0,ABS(L17)+N17,L17-N17)</f>
        <v>13761.489450760782</v>
      </c>
      <c r="P17" s="11">
        <f>RTD("wdf.rtq",,D17,"LastPrice")</f>
        <v>0</v>
      </c>
      <c r="Q17" s="10" t="s">
        <v>85</v>
      </c>
      <c r="R17" s="10">
        <f t="shared" ref="R17:R20" si="36">IF(S17="中金买入",1,-1)</f>
        <v>1</v>
      </c>
      <c r="S17" s="10" t="s">
        <v>151</v>
      </c>
      <c r="T17" s="14" t="e">
        <f t="shared" ref="T17:T20" si="37">O17/P17</f>
        <v>#DIV/0!</v>
      </c>
      <c r="U17" s="13" t="e">
        <f>_xll.dnetGBlackScholesNGreeks("delta",$Q17,$P17,$G17,$I17,$C$3,$J17,$K17,$C$4)*R17</f>
        <v>#VALUE!</v>
      </c>
      <c r="V17" s="13">
        <f>_xll.dnetGBlackScholesNGreeks("vega",$Q17,$P17,$G17,$I17,$C$3,$J17,$K17,$C$4)*R17</f>
        <v>0</v>
      </c>
      <c r="W17" s="114"/>
      <c r="X17" s="115">
        <v>400</v>
      </c>
      <c r="Y17" s="6" t="e">
        <f>X17*U17</f>
        <v>#VALUE!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203</v>
      </c>
      <c r="E18" s="8">
        <f t="shared" ca="1" si="9"/>
        <v>43250</v>
      </c>
      <c r="F18" s="8">
        <f t="shared" ca="1" si="32"/>
        <v>43301</v>
      </c>
      <c r="G18" s="11">
        <v>14000</v>
      </c>
      <c r="H18" s="10">
        <v>51</v>
      </c>
      <c r="I18" s="12">
        <f t="shared" si="33"/>
        <v>0.13972602739726028</v>
      </c>
      <c r="J18" s="12">
        <v>0</v>
      </c>
      <c r="K18" s="116">
        <v>0.14000000000000001</v>
      </c>
      <c r="L18" s="13">
        <f>_xll.dnetGBlackScholesNGreeks("price",$Q18,$P18,$G18,$I18,$C$3,$J18,$K18,$C$4)*R18</f>
        <v>13960.931326858763</v>
      </c>
      <c r="M18" s="15">
        <v>30</v>
      </c>
      <c r="N18" s="13">
        <f t="shared" si="34"/>
        <v>0</v>
      </c>
      <c r="O18" s="13">
        <f t="shared" si="35"/>
        <v>13960.931326858763</v>
      </c>
      <c r="P18" s="11">
        <f>RTD("wdf.rtq",,D18,"LastPrice")</f>
        <v>0</v>
      </c>
      <c r="Q18" s="10" t="s">
        <v>85</v>
      </c>
      <c r="R18" s="10">
        <f t="shared" si="36"/>
        <v>1</v>
      </c>
      <c r="S18" s="10" t="s">
        <v>151</v>
      </c>
      <c r="T18" s="14" t="e">
        <f t="shared" si="37"/>
        <v>#DIV/0!</v>
      </c>
      <c r="U18" s="13" t="e">
        <f>_xll.dnetGBlackScholesNGreeks("delta",$Q18,$P18,$G18,$I18,$C$3,$J18,$K18,$C$4)*R18</f>
        <v>#VALUE!</v>
      </c>
      <c r="V18" s="13">
        <f>_xll.dnetGBlackScholesNGreeks("vega",$Q18,$P18,$G18,$I18,$C$3,$J18,$K18,$C$4)*R18</f>
        <v>0</v>
      </c>
      <c r="W18" s="114"/>
      <c r="X18" s="115">
        <v>400</v>
      </c>
      <c r="Y18" s="6" t="e">
        <f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259</v>
      </c>
      <c r="E19" s="8">
        <f t="shared" ca="1" si="9"/>
        <v>43250</v>
      </c>
      <c r="F19" s="8">
        <f t="shared" ca="1" si="32"/>
        <v>43333</v>
      </c>
      <c r="G19" s="11">
        <v>13800</v>
      </c>
      <c r="H19" s="10">
        <v>83</v>
      </c>
      <c r="I19" s="12">
        <f t="shared" si="33"/>
        <v>0.22739726027397261</v>
      </c>
      <c r="J19" s="12">
        <v>0</v>
      </c>
      <c r="K19" s="116">
        <v>0.14000000000000001</v>
      </c>
      <c r="L19" s="13" t="e">
        <f>_xll.dnetGBlackScholesNGreeks("price",$Q19,$P19,$G19,$I19,$C$3,$J19,$K19,$C$4)*R19</f>
        <v>#VALUE!</v>
      </c>
      <c r="M19" s="15">
        <v>30</v>
      </c>
      <c r="N19" s="13" t="e">
        <f t="shared" si="34"/>
        <v>#N/A</v>
      </c>
      <c r="O19" s="13" t="e">
        <f t="shared" si="35"/>
        <v>#VALUE!</v>
      </c>
      <c r="P19" s="11" t="e">
        <f>RTD("wdf.rtq",,D19,"LastPrice")</f>
        <v>#N/A</v>
      </c>
      <c r="Q19" s="10" t="s">
        <v>85</v>
      </c>
      <c r="R19" s="10">
        <f t="shared" si="36"/>
        <v>1</v>
      </c>
      <c r="S19" s="10" t="s">
        <v>151</v>
      </c>
      <c r="T19" s="14" t="e">
        <f t="shared" si="37"/>
        <v>#VALUE!</v>
      </c>
      <c r="U19" s="13" t="e">
        <f>_xll.dnetGBlackScholesNGreeks("delta",$Q19,$P19,$G19,$I19,$C$3,$J19,$K19,$C$4)*R19</f>
        <v>#VALUE!</v>
      </c>
      <c r="V19" s="13" t="e">
        <f>_xll.dnetGBlackScholesNGreeks("vega",$Q19,$P19,$G19,$I19,$C$3,$J19,$K19,$C$4)*R19</f>
        <v>#VALUE!</v>
      </c>
      <c r="W19" s="114"/>
      <c r="X19" s="115">
        <v>400</v>
      </c>
      <c r="Y19" s="6" t="e">
        <f>X19*U19</f>
        <v>#VALUE!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259</v>
      </c>
      <c r="E20" s="8">
        <f t="shared" ca="1" si="9"/>
        <v>43250</v>
      </c>
      <c r="F20" s="8">
        <f t="shared" ca="1" si="32"/>
        <v>43333</v>
      </c>
      <c r="G20" s="11">
        <v>14000</v>
      </c>
      <c r="H20" s="10">
        <v>83</v>
      </c>
      <c r="I20" s="12">
        <f t="shared" si="33"/>
        <v>0.22739726027397261</v>
      </c>
      <c r="J20" s="12">
        <v>0</v>
      </c>
      <c r="K20" s="116">
        <v>0.14000000000000001</v>
      </c>
      <c r="L20" s="13" t="e">
        <f>_xll.dnetGBlackScholesNGreeks("price",$Q20,$P20,$G20,$I20,$C$3,$J20,$K20,$C$4)*R20</f>
        <v>#VALUE!</v>
      </c>
      <c r="M20" s="15">
        <v>30</v>
      </c>
      <c r="N20" s="13" t="e">
        <f t="shared" si="34"/>
        <v>#N/A</v>
      </c>
      <c r="O20" s="13" t="e">
        <f t="shared" si="35"/>
        <v>#VALUE!</v>
      </c>
      <c r="P20" s="11" t="e">
        <f>RTD("wdf.rtq",,D20,"LastPrice")</f>
        <v>#N/A</v>
      </c>
      <c r="Q20" s="10" t="s">
        <v>85</v>
      </c>
      <c r="R20" s="10">
        <f t="shared" si="36"/>
        <v>1</v>
      </c>
      <c r="S20" s="10" t="s">
        <v>151</v>
      </c>
      <c r="T20" s="14" t="e">
        <f t="shared" si="37"/>
        <v>#VALUE!</v>
      </c>
      <c r="U20" s="13" t="e">
        <f>_xll.dnetGBlackScholesNGreeks("delta",$Q20,$P20,$G20,$I20,$C$3,$J20,$K20,$C$4)*R20</f>
        <v>#VALUE!</v>
      </c>
      <c r="V20" s="13" t="e">
        <f>_xll.dnetGBlackScholesNGreeks("vega",$Q20,$P20,$G20,$I20,$C$3,$J20,$K20,$C$4)*R20</f>
        <v>#VALUE!</v>
      </c>
      <c r="W20" s="114"/>
      <c r="X20" s="115">
        <v>400</v>
      </c>
      <c r="Y20" s="6" t="e">
        <f>X20*U20</f>
        <v>#VALUE!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259</v>
      </c>
      <c r="E21" s="8">
        <f t="shared" ca="1" si="9"/>
        <v>43250</v>
      </c>
      <c r="F21" s="8">
        <f t="shared" ref="F21" ca="1" si="38">E21+H21</f>
        <v>43333</v>
      </c>
      <c r="G21" s="11">
        <v>14000</v>
      </c>
      <c r="H21" s="10">
        <v>83</v>
      </c>
      <c r="I21" s="12">
        <f t="shared" ref="I21" si="39">H21/365</f>
        <v>0.22739726027397261</v>
      </c>
      <c r="J21" s="12">
        <v>0</v>
      </c>
      <c r="K21" s="116">
        <v>0.14000000000000001</v>
      </c>
      <c r="L21" s="13">
        <f>_xll.dnetGBlackScholesNGreeks("price",$Q21,$P21,$G21,$I21,$C$3,$J21,$K21,$C$4)*R21</f>
        <v>160.63140236371419</v>
      </c>
      <c r="M21" s="15">
        <v>30</v>
      </c>
      <c r="N21" s="13">
        <f t="shared" ref="N21" si="40">M21/10000*I21*P21</f>
        <v>9.9395342465753433</v>
      </c>
      <c r="O21" s="13">
        <f t="shared" ref="O21" si="41">IF(L21&lt;=0,ABS(L21)+N21,L21-N21)</f>
        <v>150.69186811713885</v>
      </c>
      <c r="P21" s="11">
        <v>14570</v>
      </c>
      <c r="Q21" s="10" t="s">
        <v>85</v>
      </c>
      <c r="R21" s="10">
        <f t="shared" ref="R21" si="42">IF(S21="中金买入",1,-1)</f>
        <v>1</v>
      </c>
      <c r="S21" s="10" t="s">
        <v>151</v>
      </c>
      <c r="T21" s="14">
        <f t="shared" ref="T21" si="43">O21/P21</f>
        <v>1.0342612773997176E-2</v>
      </c>
      <c r="U21" s="13">
        <f>_xll.dnetGBlackScholesNGreeks("delta",$Q21,$P21,$G21,$I21,$C$3,$J21,$K21,$C$4)*R21</f>
        <v>-0.26277444619609014</v>
      </c>
      <c r="V21" s="13">
        <f>_xll.dnetGBlackScholesNGreeks("vega",$Q21,$P21,$G21,$I21,$C$3,$J21,$K21,$C$4)*R21</f>
        <v>22.591054407461115</v>
      </c>
      <c r="W21" s="114"/>
      <c r="X21" s="115">
        <v>400</v>
      </c>
      <c r="Y21" s="6">
        <f>X21*U21</f>
        <v>-105.10977847843606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43250</v>
      </c>
      <c r="F23" s="8">
        <f t="shared" ref="F23:F24" ca="1" si="44">E23+H23</f>
        <v>43282</v>
      </c>
      <c r="G23" s="11">
        <f>P23</f>
        <v>100</v>
      </c>
      <c r="H23" s="10">
        <v>32</v>
      </c>
      <c r="I23" s="12">
        <f t="shared" ref="I23:I24" si="45">H23/365</f>
        <v>8.7671232876712329E-2</v>
      </c>
      <c r="J23" s="12">
        <v>0</v>
      </c>
      <c r="K23" s="116">
        <v>0.115</v>
      </c>
      <c r="L23" s="13">
        <f>_xll.dnetGBlackScholesNGreeks("price",$Q23,$P23,$G23,$I23,$C$3,$J23,$K23,$C$4)*R23</f>
        <v>1.3559821728240848</v>
      </c>
      <c r="M23" s="15"/>
      <c r="N23" s="13">
        <f t="shared" ref="N23:N24" si="46">M23/10000*I23*P23</f>
        <v>0</v>
      </c>
      <c r="O23" s="13">
        <f t="shared" ref="O23:O24" si="47">IF(L23&lt;=0,ABS(L23)+N23,L23-N23)</f>
        <v>1.3559821728240848</v>
      </c>
      <c r="P23" s="11">
        <v>100</v>
      </c>
      <c r="Q23" s="10" t="s">
        <v>85</v>
      </c>
      <c r="R23" s="10">
        <f t="shared" ref="R23:R24" si="48">IF(S23="中金买入",1,-1)</f>
        <v>1</v>
      </c>
      <c r="S23" s="10" t="s">
        <v>151</v>
      </c>
      <c r="T23" s="14">
        <f t="shared" ref="T23:T24" si="49">O23/P23</f>
        <v>1.3559821728240849E-2</v>
      </c>
      <c r="U23" s="13">
        <f>_xll.dnetGBlackScholesNGreeks("delta",$Q23,$P23,$G23,$I23,$C$3,$J23,$K23,$C$4)*R23</f>
        <v>-0.4923441742175072</v>
      </c>
      <c r="V23" s="13">
        <f>_xll.dnetGBlackScholesNGreeks("vega",$Q23,$P23,$G23,$I23,$C$3,$J23,$K23,$C$4)*R23</f>
        <v>0.11790005794639313</v>
      </c>
      <c r="W23" s="114"/>
      <c r="X23" s="115">
        <v>200</v>
      </c>
      <c r="Y23" s="6">
        <f t="shared" ref="Y23:Y24" si="50">X23*U23</f>
        <v>-98.46883484350144</v>
      </c>
    </row>
    <row r="24" spans="1:25" ht="10.5" customHeight="1" x14ac:dyDescent="0.15">
      <c r="A24" s="34"/>
      <c r="B24" s="13" t="s">
        <v>172</v>
      </c>
      <c r="C24" s="10" t="s">
        <v>160</v>
      </c>
      <c r="D24" s="10" t="s">
        <v>260</v>
      </c>
      <c r="E24" s="8">
        <f t="shared" ca="1" si="9"/>
        <v>43250</v>
      </c>
      <c r="F24" s="8">
        <f t="shared" ca="1" si="44"/>
        <v>43282</v>
      </c>
      <c r="G24" s="11">
        <f t="shared" ref="G24" si="51">P24</f>
        <v>100</v>
      </c>
      <c r="H24" s="10">
        <v>32</v>
      </c>
      <c r="I24" s="12">
        <f t="shared" si="45"/>
        <v>8.7671232876712329E-2</v>
      </c>
      <c r="J24" s="12">
        <v>0</v>
      </c>
      <c r="K24" s="116">
        <v>0.22500000000000001</v>
      </c>
      <c r="L24" s="13">
        <f>_xll.dnetGBlackScholesNGreeks("price",$Q24,$P24,$G24,$I24,$C$3,$J24,$K24,$C$4)*R24</f>
        <v>-2.6526462008723612</v>
      </c>
      <c r="M24" s="15"/>
      <c r="N24" s="13">
        <f t="shared" si="46"/>
        <v>0</v>
      </c>
      <c r="O24" s="13">
        <f t="shared" si="47"/>
        <v>2.6526462008723612</v>
      </c>
      <c r="P24" s="11">
        <v>100</v>
      </c>
      <c r="Q24" s="10" t="s">
        <v>85</v>
      </c>
      <c r="R24" s="10">
        <f t="shared" si="48"/>
        <v>-1</v>
      </c>
      <c r="S24" s="10" t="s">
        <v>20</v>
      </c>
      <c r="T24" s="14">
        <f t="shared" si="49"/>
        <v>2.6526462008723613E-2</v>
      </c>
      <c r="U24" s="13">
        <f>_xll.dnetGBlackScholesNGreeks("delta",$Q24,$P24,$G24,$I24,$C$3,$J24,$K24,$C$4)*R24</f>
        <v>0.48586083977859573</v>
      </c>
      <c r="V24" s="13">
        <f>_xll.dnetGBlackScholesNGreeks("vega",$Q24,$P24,$G24,$I24,$C$3,$J24,$K24,$C$4)*R24</f>
        <v>-0.11785174501013884</v>
      </c>
      <c r="W24" s="114"/>
      <c r="X24" s="115">
        <v>400</v>
      </c>
      <c r="Y24" s="6">
        <f t="shared" si="50"/>
        <v>194.34433591143829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260</v>
      </c>
      <c r="E25" s="8">
        <f t="shared" ca="1" si="9"/>
        <v>43250</v>
      </c>
      <c r="F25" s="8">
        <f t="shared" ref="F25:F28" ca="1" si="52">E25+H25</f>
        <v>43310</v>
      </c>
      <c r="G25" s="11">
        <f>P25</f>
        <v>100</v>
      </c>
      <c r="H25" s="10">
        <v>60</v>
      </c>
      <c r="I25" s="12">
        <f t="shared" ref="I25:I28" si="53">H25/365</f>
        <v>0.16438356164383561</v>
      </c>
      <c r="J25" s="12">
        <v>0</v>
      </c>
      <c r="K25" s="116">
        <v>0.11799999999999999</v>
      </c>
      <c r="L25" s="13">
        <f>_xll.dnetGBlackScholesNGreeks("price",$Q25,$P25,$G25,$I25,$C$3,$J25,$K25,$C$4)*R25</f>
        <v>1.9021818418049463</v>
      </c>
      <c r="M25" s="15"/>
      <c r="N25" s="13">
        <f t="shared" ref="N25:N28" si="54">M25/10000*I25*P25</f>
        <v>0</v>
      </c>
      <c r="O25" s="13">
        <f t="shared" ref="O25:O28" si="55">IF(L25&lt;=0,ABS(L25)+N25,L25-N25)</f>
        <v>1.9021818418049463</v>
      </c>
      <c r="P25" s="11">
        <v>100</v>
      </c>
      <c r="Q25" s="10" t="s">
        <v>85</v>
      </c>
      <c r="R25" s="10">
        <f t="shared" ref="R25:R28" si="56">IF(S25="中金买入",1,-1)</f>
        <v>1</v>
      </c>
      <c r="S25" s="10" t="s">
        <v>151</v>
      </c>
      <c r="T25" s="14">
        <f t="shared" ref="T25:T28" si="57">O25/P25</f>
        <v>1.9021818418049462E-2</v>
      </c>
      <c r="U25" s="13">
        <f>_xll.dnetGBlackScholesNGreeks("delta",$Q25,$P25,$G25,$I25,$C$3,$J25,$K25,$C$4)*R25</f>
        <v>-0.48884797518340406</v>
      </c>
      <c r="V25" s="13">
        <f>_xll.dnetGBlackScholesNGreeks("vega",$Q25,$P25,$G25,$I25,$C$3,$J25,$K25,$C$4)*R25</f>
        <v>0.16117099542144686</v>
      </c>
      <c r="W25" s="114"/>
      <c r="X25" s="115">
        <v>200</v>
      </c>
      <c r="Y25" s="6">
        <f t="shared" ref="Y25:Y28" si="58">X25*U25</f>
        <v>-97.769595036680812</v>
      </c>
    </row>
    <row r="26" spans="1:25" ht="10.5" customHeight="1" x14ac:dyDescent="0.15">
      <c r="A26" s="34"/>
      <c r="B26" s="13" t="s">
        <v>172</v>
      </c>
      <c r="C26" s="10" t="s">
        <v>160</v>
      </c>
      <c r="D26" s="10" t="s">
        <v>260</v>
      </c>
      <c r="E26" s="8">
        <f t="shared" ca="1" si="9"/>
        <v>43250</v>
      </c>
      <c r="F26" s="8">
        <f t="shared" ca="1" si="52"/>
        <v>43310</v>
      </c>
      <c r="G26" s="11">
        <f t="shared" ref="G26:G28" si="59">P26</f>
        <v>100</v>
      </c>
      <c r="H26" s="10">
        <v>60</v>
      </c>
      <c r="I26" s="12">
        <f t="shared" si="53"/>
        <v>0.16438356164383561</v>
      </c>
      <c r="J26" s="12">
        <v>0</v>
      </c>
      <c r="K26" s="116">
        <v>0.23</v>
      </c>
      <c r="L26" s="13">
        <f>_xll.dnetGBlackScholesNGreeks("price",$Q26,$P26,$G26,$I26,$C$3,$J26,$K26,$C$4)*R26</f>
        <v>-3.7066530980644856</v>
      </c>
      <c r="M26" s="15"/>
      <c r="N26" s="13">
        <f t="shared" si="54"/>
        <v>0</v>
      </c>
      <c r="O26" s="13">
        <f t="shared" si="55"/>
        <v>3.7066530980644856</v>
      </c>
      <c r="P26" s="11">
        <v>100</v>
      </c>
      <c r="Q26" s="10" t="s">
        <v>85</v>
      </c>
      <c r="R26" s="10">
        <f t="shared" si="56"/>
        <v>-1</v>
      </c>
      <c r="S26" s="10" t="s">
        <v>20</v>
      </c>
      <c r="T26" s="14">
        <f t="shared" si="57"/>
        <v>3.7066530980644857E-2</v>
      </c>
      <c r="U26" s="13">
        <f>_xll.dnetGBlackScholesNGreeks("delta",$Q26,$P26,$G26,$I26,$C$3,$J26,$K26,$C$4)*R26</f>
        <v>0.47982560877848357</v>
      </c>
      <c r="V26" s="13">
        <f>_xll.dnetGBlackScholesNGreeks("vega",$Q26,$P26,$G26,$I26,$C$3,$J26,$K26,$C$4)*R26</f>
        <v>-0.16104196917521207</v>
      </c>
      <c r="W26" s="114"/>
      <c r="X26" s="115">
        <v>400</v>
      </c>
      <c r="Y26" s="6">
        <f t="shared" si="58"/>
        <v>191.93024351139343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262</v>
      </c>
      <c r="E27" s="8">
        <f t="shared" ca="1" si="9"/>
        <v>43250</v>
      </c>
      <c r="F27" s="8">
        <f t="shared" ca="1" si="52"/>
        <v>43282</v>
      </c>
      <c r="G27" s="11">
        <f t="shared" si="59"/>
        <v>100</v>
      </c>
      <c r="H27" s="10">
        <v>32</v>
      </c>
      <c r="I27" s="12">
        <f t="shared" si="53"/>
        <v>8.7671232876712329E-2</v>
      </c>
      <c r="J27" s="12">
        <v>0</v>
      </c>
      <c r="K27" s="116">
        <v>0.14499999999999999</v>
      </c>
      <c r="L27" s="13">
        <f>_xll.dnetGBlackScholesNGreeks("price",$Q27,$P27,$G27,$I27,$C$3,$J27,$K27,$C$4)*R27</f>
        <v>-1.7096679406089024</v>
      </c>
      <c r="M27" s="15"/>
      <c r="N27" s="13">
        <f t="shared" si="54"/>
        <v>0</v>
      </c>
      <c r="O27" s="13">
        <f t="shared" si="55"/>
        <v>1.7096679406089024</v>
      </c>
      <c r="P27" s="11">
        <v>100</v>
      </c>
      <c r="Q27" s="10" t="s">
        <v>85</v>
      </c>
      <c r="R27" s="10">
        <f t="shared" si="56"/>
        <v>-1</v>
      </c>
      <c r="S27" s="10" t="s">
        <v>20</v>
      </c>
      <c r="T27" s="14">
        <f t="shared" si="57"/>
        <v>1.7096679406089024E-2</v>
      </c>
      <c r="U27" s="13">
        <f>_xll.dnetGBlackScholesNGreeks("delta",$Q27,$P27,$G27,$I27,$C$3,$J27,$K27,$C$4)*R27</f>
        <v>0.49057573932813625</v>
      </c>
      <c r="V27" s="13">
        <f>_xll.dnetGBlackScholesNGreeks("vega",$Q27,$P27,$G27,$I27,$C$3,$J27,$K27,$C$4)*R27</f>
        <v>-0.11788998035212117</v>
      </c>
      <c r="W27" s="114"/>
      <c r="X27" s="115">
        <v>200</v>
      </c>
      <c r="Y27" s="6">
        <f t="shared" si="58"/>
        <v>98.11514786562725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27</v>
      </c>
      <c r="E28" s="8">
        <f t="shared" ca="1" si="9"/>
        <v>43250</v>
      </c>
      <c r="F28" s="8">
        <f t="shared" ca="1" si="52"/>
        <v>43282</v>
      </c>
      <c r="G28" s="11">
        <f t="shared" si="59"/>
        <v>100</v>
      </c>
      <c r="H28" s="10">
        <v>32</v>
      </c>
      <c r="I28" s="12">
        <f t="shared" si="53"/>
        <v>8.7671232876712329E-2</v>
      </c>
      <c r="J28" s="12">
        <v>0</v>
      </c>
      <c r="K28" s="116">
        <v>0.115</v>
      </c>
      <c r="L28" s="13">
        <f>_xll.dnetGBlackScholesNGreeks("price",$Q28,$P28,$G28,$I28,$C$3,$J28,$K28,$C$4)*R28</f>
        <v>-1.3559821728240848</v>
      </c>
      <c r="M28" s="15"/>
      <c r="N28" s="13">
        <f t="shared" si="54"/>
        <v>0</v>
      </c>
      <c r="O28" s="13">
        <f t="shared" si="55"/>
        <v>1.3559821728240848</v>
      </c>
      <c r="P28" s="11">
        <v>100</v>
      </c>
      <c r="Q28" s="10" t="s">
        <v>85</v>
      </c>
      <c r="R28" s="10">
        <f t="shared" si="56"/>
        <v>-1</v>
      </c>
      <c r="S28" s="10" t="s">
        <v>20</v>
      </c>
      <c r="T28" s="14">
        <f t="shared" si="57"/>
        <v>1.3559821728240849E-2</v>
      </c>
      <c r="U28" s="13">
        <f>_xll.dnetGBlackScholesNGreeks("delta",$Q28,$P28,$G28,$I28,$C$3,$J28,$K28,$C$4)*R28</f>
        <v>0.4923441742175072</v>
      </c>
      <c r="V28" s="13">
        <f>_xll.dnetGBlackScholesNGreeks("vega",$Q28,$P28,$G28,$I28,$C$3,$J28,$K28,$C$4)*R28</f>
        <v>-0.11790005794639313</v>
      </c>
      <c r="W28" s="114"/>
      <c r="X28" s="115">
        <v>400</v>
      </c>
      <c r="Y28" s="6">
        <f t="shared" si="58"/>
        <v>196.93766968700288</v>
      </c>
    </row>
    <row r="30" spans="1:25" ht="10.5" customHeight="1" x14ac:dyDescent="0.15">
      <c r="A30" s="34"/>
      <c r="B30" s="13" t="s">
        <v>172</v>
      </c>
      <c r="C30" s="10" t="s">
        <v>160</v>
      </c>
      <c r="D30" s="10" t="s">
        <v>203</v>
      </c>
      <c r="E30" s="8">
        <f t="shared" ca="1" si="9"/>
        <v>43250</v>
      </c>
      <c r="F30" s="8">
        <f t="shared" ref="F30:F34" ca="1" si="60">E30+H30</f>
        <v>43307</v>
      </c>
      <c r="G30" s="11">
        <v>3300</v>
      </c>
      <c r="H30" s="10">
        <v>57</v>
      </c>
      <c r="I30" s="12">
        <f t="shared" ref="I30:I34" si="61">H30/365</f>
        <v>0.15616438356164383</v>
      </c>
      <c r="J30" s="12">
        <v>0</v>
      </c>
      <c r="K30" s="116">
        <v>0.18</v>
      </c>
      <c r="L30" s="13">
        <f>_xll.dnetGBlackScholesNGreeks("price",$Q30,$P30,$G30,$I30,$C$3,$J30,$K30,$C$4)*R30</f>
        <v>3289.709229568613</v>
      </c>
      <c r="M30" s="15"/>
      <c r="N30" s="13">
        <f t="shared" ref="N30:N34" si="62">M30/10000*I30*P30</f>
        <v>0</v>
      </c>
      <c r="O30" s="13">
        <f t="shared" ref="O30:O34" si="63">IF(L30&lt;=0,ABS(L30)+N30,L30-N30)</f>
        <v>3289.709229568613</v>
      </c>
      <c r="P30" s="11">
        <f>RTD("wdf.rtq",,D30,"LastPrice")</f>
        <v>0</v>
      </c>
      <c r="Q30" s="10" t="s">
        <v>85</v>
      </c>
      <c r="R30" s="10">
        <f t="shared" ref="R30:R34" si="64">IF(S30="中金买入",1,-1)</f>
        <v>1</v>
      </c>
      <c r="S30" s="10" t="s">
        <v>151</v>
      </c>
      <c r="T30" s="14" t="e">
        <f t="shared" ref="T30:T34" si="65">O30/P30</f>
        <v>#DIV/0!</v>
      </c>
      <c r="U30" s="13" t="e">
        <f>_xll.dnetGBlackScholesNGreeks("delta",$Q30,$P30,$G30,$I30,$C$3,$J30,$K30,$C$4)*R30</f>
        <v>#VALUE!</v>
      </c>
      <c r="V30" s="13">
        <f>_xll.dnetGBlackScholesNGreeks("vega",$Q30,$P30,$G30,$I30,$C$3,$J30,$K30,$C$4)*R30</f>
        <v>0</v>
      </c>
      <c r="W30" s="114"/>
      <c r="X30" s="115">
        <v>400</v>
      </c>
      <c r="Y30" s="6" t="e">
        <f>X30*U30</f>
        <v>#VALUE!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203</v>
      </c>
      <c r="E31" s="8">
        <f t="shared" ca="1" si="9"/>
        <v>43250</v>
      </c>
      <c r="F31" s="8">
        <f t="shared" ca="1" si="60"/>
        <v>43307</v>
      </c>
      <c r="G31" s="11">
        <v>3350</v>
      </c>
      <c r="H31" s="10">
        <v>57</v>
      </c>
      <c r="I31" s="12">
        <f t="shared" si="61"/>
        <v>0.15616438356164383</v>
      </c>
      <c r="J31" s="12">
        <v>0</v>
      </c>
      <c r="K31" s="116">
        <v>0.18</v>
      </c>
      <c r="L31" s="13">
        <f>_xll.dnetGBlackScholesNGreeks("price",$Q31,$P31,$G31,$I31,$C$3,$J31,$K31,$C$4)*R31</f>
        <v>3339.5533088045013</v>
      </c>
      <c r="M31" s="15"/>
      <c r="N31" s="13">
        <f t="shared" si="62"/>
        <v>0</v>
      </c>
      <c r="O31" s="13">
        <f t="shared" si="63"/>
        <v>3339.5533088045013</v>
      </c>
      <c r="P31" s="11">
        <f>RTD("wdf.rtq",,D31,"LastPrice")</f>
        <v>0</v>
      </c>
      <c r="Q31" s="10" t="s">
        <v>85</v>
      </c>
      <c r="R31" s="10">
        <f t="shared" si="64"/>
        <v>1</v>
      </c>
      <c r="S31" s="10" t="s">
        <v>151</v>
      </c>
      <c r="T31" s="14" t="e">
        <f t="shared" si="65"/>
        <v>#DIV/0!</v>
      </c>
      <c r="U31" s="13" t="e">
        <f>_xll.dnetGBlackScholesNGreeks("delta",$Q31,$P31,$G31,$I31,$C$3,$J31,$K31,$C$4)*R31</f>
        <v>#VALUE!</v>
      </c>
      <c r="V31" s="13">
        <f>_xll.dnetGBlackScholesNGreeks("vega",$Q31,$P31,$G31,$I31,$C$3,$J31,$K31,$C$4)*R31</f>
        <v>0</v>
      </c>
      <c r="W31" s="114"/>
      <c r="X31" s="115">
        <v>400</v>
      </c>
      <c r="Y31" s="6" t="e">
        <f>X31*U31</f>
        <v>#VALUE!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259</v>
      </c>
      <c r="E32" s="8">
        <f t="shared" ca="1" si="9"/>
        <v>43250</v>
      </c>
      <c r="F32" s="8">
        <f t="shared" ca="1" si="60"/>
        <v>43307</v>
      </c>
      <c r="G32" s="11">
        <v>3400</v>
      </c>
      <c r="H32" s="10">
        <v>57</v>
      </c>
      <c r="I32" s="12">
        <f t="shared" si="61"/>
        <v>0.15616438356164383</v>
      </c>
      <c r="J32" s="12">
        <v>0</v>
      </c>
      <c r="K32" s="116">
        <v>0.18</v>
      </c>
      <c r="L32" s="13" t="e">
        <f>_xll.dnetGBlackScholesNGreeks("price",$Q32,$P32,$G32,$I32,$C$3,$J32,$K32,$C$4)*R32</f>
        <v>#VALUE!</v>
      </c>
      <c r="M32" s="15"/>
      <c r="N32" s="13" t="e">
        <f t="shared" si="62"/>
        <v>#N/A</v>
      </c>
      <c r="O32" s="13" t="e">
        <f t="shared" si="63"/>
        <v>#VALUE!</v>
      </c>
      <c r="P32" s="11" t="e">
        <f>RTD("wdf.rtq",,D32,"LastPrice")</f>
        <v>#N/A</v>
      </c>
      <c r="Q32" s="10" t="s">
        <v>85</v>
      </c>
      <c r="R32" s="10">
        <f t="shared" si="64"/>
        <v>1</v>
      </c>
      <c r="S32" s="10" t="s">
        <v>151</v>
      </c>
      <c r="T32" s="14" t="e">
        <f t="shared" si="65"/>
        <v>#VALUE!</v>
      </c>
      <c r="U32" s="13" t="e">
        <f>_xll.dnetGBlackScholesNGreeks("delta",$Q32,$P32,$G32,$I32,$C$3,$J32,$K32,$C$4)*R32</f>
        <v>#VALUE!</v>
      </c>
      <c r="V32" s="13" t="e">
        <f>_xll.dnetGBlackScholesNGreeks("vega",$Q32,$P32,$G32,$I32,$C$3,$J32,$K32,$C$4)*R32</f>
        <v>#VALUE!</v>
      </c>
      <c r="W32" s="114"/>
      <c r="X32" s="115">
        <v>400</v>
      </c>
      <c r="Y32" s="6" t="e">
        <f>X32*U32</f>
        <v>#VALUE!</v>
      </c>
    </row>
    <row r="33" spans="1:25" ht="10.5" customHeight="1" x14ac:dyDescent="0.15">
      <c r="A33" s="34"/>
      <c r="B33" s="13" t="s">
        <v>172</v>
      </c>
      <c r="C33" s="10" t="s">
        <v>160</v>
      </c>
      <c r="D33" s="10" t="s">
        <v>259</v>
      </c>
      <c r="E33" s="8">
        <f t="shared" ca="1" si="9"/>
        <v>43250</v>
      </c>
      <c r="F33" s="8">
        <f t="shared" ca="1" si="60"/>
        <v>43307</v>
      </c>
      <c r="G33" s="11">
        <v>3450</v>
      </c>
      <c r="H33" s="10">
        <v>57</v>
      </c>
      <c r="I33" s="12">
        <f t="shared" si="61"/>
        <v>0.15616438356164383</v>
      </c>
      <c r="J33" s="12">
        <v>0</v>
      </c>
      <c r="K33" s="116">
        <v>0.18</v>
      </c>
      <c r="L33" s="13" t="e">
        <f>_xll.dnetGBlackScholesNGreeks("price",$Q33,$P33,$G33,$I33,$C$3,$J33,$K33,$C$4)*R33</f>
        <v>#VALUE!</v>
      </c>
      <c r="M33" s="15"/>
      <c r="N33" s="13" t="e">
        <f t="shared" si="62"/>
        <v>#N/A</v>
      </c>
      <c r="O33" s="13" t="e">
        <f t="shared" si="63"/>
        <v>#VALUE!</v>
      </c>
      <c r="P33" s="11" t="e">
        <f>RTD("wdf.rtq",,D33,"LastPrice")</f>
        <v>#N/A</v>
      </c>
      <c r="Q33" s="10" t="s">
        <v>85</v>
      </c>
      <c r="R33" s="10">
        <f t="shared" si="64"/>
        <v>1</v>
      </c>
      <c r="S33" s="10" t="s">
        <v>151</v>
      </c>
      <c r="T33" s="14" t="e">
        <f t="shared" si="65"/>
        <v>#VALUE!</v>
      </c>
      <c r="U33" s="13" t="e">
        <f>_xll.dnetGBlackScholesNGreeks("delta",$Q33,$P33,$G33,$I33,$C$3,$J33,$K33,$C$4)*R33</f>
        <v>#VALUE!</v>
      </c>
      <c r="V33" s="13" t="e">
        <f>_xll.dnetGBlackScholesNGreeks("vega",$Q33,$P33,$G33,$I33,$C$3,$J33,$K33,$C$4)*R33</f>
        <v>#VALUE!</v>
      </c>
      <c r="W33" s="114"/>
      <c r="X33" s="115">
        <v>400</v>
      </c>
      <c r="Y33" s="6" t="e">
        <f>X33*U33</f>
        <v>#VALUE!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259</v>
      </c>
      <c r="E34" s="8">
        <f t="shared" ca="1" si="9"/>
        <v>43250</v>
      </c>
      <c r="F34" s="8">
        <f t="shared" ca="1" si="60"/>
        <v>43307</v>
      </c>
      <c r="G34" s="11">
        <v>3500</v>
      </c>
      <c r="H34" s="10">
        <v>57</v>
      </c>
      <c r="I34" s="12">
        <f t="shared" si="61"/>
        <v>0.15616438356164383</v>
      </c>
      <c r="J34" s="12">
        <v>0</v>
      </c>
      <c r="K34" s="116">
        <v>0.18</v>
      </c>
      <c r="L34" s="13">
        <f>_xll.dnetGBlackScholesNGreeks("price",$Q34,$P34,$G34,$I34,$C$3,$J34,$K34,$C$4)*R34</f>
        <v>2.5275324401046921E-88</v>
      </c>
      <c r="M34" s="15"/>
      <c r="N34" s="13">
        <f t="shared" si="62"/>
        <v>0</v>
      </c>
      <c r="O34" s="13">
        <f t="shared" si="63"/>
        <v>2.5275324401046921E-88</v>
      </c>
      <c r="P34" s="11">
        <v>14570</v>
      </c>
      <c r="Q34" s="10" t="s">
        <v>85</v>
      </c>
      <c r="R34" s="10">
        <f t="shared" si="64"/>
        <v>1</v>
      </c>
      <c r="S34" s="10" t="s">
        <v>151</v>
      </c>
      <c r="T34" s="14">
        <f t="shared" si="65"/>
        <v>1.7347511599894934E-92</v>
      </c>
      <c r="U34" s="13">
        <f>_xll.dnetGBlackScholesNGreeks("delta",$Q34,$P34,$G34,$I34,$C$3,$J34,$K34,$C$4)*R34</f>
        <v>-4.9052749761641461E-90</v>
      </c>
      <c r="V34" s="13">
        <f>_xll.dnetGBlackScholesNGreeks("vega",$Q34,$P34,$G34,$I34,$C$3,$J34,$K34,$C$4)*R34</f>
        <v>1.3147545182399271E-79</v>
      </c>
      <c r="W34" s="114"/>
      <c r="X34" s="115">
        <v>400</v>
      </c>
      <c r="Y34" s="6">
        <f>X34*U34</f>
        <v>-1.9621099904656584E-87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203</v>
      </c>
      <c r="E36" s="8">
        <f t="shared" ca="1" si="9"/>
        <v>43250</v>
      </c>
      <c r="F36" s="8">
        <f t="shared" ref="F36:F40" ca="1" si="66">E36+H36</f>
        <v>43279</v>
      </c>
      <c r="G36" s="11">
        <v>3300</v>
      </c>
      <c r="H36" s="10">
        <v>29</v>
      </c>
      <c r="I36" s="12">
        <f t="shared" ref="I36:I40" si="67">H36/365</f>
        <v>7.9452054794520555E-2</v>
      </c>
      <c r="J36" s="12">
        <v>0</v>
      </c>
      <c r="K36" s="116">
        <v>0.18</v>
      </c>
      <c r="L36" s="13">
        <f>_xll.dnetGBlackScholesNGreeks("price",$Q36,$P36,$G36,$I36,$C$3,$J36,$K36,$C$4)*R36</f>
        <v>3294.7603285127593</v>
      </c>
      <c r="M36" s="15"/>
      <c r="N36" s="13">
        <f t="shared" ref="N36:N40" si="68">M36/10000*I36*P36</f>
        <v>0</v>
      </c>
      <c r="O36" s="13">
        <f t="shared" ref="O36:O40" si="69">IF(L36&lt;=0,ABS(L36)+N36,L36-N36)</f>
        <v>3294.7603285127593</v>
      </c>
      <c r="P36" s="11">
        <f>RTD("wdf.rtq",,D36,"LastPrice")</f>
        <v>0</v>
      </c>
      <c r="Q36" s="10" t="s">
        <v>85</v>
      </c>
      <c r="R36" s="10">
        <f t="shared" ref="R36:R40" si="70">IF(S36="中金买入",1,-1)</f>
        <v>1</v>
      </c>
      <c r="S36" s="10" t="s">
        <v>151</v>
      </c>
      <c r="T36" s="14" t="e">
        <f t="shared" ref="T36:T40" si="71">O36/P36</f>
        <v>#DIV/0!</v>
      </c>
      <c r="U36" s="13" t="e">
        <f>_xll.dnetGBlackScholesNGreeks("delta",$Q36,$P36,$G36,$I36,$C$3,$J36,$K36,$C$4)*R36</f>
        <v>#VALUE!</v>
      </c>
      <c r="V36" s="13">
        <f>_xll.dnetGBlackScholesNGreeks("vega",$Q36,$P36,$G36,$I36,$C$3,$J36,$K36,$C$4)*R36</f>
        <v>0</v>
      </c>
      <c r="W36" s="114"/>
      <c r="X36" s="115">
        <v>400</v>
      </c>
      <c r="Y36" s="6" t="e">
        <f>X36*U36</f>
        <v>#VALUE!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203</v>
      </c>
      <c r="E37" s="8">
        <f t="shared" ca="1" si="9"/>
        <v>43250</v>
      </c>
      <c r="F37" s="8">
        <f t="shared" ca="1" si="66"/>
        <v>43279</v>
      </c>
      <c r="G37" s="11">
        <v>3350</v>
      </c>
      <c r="H37" s="10">
        <v>29</v>
      </c>
      <c r="I37" s="12">
        <f t="shared" si="67"/>
        <v>7.9452054794520555E-2</v>
      </c>
      <c r="J37" s="12">
        <v>0</v>
      </c>
      <c r="K37" s="116">
        <v>0.18</v>
      </c>
      <c r="L37" s="13">
        <f>_xll.dnetGBlackScholesNGreeks("price",$Q37,$P37,$G37,$I37,$C$3,$J37,$K37,$C$4)*R37</f>
        <v>3344.6809395508312</v>
      </c>
      <c r="M37" s="15"/>
      <c r="N37" s="13">
        <f t="shared" si="68"/>
        <v>0</v>
      </c>
      <c r="O37" s="13">
        <f t="shared" si="69"/>
        <v>3344.6809395508312</v>
      </c>
      <c r="P37" s="11">
        <f>RTD("wdf.rtq",,D37,"LastPrice")</f>
        <v>0</v>
      </c>
      <c r="Q37" s="10" t="s">
        <v>85</v>
      </c>
      <c r="R37" s="10">
        <f t="shared" si="70"/>
        <v>1</v>
      </c>
      <c r="S37" s="10" t="s">
        <v>151</v>
      </c>
      <c r="T37" s="14" t="e">
        <f t="shared" si="71"/>
        <v>#DIV/0!</v>
      </c>
      <c r="U37" s="13" t="e">
        <f>_xll.dnetGBlackScholesNGreeks("delta",$Q37,$P37,$G37,$I37,$C$3,$J37,$K37,$C$4)*R37</f>
        <v>#VALUE!</v>
      </c>
      <c r="V37" s="13">
        <f>_xll.dnetGBlackScholesNGreeks("vega",$Q37,$P37,$G37,$I37,$C$3,$J37,$K37,$C$4)*R37</f>
        <v>0</v>
      </c>
      <c r="W37" s="114"/>
      <c r="X37" s="115">
        <v>400</v>
      </c>
      <c r="Y37" s="6" t="e">
        <f>X37*U37</f>
        <v>#VALUE!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259</v>
      </c>
      <c r="E38" s="8">
        <f t="shared" ca="1" si="9"/>
        <v>43250</v>
      </c>
      <c r="F38" s="8">
        <f t="shared" ca="1" si="66"/>
        <v>43279</v>
      </c>
      <c r="G38" s="11">
        <v>3400</v>
      </c>
      <c r="H38" s="10">
        <v>29</v>
      </c>
      <c r="I38" s="12">
        <f t="shared" si="67"/>
        <v>7.9452054794520555E-2</v>
      </c>
      <c r="J38" s="12">
        <v>0</v>
      </c>
      <c r="K38" s="116">
        <v>0.18</v>
      </c>
      <c r="L38" s="13" t="e">
        <f>_xll.dnetGBlackScholesNGreeks("price",$Q38,$P38,$G38,$I38,$C$3,$J38,$K38,$C$4)*R38</f>
        <v>#VALUE!</v>
      </c>
      <c r="M38" s="15"/>
      <c r="N38" s="13" t="e">
        <f t="shared" si="68"/>
        <v>#N/A</v>
      </c>
      <c r="O38" s="13" t="e">
        <f t="shared" si="69"/>
        <v>#VALUE!</v>
      </c>
      <c r="P38" s="11" t="e">
        <f>RTD("wdf.rtq",,D38,"LastPrice")</f>
        <v>#N/A</v>
      </c>
      <c r="Q38" s="10" t="s">
        <v>85</v>
      </c>
      <c r="R38" s="10">
        <f t="shared" si="70"/>
        <v>1</v>
      </c>
      <c r="S38" s="10" t="s">
        <v>151</v>
      </c>
      <c r="T38" s="14" t="e">
        <f t="shared" si="71"/>
        <v>#VALUE!</v>
      </c>
      <c r="U38" s="13" t="e">
        <f>_xll.dnetGBlackScholesNGreeks("delta",$Q38,$P38,$G38,$I38,$C$3,$J38,$K38,$C$4)*R38</f>
        <v>#VALUE!</v>
      </c>
      <c r="V38" s="13" t="e">
        <f>_xll.dnetGBlackScholesNGreeks("vega",$Q38,$P38,$G38,$I38,$C$3,$J38,$K38,$C$4)*R38</f>
        <v>#VALUE!</v>
      </c>
      <c r="W38" s="114"/>
      <c r="X38" s="115">
        <v>400</v>
      </c>
      <c r="Y38" s="6" t="e">
        <f>X38*U38</f>
        <v>#VALUE!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259</v>
      </c>
      <c r="E39" s="8">
        <f t="shared" ca="1" si="9"/>
        <v>43250</v>
      </c>
      <c r="F39" s="8">
        <f t="shared" ca="1" si="66"/>
        <v>43279</v>
      </c>
      <c r="G39" s="11">
        <v>3450</v>
      </c>
      <c r="H39" s="10">
        <v>29</v>
      </c>
      <c r="I39" s="12">
        <f t="shared" si="67"/>
        <v>7.9452054794520555E-2</v>
      </c>
      <c r="J39" s="12">
        <v>0</v>
      </c>
      <c r="K39" s="116">
        <v>0.18</v>
      </c>
      <c r="L39" s="13" t="e">
        <f>_xll.dnetGBlackScholesNGreeks("price",$Q39,$P39,$G39,$I39,$C$3,$J39,$K39,$C$4)*R39</f>
        <v>#VALUE!</v>
      </c>
      <c r="M39" s="15"/>
      <c r="N39" s="13" t="e">
        <f t="shared" si="68"/>
        <v>#N/A</v>
      </c>
      <c r="O39" s="13" t="e">
        <f t="shared" si="69"/>
        <v>#VALUE!</v>
      </c>
      <c r="P39" s="11" t="e">
        <f>RTD("wdf.rtq",,D39,"LastPrice")</f>
        <v>#N/A</v>
      </c>
      <c r="Q39" s="10" t="s">
        <v>85</v>
      </c>
      <c r="R39" s="10">
        <f t="shared" si="70"/>
        <v>1</v>
      </c>
      <c r="S39" s="10" t="s">
        <v>151</v>
      </c>
      <c r="T39" s="14" t="e">
        <f t="shared" si="71"/>
        <v>#VALUE!</v>
      </c>
      <c r="U39" s="13" t="e">
        <f>_xll.dnetGBlackScholesNGreeks("delta",$Q39,$P39,$G39,$I39,$C$3,$J39,$K39,$C$4)*R39</f>
        <v>#VALUE!</v>
      </c>
      <c r="V39" s="13" t="e">
        <f>_xll.dnetGBlackScholesNGreeks("vega",$Q39,$P39,$G39,$I39,$C$3,$J39,$K39,$C$4)*R39</f>
        <v>#VALUE!</v>
      </c>
      <c r="W39" s="114"/>
      <c r="X39" s="115">
        <v>400</v>
      </c>
      <c r="Y39" s="6" t="e">
        <f>X39*U39</f>
        <v>#VALUE!</v>
      </c>
    </row>
    <row r="40" spans="1:25" ht="10.5" customHeight="1" x14ac:dyDescent="0.15">
      <c r="A40" s="34"/>
      <c r="B40" s="13" t="s">
        <v>172</v>
      </c>
      <c r="C40" s="10" t="s">
        <v>160</v>
      </c>
      <c r="D40" s="10" t="s">
        <v>259</v>
      </c>
      <c r="E40" s="8">
        <f t="shared" ca="1" si="9"/>
        <v>43250</v>
      </c>
      <c r="F40" s="8">
        <f t="shared" ca="1" si="66"/>
        <v>43279</v>
      </c>
      <c r="G40" s="11">
        <v>3500</v>
      </c>
      <c r="H40" s="10">
        <v>29</v>
      </c>
      <c r="I40" s="12">
        <f t="shared" si="67"/>
        <v>7.9452054794520555E-2</v>
      </c>
      <c r="J40" s="12">
        <v>0</v>
      </c>
      <c r="K40" s="116">
        <v>0.18</v>
      </c>
      <c r="L40" s="13" t="e">
        <f>_xll.dnetGBlackScholesNGreeks("price",$Q40,$P40,$G40,$I40,$C$3,$J40,$K40,$C$4)*R40</f>
        <v>#VALUE!</v>
      </c>
      <c r="M40" s="15"/>
      <c r="N40" s="13" t="e">
        <f t="shared" si="68"/>
        <v>#N/A</v>
      </c>
      <c r="O40" s="13" t="e">
        <f t="shared" si="69"/>
        <v>#VALUE!</v>
      </c>
      <c r="P40" s="11" t="e">
        <f>RTD("wdf.rtq",,D40,"LastPrice")</f>
        <v>#N/A</v>
      </c>
      <c r="Q40" s="10" t="s">
        <v>85</v>
      </c>
      <c r="R40" s="10">
        <f t="shared" si="70"/>
        <v>1</v>
      </c>
      <c r="S40" s="10" t="s">
        <v>151</v>
      </c>
      <c r="T40" s="14" t="e">
        <f t="shared" si="71"/>
        <v>#VALUE!</v>
      </c>
      <c r="U40" s="13" t="e">
        <f>_xll.dnetGBlackScholesNGreeks("delta",$Q40,$P40,$G40,$I40,$C$3,$J40,$K40,$C$4)*R40</f>
        <v>#VALUE!</v>
      </c>
      <c r="V40" s="13" t="e">
        <f>_xll.dnetGBlackScholesNGreeks("vega",$Q40,$P40,$G40,$I40,$C$3,$J40,$K40,$C$4)*R40</f>
        <v>#VALUE!</v>
      </c>
      <c r="W40" s="114"/>
      <c r="X40" s="115">
        <v>400</v>
      </c>
      <c r="Y40" s="6" t="e">
        <f>X40*U40</f>
        <v>#VALUE!</v>
      </c>
    </row>
    <row r="42" spans="1:25" ht="10.5" customHeight="1" x14ac:dyDescent="0.15">
      <c r="A42" s="34"/>
      <c r="B42" s="13" t="s">
        <v>172</v>
      </c>
      <c r="C42" s="10" t="s">
        <v>160</v>
      </c>
      <c r="D42" s="10" t="s">
        <v>263</v>
      </c>
      <c r="E42" s="8">
        <f t="shared" ca="1" si="9"/>
        <v>43250</v>
      </c>
      <c r="F42" s="8">
        <f t="shared" ref="F42" ca="1" si="72">E42+H42</f>
        <v>43281</v>
      </c>
      <c r="G42" s="11">
        <v>100</v>
      </c>
      <c r="H42" s="10">
        <v>31</v>
      </c>
      <c r="I42" s="12">
        <f t="shared" ref="I42" si="73">H42/365</f>
        <v>8.4931506849315067E-2</v>
      </c>
      <c r="J42" s="12">
        <v>0</v>
      </c>
      <c r="K42" s="116">
        <v>0.14000000000000001</v>
      </c>
      <c r="L42" s="13">
        <f>_xll.dnetGBlackScholesNGreeks("price",$Q42,$P42,$G42,$I42,$C$3,$J42,$K42,$C$4)*R42</f>
        <v>-1.6248178755542781</v>
      </c>
      <c r="M42" s="15"/>
      <c r="N42" s="13">
        <f t="shared" ref="N42" si="74">M42/10000*I42*P42</f>
        <v>0</v>
      </c>
      <c r="O42" s="13">
        <f t="shared" ref="O42" si="75">IF(L42&lt;=0,ABS(L42)+N42,L42-N42)</f>
        <v>1.6248178755542781</v>
      </c>
      <c r="P42" s="11">
        <v>100</v>
      </c>
      <c r="Q42" s="10" t="s">
        <v>39</v>
      </c>
      <c r="R42" s="10">
        <f t="shared" ref="R42" si="76">IF(S42="中金买入",1,-1)</f>
        <v>-1</v>
      </c>
      <c r="S42" s="10" t="s">
        <v>20</v>
      </c>
      <c r="T42" s="14">
        <f t="shared" ref="T42" si="77">O42/P42</f>
        <v>1.6248178755542783E-2</v>
      </c>
      <c r="U42" s="13">
        <f>_xll.dnetGBlackScholesNGreeks("delta",$Q42,$P42,$G42,$I42,$C$3,$J42,$K42,$C$4)*R42</f>
        <v>-0.50727547083901925</v>
      </c>
      <c r="V42" s="13">
        <f>_xll.dnetGBlackScholesNGreeks("vega",$Q42,$P42,$G42,$I42,$C$3,$J42,$K42,$C$4)*R42</f>
        <v>-0.11604227973412407</v>
      </c>
      <c r="W42" s="114"/>
      <c r="X42" s="115">
        <v>400</v>
      </c>
      <c r="Y42" s="6">
        <f t="shared" ref="Y42:Y47" si="78">X42*U42</f>
        <v>-202.9101883356077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263</v>
      </c>
      <c r="E43" s="8">
        <f t="shared" ca="1" si="9"/>
        <v>43250</v>
      </c>
      <c r="F43" s="8">
        <f t="shared" ref="F43:F44" ca="1" si="79">E43+H43</f>
        <v>43281</v>
      </c>
      <c r="G43" s="11">
        <v>100</v>
      </c>
      <c r="H43" s="10">
        <v>31</v>
      </c>
      <c r="I43" s="12">
        <f t="shared" ref="I43:I44" si="80">H43/365</f>
        <v>8.4931506849315067E-2</v>
      </c>
      <c r="J43" s="12">
        <v>0</v>
      </c>
      <c r="K43" s="116">
        <v>0.2</v>
      </c>
      <c r="L43" s="13">
        <f>_xll.dnetGBlackScholesNGreeks("price",$Q43,$P43,$G43,$I43,$C$3,$J43,$K43,$C$4)*R43</f>
        <v>-2.3210008445530406</v>
      </c>
      <c r="M43" s="15"/>
      <c r="N43" s="13">
        <f t="shared" ref="N43:N44" si="81">M43/10000*I43*P43</f>
        <v>0</v>
      </c>
      <c r="O43" s="13">
        <f t="shared" ref="O43:O44" si="82">IF(L43&lt;=0,ABS(L43)+N43,L43-N43)</f>
        <v>2.3210008445530406</v>
      </c>
      <c r="P43" s="11">
        <v>100</v>
      </c>
      <c r="Q43" s="10" t="s">
        <v>39</v>
      </c>
      <c r="R43" s="10">
        <f t="shared" ref="R43:R44" si="83">IF(S43="中金买入",1,-1)</f>
        <v>-1</v>
      </c>
      <c r="S43" s="10" t="s">
        <v>20</v>
      </c>
      <c r="T43" s="14">
        <f t="shared" ref="T43:T44" si="84">O43/P43</f>
        <v>2.3210008445530405E-2</v>
      </c>
      <c r="U43" s="13">
        <f>_xll.dnetGBlackScholesNGreeks("delta",$Q43,$P43,$G43,$I43,$C$3,$J43,$K43,$C$4)*R43</f>
        <v>-0.51075639300677267</v>
      </c>
      <c r="V43" s="13">
        <f>_xll.dnetGBlackScholesNGreeks("vega",$Q43,$P43,$G43,$I43,$C$3,$J43,$K43,$C$4)*R43</f>
        <v>-0.11601715057671669</v>
      </c>
      <c r="W43" s="114"/>
      <c r="X43" s="115">
        <v>400</v>
      </c>
      <c r="Y43" s="6">
        <f t="shared" si="78"/>
        <v>-204.30255720270907</v>
      </c>
    </row>
    <row r="44" spans="1:25" ht="10.5" customHeight="1" x14ac:dyDescent="0.15">
      <c r="A44" s="34"/>
      <c r="B44" s="13" t="s">
        <v>172</v>
      </c>
      <c r="C44" s="10" t="s">
        <v>160</v>
      </c>
      <c r="D44" s="10" t="s">
        <v>263</v>
      </c>
      <c r="E44" s="8">
        <f t="shared" ca="1" si="9"/>
        <v>43250</v>
      </c>
      <c r="F44" s="8">
        <f t="shared" ca="1" si="79"/>
        <v>43311</v>
      </c>
      <c r="G44" s="11">
        <v>100</v>
      </c>
      <c r="H44" s="10">
        <v>61</v>
      </c>
      <c r="I44" s="12">
        <f t="shared" si="80"/>
        <v>0.16712328767123288</v>
      </c>
      <c r="J44" s="12">
        <v>0</v>
      </c>
      <c r="K44" s="116">
        <v>0.33</v>
      </c>
      <c r="L44" s="13">
        <f>_xll.dnetGBlackScholesNGreeks("price",$Q44,$P44,$G44,$I44,$C$3,$J44,$K44,$C$4)*R44</f>
        <v>-5.3599611443800299</v>
      </c>
      <c r="M44" s="15"/>
      <c r="N44" s="13">
        <f t="shared" si="81"/>
        <v>0</v>
      </c>
      <c r="O44" s="13">
        <f t="shared" si="82"/>
        <v>5.3599611443800299</v>
      </c>
      <c r="P44" s="11">
        <v>100</v>
      </c>
      <c r="Q44" s="10" t="s">
        <v>39</v>
      </c>
      <c r="R44" s="10">
        <f t="shared" si="83"/>
        <v>-1</v>
      </c>
      <c r="S44" s="10" t="s">
        <v>20</v>
      </c>
      <c r="T44" s="14">
        <f t="shared" si="84"/>
        <v>5.35996114438003E-2</v>
      </c>
      <c r="U44" s="13">
        <f>_xll.dnetGBlackScholesNGreeks("delta",$Q44,$P44,$G44,$I44,$C$3,$J44,$K44,$C$4)*R44</f>
        <v>-0.52513135540372957</v>
      </c>
      <c r="V44" s="13">
        <f>_xll.dnetGBlackScholesNGreeks("vega",$Q44,$P44,$G44,$I44,$C$3,$J44,$K44,$C$4)*R44</f>
        <v>-0.16217676403383763</v>
      </c>
      <c r="W44" s="114"/>
      <c r="X44" s="115">
        <v>400</v>
      </c>
      <c r="Y44" s="6">
        <f t="shared" si="78"/>
        <v>-210.05254216149183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263</v>
      </c>
      <c r="E45" s="8">
        <f t="shared" ca="1" si="9"/>
        <v>43250</v>
      </c>
      <c r="F45" s="8">
        <f t="shared" ref="F45:F46" ca="1" si="85">E45+H45</f>
        <v>43329</v>
      </c>
      <c r="G45" s="11">
        <v>100</v>
      </c>
      <c r="H45" s="10">
        <v>79</v>
      </c>
      <c r="I45" s="12">
        <f t="shared" ref="I45:I46" si="86">H45/365</f>
        <v>0.21643835616438356</v>
      </c>
      <c r="J45" s="12">
        <v>0</v>
      </c>
      <c r="K45" s="116">
        <v>0.28999999999999998</v>
      </c>
      <c r="L45" s="13">
        <f>_xll.dnetGBlackScholesNGreeks("price",$Q45,$P45,$G45,$I45,$C$3,$J45,$K45,$C$4)*R45</f>
        <v>-5.3550796250769608</v>
      </c>
      <c r="M45" s="15"/>
      <c r="N45" s="13">
        <f t="shared" ref="N45:N46" si="87">M45/10000*I45*P45</f>
        <v>0</v>
      </c>
      <c r="O45" s="13">
        <f t="shared" ref="O45:O46" si="88">IF(L45&lt;=0,ABS(L45)+N45,L45-N45)</f>
        <v>5.3550796250769608</v>
      </c>
      <c r="P45" s="11">
        <v>100</v>
      </c>
      <c r="Q45" s="10" t="s">
        <v>39</v>
      </c>
      <c r="R45" s="10">
        <f t="shared" ref="R45:R46" si="89">IF(S45="中金买入",1,-1)</f>
        <v>-1</v>
      </c>
      <c r="S45" s="10" t="s">
        <v>20</v>
      </c>
      <c r="T45" s="14">
        <f t="shared" ref="T45:T46" si="90">O45/P45</f>
        <v>5.3550796250769611E-2</v>
      </c>
      <c r="U45" s="13">
        <f>_xll.dnetGBlackScholesNGreeks("delta",$Q45,$P45,$G45,$I45,$C$3,$J45,$K45,$C$4)*R45</f>
        <v>-0.52461568502515377</v>
      </c>
      <c r="V45" s="13">
        <f>_xll.dnetGBlackScholesNGreeks("vega",$Q45,$P45,$G45,$I45,$C$3,$J45,$K45,$C$4)*R45</f>
        <v>-0.18437782004841807</v>
      </c>
      <c r="W45" s="114"/>
      <c r="X45" s="115">
        <v>400</v>
      </c>
      <c r="Y45" s="6">
        <f t="shared" si="78"/>
        <v>-209.84627401006151</v>
      </c>
    </row>
    <row r="46" spans="1:25" ht="10.5" customHeight="1" x14ac:dyDescent="0.15">
      <c r="A46" s="34"/>
      <c r="B46" s="13" t="s">
        <v>172</v>
      </c>
      <c r="C46" s="10" t="s">
        <v>160</v>
      </c>
      <c r="D46" s="10" t="s">
        <v>263</v>
      </c>
      <c r="E46" s="8">
        <f t="shared" ca="1" si="9"/>
        <v>43250</v>
      </c>
      <c r="F46" s="8">
        <f t="shared" ca="1" si="85"/>
        <v>43281</v>
      </c>
      <c r="G46" s="11">
        <v>100</v>
      </c>
      <c r="H46" s="10">
        <v>31</v>
      </c>
      <c r="I46" s="12">
        <f t="shared" si="86"/>
        <v>8.4931506849315067E-2</v>
      </c>
      <c r="J46" s="12">
        <v>0</v>
      </c>
      <c r="K46" s="116">
        <v>0.35299999999999998</v>
      </c>
      <c r="L46" s="13">
        <f>_xll.dnetGBlackScholesNGreeks("price",$Q46,$P46,$G46,$I46,$C$3,$J46,$K46,$C$4)*R46</f>
        <v>-4.0953403847968275</v>
      </c>
      <c r="M46" s="15"/>
      <c r="N46" s="13">
        <f t="shared" si="87"/>
        <v>0</v>
      </c>
      <c r="O46" s="13">
        <f t="shared" si="88"/>
        <v>4.0953403847968275</v>
      </c>
      <c r="P46" s="11">
        <v>100</v>
      </c>
      <c r="Q46" s="10" t="s">
        <v>39</v>
      </c>
      <c r="R46" s="10">
        <f t="shared" si="89"/>
        <v>-1</v>
      </c>
      <c r="S46" s="10" t="s">
        <v>20</v>
      </c>
      <c r="T46" s="14">
        <f t="shared" si="90"/>
        <v>4.0953403847968278E-2</v>
      </c>
      <c r="U46" s="13">
        <f>_xll.dnetGBlackScholesNGreeks("delta",$Q46,$P46,$G46,$I46,$C$3,$J46,$K46,$C$4)*R46</f>
        <v>-0.51962809811776367</v>
      </c>
      <c r="V46" s="13">
        <f>_xll.dnetGBlackScholesNGreeks("vega",$Q46,$P46,$G46,$I46,$C$3,$J46,$K46,$C$4)*R46</f>
        <v>-0.11591298547194029</v>
      </c>
      <c r="W46" s="114"/>
      <c r="X46" s="115">
        <v>400</v>
      </c>
      <c r="Y46" s="6">
        <f t="shared" si="78"/>
        <v>-207.85123924710547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263</v>
      </c>
      <c r="E47" s="8">
        <f t="shared" ca="1" si="9"/>
        <v>43250</v>
      </c>
      <c r="F47" s="8">
        <f t="shared" ref="F47" ca="1" si="91">E47+H47</f>
        <v>43329</v>
      </c>
      <c r="G47" s="11">
        <v>500</v>
      </c>
      <c r="H47" s="10">
        <v>79</v>
      </c>
      <c r="I47" s="12">
        <f t="shared" ref="I47" si="92">H47/365</f>
        <v>0.21643835616438356</v>
      </c>
      <c r="J47" s="12">
        <v>0</v>
      </c>
      <c r="K47" s="116">
        <v>0.29299999999999998</v>
      </c>
      <c r="L47" s="13">
        <f>_xll.dnetGBlackScholesNGreeks("price",$Q47,$P47,$G47,$I47,$C$3,$J47,$K47,$C$4)*R47</f>
        <v>0</v>
      </c>
      <c r="M47" s="15"/>
      <c r="N47" s="13">
        <f t="shared" ref="N47" si="93">M47/10000*I47*P47</f>
        <v>0</v>
      </c>
      <c r="O47" s="13">
        <f t="shared" ref="O47" si="94">IF(L47&lt;=0,ABS(L47)+N47,L47-N47)</f>
        <v>0</v>
      </c>
      <c r="P47" s="11">
        <f>RTD("wdf.rtq",,D47,"LastPrice")</f>
        <v>0</v>
      </c>
      <c r="Q47" s="10" t="s">
        <v>39</v>
      </c>
      <c r="R47" s="10">
        <f t="shared" ref="R47" si="95">IF(S47="中金买入",1,-1)</f>
        <v>-1</v>
      </c>
      <c r="S47" s="10" t="s">
        <v>20</v>
      </c>
      <c r="T47" s="14" t="e">
        <f t="shared" ref="T47" si="96">O47/P47</f>
        <v>#DIV/0!</v>
      </c>
      <c r="U47" s="13" t="e">
        <f>_xll.dnetGBlackScholesNGreeks("delta",$Q47,$P47,$G47,$I47,$C$3,$J47,$K47,$C$4)*R47</f>
        <v>#VALUE!</v>
      </c>
      <c r="V47" s="13">
        <f>_xll.dnetGBlackScholesNGreeks("vega",$Q47,$P47,$G47,$I47,$C$3,$J47,$K47,$C$4)*R47</f>
        <v>0</v>
      </c>
      <c r="W47" s="114"/>
      <c r="X47" s="115">
        <v>400</v>
      </c>
      <c r="Y47" s="6" t="e">
        <f t="shared" si="78"/>
        <v>#VALUE!</v>
      </c>
    </row>
    <row r="48" spans="1:25" ht="10.5" customHeight="1" x14ac:dyDescent="0.15">
      <c r="A48" s="34"/>
      <c r="B48" s="13"/>
      <c r="C48" s="10"/>
      <c r="D48" s="10"/>
      <c r="E48" s="8"/>
      <c r="F48" s="8"/>
      <c r="G48" s="11"/>
      <c r="H48" s="10"/>
      <c r="I48" s="12"/>
      <c r="J48" s="12"/>
      <c r="K48" s="116"/>
      <c r="L48" s="13"/>
      <c r="M48" s="15"/>
      <c r="N48" s="13"/>
      <c r="O48" s="13"/>
      <c r="P48" s="11"/>
      <c r="Q48" s="10"/>
      <c r="R48" s="10"/>
      <c r="S48" s="10"/>
      <c r="T48" s="14"/>
      <c r="U48" s="13"/>
      <c r="V48" s="13"/>
      <c r="W48" s="114"/>
      <c r="X48" s="115"/>
    </row>
    <row r="49" spans="1:25" ht="10.5" customHeight="1" x14ac:dyDescent="0.15">
      <c r="A49" s="34"/>
      <c r="B49" s="13" t="s">
        <v>172</v>
      </c>
      <c r="C49" s="10" t="s">
        <v>160</v>
      </c>
      <c r="D49" s="10" t="s">
        <v>264</v>
      </c>
      <c r="E49" s="8">
        <f t="shared" ca="1" si="9"/>
        <v>43250</v>
      </c>
      <c r="F49" s="8">
        <f t="shared" ref="F49" ca="1" si="97">E49+H49</f>
        <v>43251</v>
      </c>
      <c r="G49" s="11">
        <v>3500</v>
      </c>
      <c r="H49" s="10">
        <v>1</v>
      </c>
      <c r="I49" s="12">
        <f t="shared" ref="I49" si="98">H49/365</f>
        <v>2.7397260273972603E-3</v>
      </c>
      <c r="J49" s="12">
        <v>0</v>
      </c>
      <c r="K49" s="116">
        <v>0.18</v>
      </c>
      <c r="L49" s="13">
        <f>_xll.dnetGBlackScholesNGreeks("price",$Q49,$P49,$G49,$I49,$C$3,$J49,$K49,$C$4)*R49</f>
        <v>3499.8082244322554</v>
      </c>
      <c r="M49" s="15"/>
      <c r="N49" s="13">
        <f t="shared" ref="N49" si="99">M49/10000*I49*P49</f>
        <v>0</v>
      </c>
      <c r="O49" s="13">
        <f t="shared" ref="O49" si="100">IF(L49&lt;=0,ABS(L49)+N49,L49-N49)</f>
        <v>3499.8082244322554</v>
      </c>
      <c r="P49" s="11">
        <f>RTD("wdf.rtq",,D49,"LastPrice")</f>
        <v>0</v>
      </c>
      <c r="Q49" s="10" t="s">
        <v>85</v>
      </c>
      <c r="R49" s="10">
        <f t="shared" ref="R49" si="101">IF(S49="中金买入",1,-1)</f>
        <v>1</v>
      </c>
      <c r="S49" s="10" t="s">
        <v>151</v>
      </c>
      <c r="T49" s="14" t="e">
        <f t="shared" ref="T49" si="102">O49/P49</f>
        <v>#DIV/0!</v>
      </c>
      <c r="U49" s="13" t="e">
        <f>_xll.dnetGBlackScholesNGreeks("delta",$Q49,$P49,$G49,$I49,$C$3,$J49,$K49,$C$4)*R49</f>
        <v>#VALUE!</v>
      </c>
      <c r="V49" s="13">
        <f>_xll.dnetGBlackScholesNGreeks("vega",$Q49,$P49,$G49,$I49,$C$3,$J49,$K49,$C$4)*R49</f>
        <v>0</v>
      </c>
      <c r="W49" s="114"/>
      <c r="X49" s="115">
        <v>400</v>
      </c>
      <c r="Y49" s="6" t="e">
        <f>X49*U49</f>
        <v>#VALUE!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264</v>
      </c>
      <c r="E52" s="8">
        <f t="shared" ref="E52:E71" ca="1" si="103">TODAY()</f>
        <v>43250</v>
      </c>
      <c r="F52" s="8">
        <f t="shared" ref="F52:F55" ca="1" si="104">E52+H52</f>
        <v>43280</v>
      </c>
      <c r="G52" s="11">
        <v>3500</v>
      </c>
      <c r="H52" s="10">
        <v>30</v>
      </c>
      <c r="I52" s="12">
        <f t="shared" ref="I52:I55" si="105">H52/365</f>
        <v>8.2191780821917804E-2</v>
      </c>
      <c r="J52" s="12">
        <v>0</v>
      </c>
      <c r="K52" s="116">
        <v>0.18</v>
      </c>
      <c r="L52" s="13">
        <f>_xll.dnetGBlackScholesNGreeks("price",$Q52,$P52,$G52,$I52,$C$3,$J52,$K52,$C$4)*R52</f>
        <v>96.164182921139854</v>
      </c>
      <c r="M52" s="15"/>
      <c r="N52" s="13">
        <f t="shared" ref="N52:N55" si="106">M52/10000*I52*P52</f>
        <v>0</v>
      </c>
      <c r="O52" s="13">
        <f t="shared" ref="O52:O55" si="107">IF(L52&lt;=0,ABS(L52)+N52,L52-N52)</f>
        <v>96.164182921139854</v>
      </c>
      <c r="P52" s="11">
        <v>3455</v>
      </c>
      <c r="Q52" s="10" t="s">
        <v>85</v>
      </c>
      <c r="R52" s="10">
        <f t="shared" ref="R52:R55" si="108">IF(S52="中金买入",1,-1)</f>
        <v>1</v>
      </c>
      <c r="S52" s="10" t="s">
        <v>151</v>
      </c>
      <c r="T52" s="14">
        <f t="shared" ref="T52:T55" si="109">O52/P52</f>
        <v>2.7833338037956543E-2</v>
      </c>
      <c r="U52" s="13">
        <f>_xll.dnetGBlackScholesNGreeks("delta",$Q52,$P52,$G52,$I52,$C$3,$J52,$K52,$C$4)*R52</f>
        <v>-0.58802798674832957</v>
      </c>
      <c r="V52" s="13">
        <f>_xll.dnetGBlackScholesNGreeks("vega",$Q52,$P52,$G52,$I52,$C$3,$J52,$K52,$C$4)*R52</f>
        <v>3.8461616398250271</v>
      </c>
      <c r="W52" s="114"/>
      <c r="X52" s="115">
        <v>400</v>
      </c>
      <c r="Y52" s="6">
        <f>X52*U52</f>
        <v>-235.21119469933183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264</v>
      </c>
      <c r="E53" s="8">
        <f t="shared" ca="1" si="103"/>
        <v>43250</v>
      </c>
      <c r="F53" s="8">
        <f t="shared" ca="1" si="104"/>
        <v>43253</v>
      </c>
      <c r="G53" s="11">
        <v>3500</v>
      </c>
      <c r="H53" s="10">
        <v>3</v>
      </c>
      <c r="I53" s="12">
        <f t="shared" si="105"/>
        <v>8.21917808219178E-3</v>
      </c>
      <c r="J53" s="12">
        <v>0</v>
      </c>
      <c r="K53" s="116">
        <v>0.18</v>
      </c>
      <c r="L53" s="13">
        <f>_xll.dnetGBlackScholesNGreeks("price",$Q53,$P53,$G53,$I53,$C$3,$J53,$K53,$C$4)*R53</f>
        <v>51.897508079609906</v>
      </c>
      <c r="M53" s="15"/>
      <c r="N53" s="13">
        <f t="shared" si="106"/>
        <v>0</v>
      </c>
      <c r="O53" s="13">
        <f t="shared" si="107"/>
        <v>51.897508079609906</v>
      </c>
      <c r="P53" s="11">
        <v>3455</v>
      </c>
      <c r="Q53" s="10" t="s">
        <v>85</v>
      </c>
      <c r="R53" s="10">
        <f t="shared" si="108"/>
        <v>1</v>
      </c>
      <c r="S53" s="10" t="s">
        <v>151</v>
      </c>
      <c r="T53" s="14">
        <f t="shared" si="109"/>
        <v>1.5020986419568713E-2</v>
      </c>
      <c r="U53" s="13">
        <f>_xll.dnetGBlackScholesNGreeks("delta",$Q53,$P53,$G53,$I53,$C$3,$J53,$K53,$C$4)*R53</f>
        <v>-0.78359314570661809</v>
      </c>
      <c r="V53" s="13">
        <f>_xll.dnetGBlackScholesNGreeks("vega",$Q53,$P53,$G53,$I53,$C$3,$J53,$K53,$C$4)*R53</f>
        <v>0.91751940353401551</v>
      </c>
      <c r="W53" s="114"/>
      <c r="X53" s="115">
        <v>400</v>
      </c>
      <c r="Y53" s="6">
        <f>X53*U53</f>
        <v>-313.43725828264724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264</v>
      </c>
      <c r="E54" s="8">
        <f t="shared" ca="1" si="103"/>
        <v>43250</v>
      </c>
      <c r="F54" s="8">
        <f t="shared" ca="1" si="104"/>
        <v>43253</v>
      </c>
      <c r="G54" s="11">
        <v>3500</v>
      </c>
      <c r="H54" s="10">
        <v>3</v>
      </c>
      <c r="I54" s="12">
        <f t="shared" si="105"/>
        <v>8.21917808219178E-3</v>
      </c>
      <c r="J54" s="12">
        <v>0</v>
      </c>
      <c r="K54" s="116">
        <v>0.18</v>
      </c>
      <c r="L54" s="13">
        <f>_xll.dnetGBlackScholesNGreeks("price",$Q54,$P54,$G54,$I54,$C$3,$J54,$K54,$C$4)*R54</f>
        <v>51.897508079609906</v>
      </c>
      <c r="M54" s="15"/>
      <c r="N54" s="13">
        <f t="shared" si="106"/>
        <v>0</v>
      </c>
      <c r="O54" s="13">
        <f t="shared" si="107"/>
        <v>51.897508079609906</v>
      </c>
      <c r="P54" s="11">
        <v>3455</v>
      </c>
      <c r="Q54" s="10" t="s">
        <v>85</v>
      </c>
      <c r="R54" s="10">
        <f t="shared" si="108"/>
        <v>1</v>
      </c>
      <c r="S54" s="10" t="s">
        <v>151</v>
      </c>
      <c r="T54" s="14">
        <f t="shared" si="109"/>
        <v>1.5020986419568713E-2</v>
      </c>
      <c r="U54" s="13">
        <f>_xll.dnetGBlackScholesNGreeks("delta",$Q54,$P54,$G54,$I54,$C$3,$J54,$K54,$C$4)*R54</f>
        <v>-0.78359314570661809</v>
      </c>
      <c r="V54" s="13">
        <f>_xll.dnetGBlackScholesNGreeks("vega",$Q54,$P54,$G54,$I54,$C$3,$J54,$K54,$C$4)*R54</f>
        <v>0.91751940353401551</v>
      </c>
      <c r="W54" s="114"/>
      <c r="X54" s="115">
        <v>400</v>
      </c>
      <c r="Y54" s="6">
        <f>X54*U54</f>
        <v>-313.43725828264724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264</v>
      </c>
      <c r="E55" s="8">
        <f t="shared" ca="1" si="103"/>
        <v>43250</v>
      </c>
      <c r="F55" s="8">
        <f t="shared" ca="1" si="104"/>
        <v>43253</v>
      </c>
      <c r="G55" s="11">
        <v>3500</v>
      </c>
      <c r="H55" s="10">
        <v>3</v>
      </c>
      <c r="I55" s="12">
        <f t="shared" si="105"/>
        <v>8.21917808219178E-3</v>
      </c>
      <c r="J55" s="12">
        <v>0</v>
      </c>
      <c r="K55" s="116">
        <v>0.18</v>
      </c>
      <c r="L55" s="13">
        <f>_xll.dnetGBlackScholesNGreeks("price",$Q55,$P55,$G55,$I55,$C$3,$J55,$K55,$C$4)*R55</f>
        <v>51.897508079609906</v>
      </c>
      <c r="M55" s="15"/>
      <c r="N55" s="13">
        <f t="shared" si="106"/>
        <v>0</v>
      </c>
      <c r="O55" s="13">
        <f t="shared" si="107"/>
        <v>51.897508079609906</v>
      </c>
      <c r="P55" s="11">
        <v>3455</v>
      </c>
      <c r="Q55" s="10" t="s">
        <v>85</v>
      </c>
      <c r="R55" s="10">
        <f t="shared" si="108"/>
        <v>1</v>
      </c>
      <c r="S55" s="10" t="s">
        <v>151</v>
      </c>
      <c r="T55" s="14">
        <f t="shared" si="109"/>
        <v>1.5020986419568713E-2</v>
      </c>
      <c r="U55" s="13">
        <f>_xll.dnetGBlackScholesNGreeks("delta",$Q55,$P55,$G55,$I55,$C$3,$J55,$K55,$C$4)*R55</f>
        <v>-0.78359314570661809</v>
      </c>
      <c r="V55" s="13">
        <f>_xll.dnetGBlackScholesNGreeks("vega",$Q55,$P55,$G55,$I55,$C$3,$J55,$K55,$C$4)*R55</f>
        <v>0.91751940353401551</v>
      </c>
      <c r="W55" s="114"/>
      <c r="X55" s="115">
        <v>400</v>
      </c>
      <c r="Y55" s="6">
        <f>X55*U55</f>
        <v>-313.43725828264724</v>
      </c>
    </row>
    <row r="57" spans="1:25" ht="10.5" customHeight="1" x14ac:dyDescent="0.15">
      <c r="A57" s="34"/>
      <c r="B57" s="13" t="s">
        <v>172</v>
      </c>
      <c r="C57" s="10" t="s">
        <v>160</v>
      </c>
      <c r="D57" s="10" t="s">
        <v>269</v>
      </c>
      <c r="E57" s="8">
        <f t="shared" ca="1" si="103"/>
        <v>43250</v>
      </c>
      <c r="F57" s="8">
        <f t="shared" ref="F57:F58" ca="1" si="110">E57+H57</f>
        <v>43280</v>
      </c>
      <c r="G57" s="11">
        <v>49500</v>
      </c>
      <c r="H57" s="10">
        <v>30</v>
      </c>
      <c r="I57" s="12">
        <f t="shared" ref="I57:I58" si="111">H57/365</f>
        <v>8.2191780821917804E-2</v>
      </c>
      <c r="J57" s="12">
        <v>0</v>
      </c>
      <c r="K57" s="116">
        <v>0.12</v>
      </c>
      <c r="L57" s="13">
        <f>_xll.dnetGBlackScholesNGreeks("price",$Q57,$P57,$G57,$I57,$C$3,$J57,$K57,$C$4)*R57</f>
        <v>171.01217245503904</v>
      </c>
      <c r="M57" s="15">
        <v>30</v>
      </c>
      <c r="N57" s="13">
        <f t="shared" ref="N57:N58" si="112">M57/10000*I57*P57</f>
        <v>12.592602739726027</v>
      </c>
      <c r="O57" s="13">
        <f t="shared" ref="O57:O58" si="113">IF(L57&lt;=0,ABS(L57)+N57,L57-N57)</f>
        <v>158.419569715313</v>
      </c>
      <c r="P57" s="11">
        <v>51070</v>
      </c>
      <c r="Q57" s="10" t="s">
        <v>85</v>
      </c>
      <c r="R57" s="10">
        <f t="shared" ref="R57:R58" si="114">IF(S57="中金买入",1,-1)</f>
        <v>1</v>
      </c>
      <c r="S57" s="10" t="s">
        <v>151</v>
      </c>
      <c r="T57" s="14">
        <f t="shared" ref="T57:T58" si="115">O57/P57</f>
        <v>3.1020084142414921E-3</v>
      </c>
      <c r="U57" s="13">
        <f>_xll.dnetGBlackScholesNGreeks("delta",$Q57,$P57,$G57,$I57,$C$3,$J57,$K57,$C$4)*R57</f>
        <v>-0.17723943965393119</v>
      </c>
      <c r="V57" s="13">
        <f>_xll.dnetGBlackScholesNGreeks("vega",$Q57,$P57,$G57,$I57,$C$3,$J57,$K57,$C$4)*R57</f>
        <v>37.944601746021362</v>
      </c>
      <c r="W57" s="114"/>
      <c r="X57" s="115">
        <v>400</v>
      </c>
      <c r="Y57" s="6">
        <f>X57*U57</f>
        <v>-70.895775861572474</v>
      </c>
    </row>
    <row r="58" spans="1:25" ht="10.5" customHeight="1" x14ac:dyDescent="0.15">
      <c r="A58" s="34"/>
      <c r="B58" s="13" t="s">
        <v>172</v>
      </c>
      <c r="C58" s="10" t="s">
        <v>160</v>
      </c>
      <c r="D58" s="10" t="s">
        <v>269</v>
      </c>
      <c r="E58" s="8">
        <f t="shared" ca="1" si="103"/>
        <v>43250</v>
      </c>
      <c r="F58" s="8">
        <f t="shared" ca="1" si="110"/>
        <v>43277</v>
      </c>
      <c r="G58" s="11">
        <v>49500</v>
      </c>
      <c r="H58" s="10">
        <v>27</v>
      </c>
      <c r="I58" s="12">
        <f t="shared" si="111"/>
        <v>7.3972602739726029E-2</v>
      </c>
      <c r="J58" s="12">
        <v>0</v>
      </c>
      <c r="K58" s="116">
        <v>0.12</v>
      </c>
      <c r="L58" s="13">
        <f>_xll.dnetGBlackScholesNGreeks("price",$Q58,$P58,$G58,$I58,$C$3,$J58,$K58,$C$4)*R58</f>
        <v>172.73881579880072</v>
      </c>
      <c r="M58" s="15">
        <v>30</v>
      </c>
      <c r="N58" s="13">
        <f t="shared" si="112"/>
        <v>11.302273972602741</v>
      </c>
      <c r="O58" s="13">
        <f t="shared" si="113"/>
        <v>161.43654182619798</v>
      </c>
      <c r="P58" s="11">
        <f>RTD("wdf.rtq",,D58,"LastPrice")</f>
        <v>50930</v>
      </c>
      <c r="Q58" s="10" t="s">
        <v>85</v>
      </c>
      <c r="R58" s="10">
        <f t="shared" si="114"/>
        <v>1</v>
      </c>
      <c r="S58" s="10" t="s">
        <v>151</v>
      </c>
      <c r="T58" s="14">
        <f t="shared" si="115"/>
        <v>3.169773057651639E-3</v>
      </c>
      <c r="U58" s="13">
        <f>_xll.dnetGBlackScholesNGreeks("delta",$Q58,$P58,$G58,$I58,$C$3,$J58,$K58,$C$4)*R58</f>
        <v>-0.18674687835300574</v>
      </c>
      <c r="V58" s="13">
        <f>_xll.dnetGBlackScholesNGreeks("vega",$Q58,$P58,$G58,$I58,$C$3,$J58,$K58,$C$4)*R58</f>
        <v>37.096448419459193</v>
      </c>
      <c r="W58" s="114"/>
      <c r="X58" s="115">
        <v>400</v>
      </c>
      <c r="Y58" s="6">
        <f>X58*U58</f>
        <v>-74.698751341202296</v>
      </c>
    </row>
    <row r="60" spans="1:25" ht="10.5" customHeight="1" x14ac:dyDescent="0.15">
      <c r="A60" s="34"/>
      <c r="B60" s="13" t="s">
        <v>172</v>
      </c>
      <c r="C60" s="10" t="s">
        <v>160</v>
      </c>
      <c r="D60" s="10" t="s">
        <v>270</v>
      </c>
      <c r="E60" s="8">
        <f t="shared" ca="1" si="103"/>
        <v>43250</v>
      </c>
      <c r="F60" s="8">
        <f t="shared" ref="F60:F61" ca="1" si="116">E60+H60</f>
        <v>43281</v>
      </c>
      <c r="G60" s="11">
        <v>495</v>
      </c>
      <c r="H60" s="10">
        <v>31</v>
      </c>
      <c r="I60" s="12">
        <f t="shared" ref="I60:I61" si="117">H60/365</f>
        <v>8.4931506849315067E-2</v>
      </c>
      <c r="J60" s="12">
        <v>0</v>
      </c>
      <c r="K60" s="116">
        <v>0.27500000000000002</v>
      </c>
      <c r="L60" s="13">
        <f>_xll.dnetGBlackScholesNGreeks("price",$Q60,$P60,$G60,$I60,$C$3,$J60,$K60,$C$4)*R60</f>
        <v>3.7281121224938403</v>
      </c>
      <c r="M60" s="15"/>
      <c r="N60" s="13">
        <f t="shared" ref="N60:N61" si="118">M60/10000*I60*P60</f>
        <v>0</v>
      </c>
      <c r="O60" s="13">
        <f t="shared" ref="O60:O61" si="119">IF(L60&lt;=0,ABS(L60)+N60,L60-N60)</f>
        <v>3.7281121224938403</v>
      </c>
      <c r="P60" s="11">
        <v>460</v>
      </c>
      <c r="Q60" s="10" t="s">
        <v>39</v>
      </c>
      <c r="R60" s="10">
        <f t="shared" ref="R60:R61" si="120">IF(S60="中金买入",1,-1)</f>
        <v>1</v>
      </c>
      <c r="S60" s="10" t="s">
        <v>151</v>
      </c>
      <c r="T60" s="14">
        <f t="shared" ref="T60:T61" si="121">O60/P60</f>
        <v>8.104591570638784E-3</v>
      </c>
      <c r="U60" s="13">
        <f>_xll.dnetGBlackScholesNGreeks("delta",$Q60,$P60,$G60,$I60,$C$3,$J60,$K60,$C$4)*R60</f>
        <v>0.19048202664535552</v>
      </c>
      <c r="V60" s="13">
        <f>_xll.dnetGBlackScholesNGreeks("vega",$Q60,$P60,$G60,$I60,$C$3,$J60,$K60,$C$4)*R60</f>
        <v>0.36396854316031835</v>
      </c>
      <c r="W60" s="114"/>
      <c r="X60" s="115">
        <v>400</v>
      </c>
      <c r="Y60" s="6">
        <f>X60*U60</f>
        <v>76.192810658142207</v>
      </c>
    </row>
    <row r="61" spans="1:25" ht="10.5" customHeight="1" x14ac:dyDescent="0.15">
      <c r="A61" s="34"/>
      <c r="B61" s="13" t="s">
        <v>172</v>
      </c>
      <c r="C61" s="10" t="s">
        <v>160</v>
      </c>
      <c r="D61" s="10" t="s">
        <v>270</v>
      </c>
      <c r="E61" s="8">
        <f t="shared" ca="1" si="103"/>
        <v>43250</v>
      </c>
      <c r="F61" s="8">
        <f t="shared" ca="1" si="116"/>
        <v>43281</v>
      </c>
      <c r="G61" s="11">
        <v>500</v>
      </c>
      <c r="H61" s="10">
        <v>31</v>
      </c>
      <c r="I61" s="12">
        <f t="shared" si="117"/>
        <v>8.4931506849315067E-2</v>
      </c>
      <c r="J61" s="12">
        <v>0</v>
      </c>
      <c r="K61" s="116">
        <v>0.26</v>
      </c>
      <c r="L61" s="13">
        <f>_xll.dnetGBlackScholesNGreeks("price",$Q61,$P61,$G61,$I61,$C$3,$J61,$K61,$C$4)*R61</f>
        <v>2.4860394008728051</v>
      </c>
      <c r="M61" s="15"/>
      <c r="N61" s="13">
        <f t="shared" si="118"/>
        <v>0</v>
      </c>
      <c r="O61" s="13">
        <f t="shared" si="119"/>
        <v>2.4860394008728051</v>
      </c>
      <c r="P61" s="11">
        <v>460</v>
      </c>
      <c r="Q61" s="10" t="s">
        <v>39</v>
      </c>
      <c r="R61" s="10">
        <f t="shared" si="120"/>
        <v>1</v>
      </c>
      <c r="S61" s="10" t="s">
        <v>151</v>
      </c>
      <c r="T61" s="14">
        <f t="shared" si="121"/>
        <v>5.4044334801582718E-3</v>
      </c>
      <c r="U61" s="13">
        <f>_xll.dnetGBlackScholesNGreeks("delta",$Q61,$P61,$G61,$I61,$C$3,$J61,$K61,$C$4)*R61</f>
        <v>0.14374994525425677</v>
      </c>
      <c r="V61" s="13">
        <f>_xll.dnetGBlackScholesNGreeks("vega",$Q61,$P61,$G61,$I61,$C$3,$J61,$K61,$C$4)*R61</f>
        <v>0.30343996845244092</v>
      </c>
      <c r="W61" s="114"/>
      <c r="X61" s="115">
        <v>400</v>
      </c>
      <c r="Y61" s="6">
        <f>X61*U61</f>
        <v>57.499978101702709</v>
      </c>
    </row>
    <row r="63" spans="1:25" ht="10.5" customHeight="1" x14ac:dyDescent="0.15">
      <c r="A63" s="34"/>
      <c r="B63" s="13" t="s">
        <v>172</v>
      </c>
      <c r="C63" s="10" t="s">
        <v>160</v>
      </c>
      <c r="D63" s="10" t="s">
        <v>271</v>
      </c>
      <c r="E63" s="8">
        <f t="shared" ca="1" si="103"/>
        <v>43250</v>
      </c>
      <c r="F63" s="8">
        <f t="shared" ref="F63" ca="1" si="122">E63+H63</f>
        <v>43372</v>
      </c>
      <c r="G63" s="11">
        <v>100</v>
      </c>
      <c r="H63" s="10">
        <v>122</v>
      </c>
      <c r="I63" s="12">
        <f t="shared" ref="I63" si="123">H63/365</f>
        <v>0.33424657534246577</v>
      </c>
      <c r="J63" s="12">
        <v>0</v>
      </c>
      <c r="K63" s="116">
        <v>0.1125</v>
      </c>
      <c r="L63" s="13">
        <f>_xll.dnetGBlackScholesNGreeks("price",$Q63,$P63,$G63,$I63,$C$3,$J63,$K63,$C$4)*R63</f>
        <v>-2.5770111518076675</v>
      </c>
      <c r="M63" s="15"/>
      <c r="N63" s="13">
        <f t="shared" ref="N63" si="124">M63/10000*I63*P63</f>
        <v>0</v>
      </c>
      <c r="O63" s="13">
        <f t="shared" ref="O63" si="125">IF(L63&lt;=0,ABS(L63)+N63,L63-N63)</f>
        <v>2.5770111518076675</v>
      </c>
      <c r="P63" s="11">
        <v>100</v>
      </c>
      <c r="Q63" s="10" t="s">
        <v>85</v>
      </c>
      <c r="R63" s="10">
        <f t="shared" ref="R63" si="126">IF(S63="中金买入",1,-1)</f>
        <v>-1</v>
      </c>
      <c r="S63" s="10" t="s">
        <v>20</v>
      </c>
      <c r="T63" s="14">
        <f t="shared" ref="T63" si="127">O63/P63</f>
        <v>2.5770111518076674E-2</v>
      </c>
      <c r="U63" s="13">
        <f>_xll.dnetGBlackScholesNGreeks("delta",$Q63,$P63,$G63,$I63,$C$3,$J63,$K63,$C$4)*R63</f>
        <v>0.48378364093615289</v>
      </c>
      <c r="V63" s="13">
        <f>_xll.dnetGBlackScholesNGreeks("vega",$Q63,$P63,$G63,$I63,$C$3,$J63,$K63,$C$4)*R63</f>
        <v>-0.22898659852072001</v>
      </c>
      <c r="W63" s="114"/>
      <c r="X63" s="115">
        <v>400</v>
      </c>
      <c r="Y63" s="6">
        <f>X63*U63</f>
        <v>193.51345637446116</v>
      </c>
    </row>
    <row r="64" spans="1:25" ht="10.5" customHeight="1" x14ac:dyDescent="0.15">
      <c r="A64" s="34"/>
      <c r="B64" s="13" t="s">
        <v>172</v>
      </c>
      <c r="C64" s="10" t="s">
        <v>160</v>
      </c>
      <c r="D64" s="10" t="s">
        <v>271</v>
      </c>
      <c r="E64" s="8">
        <f t="shared" ca="1" si="103"/>
        <v>43250</v>
      </c>
      <c r="F64" s="8">
        <f t="shared" ref="F64" ca="1" si="128">E64+H64</f>
        <v>43372</v>
      </c>
      <c r="G64" s="11">
        <v>100</v>
      </c>
      <c r="H64" s="10">
        <v>122</v>
      </c>
      <c r="I64" s="12">
        <f t="shared" ref="I64" si="129">H64/365</f>
        <v>0.33424657534246577</v>
      </c>
      <c r="J64" s="12">
        <v>0</v>
      </c>
      <c r="K64" s="116">
        <v>0.115</v>
      </c>
      <c r="L64" s="13">
        <f>_xll.dnetGBlackScholesNGreeks("price",$Q64,$P64,$G64,$I64,$C$3,$J64,$K64,$C$4)*R64</f>
        <v>-2.6342572034049425</v>
      </c>
      <c r="M64" s="15"/>
      <c r="N64" s="13">
        <f t="shared" ref="N64" si="130">M64/10000*I64*P64</f>
        <v>0</v>
      </c>
      <c r="O64" s="13">
        <f t="shared" ref="O64" si="131">IF(L64&lt;=0,ABS(L64)+N64,L64-N64)</f>
        <v>2.6342572034049425</v>
      </c>
      <c r="P64" s="11">
        <v>100</v>
      </c>
      <c r="Q64" s="10" t="s">
        <v>85</v>
      </c>
      <c r="R64" s="10">
        <f t="shared" ref="R64" si="132">IF(S64="中金买入",1,-1)</f>
        <v>-1</v>
      </c>
      <c r="S64" s="10" t="s">
        <v>20</v>
      </c>
      <c r="T64" s="14">
        <f t="shared" ref="T64" si="133">O64/P64</f>
        <v>2.6342572034049425E-2</v>
      </c>
      <c r="U64" s="13">
        <f>_xll.dnetGBlackScholesNGreeks("delta",$Q64,$P64,$G64,$I64,$C$3,$J64,$K64,$C$4)*R64</f>
        <v>0.48349741034741101</v>
      </c>
      <c r="V64" s="13">
        <f>_xll.dnetGBlackScholesNGreeks("vega",$Q64,$P64,$G64,$I64,$C$3,$J64,$K64,$C$4)*R64</f>
        <v>-0.22898115722805912</v>
      </c>
      <c r="W64" s="114"/>
      <c r="X64" s="115">
        <v>400</v>
      </c>
      <c r="Y64" s="6">
        <f>X64*U64</f>
        <v>193.3989641389644</v>
      </c>
    </row>
    <row r="66" spans="1:25" ht="10.5" customHeight="1" x14ac:dyDescent="0.15">
      <c r="A66" s="34"/>
      <c r="B66" s="13" t="s">
        <v>172</v>
      </c>
      <c r="C66" s="10" t="s">
        <v>160</v>
      </c>
      <c r="D66" s="10" t="s">
        <v>251</v>
      </c>
      <c r="E66" s="8">
        <f t="shared" ca="1" si="103"/>
        <v>43250</v>
      </c>
      <c r="F66" s="8">
        <f t="shared" ref="F66:F68" ca="1" si="134">E66+H66</f>
        <v>43294</v>
      </c>
      <c r="G66" s="11">
        <v>14500</v>
      </c>
      <c r="H66" s="10">
        <v>44</v>
      </c>
      <c r="I66" s="12">
        <f t="shared" ref="I66:I68" si="135">H66/365</f>
        <v>0.12054794520547946</v>
      </c>
      <c r="J66" s="12">
        <v>0</v>
      </c>
      <c r="K66" s="116">
        <v>0.13</v>
      </c>
      <c r="L66" s="13">
        <f>_xll.dnetGBlackScholesNGreeks("price",$Q66,$P66,$G66,$I66,$C$3,$J66,$K66,$C$4)*R66</f>
        <v>14465.083204283648</v>
      </c>
      <c r="M66" s="15">
        <v>30</v>
      </c>
      <c r="N66" s="13">
        <f t="shared" ref="N66:N68" si="136">M66/10000*I66*P66</f>
        <v>0</v>
      </c>
      <c r="O66" s="13">
        <f t="shared" ref="O66:O68" si="137">IF(L66&lt;=0,ABS(L66)+N66,L66-N66)</f>
        <v>14465.083204283648</v>
      </c>
      <c r="P66" s="11">
        <f>RTD("wdf.rtq",,D66,"LastPrice")</f>
        <v>0</v>
      </c>
      <c r="Q66" s="10" t="s">
        <v>85</v>
      </c>
      <c r="R66" s="10">
        <f t="shared" ref="R66:R68" si="138">IF(S66="中金买入",1,-1)</f>
        <v>1</v>
      </c>
      <c r="S66" s="10" t="s">
        <v>151</v>
      </c>
      <c r="T66" s="14" t="e">
        <f t="shared" ref="T66:T68" si="139">O66/P66</f>
        <v>#DIV/0!</v>
      </c>
      <c r="U66" s="13" t="e">
        <f>_xll.dnetGBlackScholesNGreeks("delta",$Q66,$P66,$G66,$I66,$C$3,$J66,$K66,$C$4)*R66</f>
        <v>#VALUE!</v>
      </c>
      <c r="V66" s="13">
        <f>_xll.dnetGBlackScholesNGreeks("vega",$Q66,$P66,$G66,$I66,$C$3,$J66,$K66,$C$4)*R66</f>
        <v>0</v>
      </c>
      <c r="W66" s="114"/>
      <c r="X66" s="115">
        <v>400</v>
      </c>
      <c r="Y66" s="6" t="e">
        <f>X66*U66</f>
        <v>#VALUE!</v>
      </c>
    </row>
    <row r="67" spans="1:25" ht="10.5" customHeight="1" x14ac:dyDescent="0.15">
      <c r="A67" s="34"/>
      <c r="B67" s="13" t="s">
        <v>172</v>
      </c>
      <c r="C67" s="10" t="s">
        <v>160</v>
      </c>
      <c r="D67" s="10" t="s">
        <v>249</v>
      </c>
      <c r="E67" s="8">
        <f t="shared" ca="1" si="103"/>
        <v>43250</v>
      </c>
      <c r="F67" s="8">
        <f t="shared" ca="1" si="134"/>
        <v>43325</v>
      </c>
      <c r="G67" s="11">
        <v>14500</v>
      </c>
      <c r="H67" s="10">
        <v>75</v>
      </c>
      <c r="I67" s="12">
        <f t="shared" si="135"/>
        <v>0.20547945205479451</v>
      </c>
      <c r="J67" s="12">
        <v>0</v>
      </c>
      <c r="K67" s="116">
        <v>0.13</v>
      </c>
      <c r="L67" s="13" t="e">
        <f>_xll.dnetGBlackScholesNGreeks("price",$Q67,$P67,$G67,$I67,$C$3,$J67,$K67,$C$4)*R67</f>
        <v>#VALUE!</v>
      </c>
      <c r="M67" s="15">
        <v>30</v>
      </c>
      <c r="N67" s="13" t="e">
        <f t="shared" si="136"/>
        <v>#N/A</v>
      </c>
      <c r="O67" s="13" t="e">
        <f t="shared" si="137"/>
        <v>#VALUE!</v>
      </c>
      <c r="P67" s="11" t="e">
        <f>RTD("wdf.rtq",,D67,"LastPrice")</f>
        <v>#N/A</v>
      </c>
      <c r="Q67" s="10" t="s">
        <v>85</v>
      </c>
      <c r="R67" s="10">
        <f t="shared" si="138"/>
        <v>1</v>
      </c>
      <c r="S67" s="10" t="s">
        <v>151</v>
      </c>
      <c r="T67" s="14" t="e">
        <f t="shared" si="139"/>
        <v>#VALUE!</v>
      </c>
      <c r="U67" s="13" t="e">
        <f>_xll.dnetGBlackScholesNGreeks("delta",$Q67,$P67,$G67,$I67,$C$3,$J67,$K67,$C$4)*R67</f>
        <v>#VALUE!</v>
      </c>
      <c r="V67" s="13" t="e">
        <f>_xll.dnetGBlackScholesNGreeks("vega",$Q67,$P67,$G67,$I67,$C$3,$J67,$K67,$C$4)*R67</f>
        <v>#VALUE!</v>
      </c>
      <c r="W67" s="114"/>
      <c r="X67" s="115">
        <v>400</v>
      </c>
      <c r="Y67" s="6" t="e">
        <f>X67*U67</f>
        <v>#VALUE!</v>
      </c>
    </row>
    <row r="68" spans="1:25" ht="10.5" customHeight="1" x14ac:dyDescent="0.15">
      <c r="A68" s="34"/>
      <c r="B68" s="13" t="s">
        <v>172</v>
      </c>
      <c r="C68" s="10" t="s">
        <v>160</v>
      </c>
      <c r="D68" s="10" t="s">
        <v>251</v>
      </c>
      <c r="E68" s="8">
        <f t="shared" ca="1" si="103"/>
        <v>43250</v>
      </c>
      <c r="F68" s="8">
        <f t="shared" ca="1" si="134"/>
        <v>43294</v>
      </c>
      <c r="G68" s="11">
        <v>15200</v>
      </c>
      <c r="H68" s="10">
        <v>44</v>
      </c>
      <c r="I68" s="12">
        <f t="shared" si="135"/>
        <v>0.12054794520547946</v>
      </c>
      <c r="J68" s="12">
        <v>0</v>
      </c>
      <c r="K68" s="116">
        <v>0.13</v>
      </c>
      <c r="L68" s="13">
        <f>_xll.dnetGBlackScholesNGreeks("price",$Q68,$P68,$G68,$I68,$C$3,$J68,$K68,$C$4)*R68</f>
        <v>0</v>
      </c>
      <c r="M68" s="15">
        <v>30</v>
      </c>
      <c r="N68" s="13">
        <f t="shared" si="136"/>
        <v>0</v>
      </c>
      <c r="O68" s="13">
        <f t="shared" si="137"/>
        <v>0</v>
      </c>
      <c r="P68" s="11">
        <f>RTD("wdf.rtq",,D68,"LastPrice")</f>
        <v>0</v>
      </c>
      <c r="Q68" s="10" t="s">
        <v>39</v>
      </c>
      <c r="R68" s="10">
        <f t="shared" si="138"/>
        <v>1</v>
      </c>
      <c r="S68" s="10" t="s">
        <v>151</v>
      </c>
      <c r="T68" s="14" t="e">
        <f t="shared" si="139"/>
        <v>#DIV/0!</v>
      </c>
      <c r="U68" s="13" t="e">
        <f>_xll.dnetGBlackScholesNGreeks("delta",$Q68,$P68,$G68,$I68,$C$3,$J68,$K68,$C$4)*R68</f>
        <v>#VALUE!</v>
      </c>
      <c r="V68" s="13">
        <f>_xll.dnetGBlackScholesNGreeks("vega",$Q68,$P68,$G68,$I68,$C$3,$J68,$K68,$C$4)*R68</f>
        <v>0</v>
      </c>
      <c r="W68" s="114"/>
      <c r="X68" s="115">
        <v>400</v>
      </c>
      <c r="Y68" s="6" t="e">
        <f>X68*U68</f>
        <v>#VALUE!</v>
      </c>
    </row>
    <row r="70" spans="1:25" ht="10.5" customHeight="1" x14ac:dyDescent="0.15">
      <c r="A70" s="34"/>
      <c r="B70" s="13" t="s">
        <v>172</v>
      </c>
      <c r="C70" s="10" t="s">
        <v>160</v>
      </c>
      <c r="D70" s="10" t="s">
        <v>273</v>
      </c>
      <c r="E70" s="8">
        <f t="shared" ca="1" si="103"/>
        <v>43250</v>
      </c>
      <c r="F70" s="8">
        <f t="shared" ref="F70:F71" ca="1" si="140">E70+H70</f>
        <v>43283</v>
      </c>
      <c r="G70" s="11">
        <v>100</v>
      </c>
      <c r="H70" s="10">
        <v>33</v>
      </c>
      <c r="I70" s="12">
        <f t="shared" ref="I70:I71" si="141">H70/365</f>
        <v>9.0410958904109592E-2</v>
      </c>
      <c r="J70" s="12">
        <v>0</v>
      </c>
      <c r="K70" s="116">
        <v>0.15</v>
      </c>
      <c r="L70" s="13">
        <f>_xll.dnetGBlackScholesNGreeks("price",$Q70,$P70,$G70,$I70,$C$3,$J70,$K70,$C$4)*R70</f>
        <v>1.7959314396931774</v>
      </c>
      <c r="M70" s="15"/>
      <c r="N70" s="13">
        <f t="shared" ref="N70:N71" si="142">M70/10000*I70*P70</f>
        <v>0</v>
      </c>
      <c r="O70" s="13">
        <f t="shared" ref="O70:O71" si="143">IF(L70&lt;=0,ABS(L70)+N70,L70-N70)</f>
        <v>1.7959314396931774</v>
      </c>
      <c r="P70" s="11">
        <v>100</v>
      </c>
      <c r="Q70" s="10" t="s">
        <v>85</v>
      </c>
      <c r="R70" s="10">
        <f t="shared" ref="R70:R71" si="144">IF(S70="中金买入",1,-1)</f>
        <v>1</v>
      </c>
      <c r="S70" s="10" t="s">
        <v>151</v>
      </c>
      <c r="T70" s="14">
        <f t="shared" ref="T70:T71" si="145">O70/P70</f>
        <v>1.7959314396931773E-2</v>
      </c>
      <c r="U70" s="13">
        <f>_xll.dnetGBlackScholesNGreeks("delta",$Q70,$P70,$G70,$I70,$C$3,$J70,$K70,$C$4)*R70</f>
        <v>-0.49011707220145695</v>
      </c>
      <c r="V70" s="13">
        <f>_xll.dnetGBlackScholesNGreeks("vega",$Q70,$P70,$G70,$I70,$C$3,$J70,$K70,$C$4)*R70</f>
        <v>0.11970842246429925</v>
      </c>
      <c r="W70" s="114"/>
      <c r="X70" s="115">
        <v>400</v>
      </c>
      <c r="Y70" s="6">
        <f>X70*U70</f>
        <v>-196.04682888058278</v>
      </c>
    </row>
    <row r="71" spans="1:25" ht="10.5" customHeight="1" x14ac:dyDescent="0.15">
      <c r="A71" s="34"/>
      <c r="B71" s="13" t="s">
        <v>172</v>
      </c>
      <c r="C71" s="10" t="s">
        <v>160</v>
      </c>
      <c r="D71" s="10" t="s">
        <v>273</v>
      </c>
      <c r="E71" s="8">
        <f t="shared" ca="1" si="103"/>
        <v>43250</v>
      </c>
      <c r="F71" s="8">
        <f t="shared" ca="1" si="140"/>
        <v>43283</v>
      </c>
      <c r="G71" s="11">
        <v>100</v>
      </c>
      <c r="H71" s="10">
        <v>33</v>
      </c>
      <c r="I71" s="12">
        <f t="shared" si="141"/>
        <v>9.0410958904109592E-2</v>
      </c>
      <c r="J71" s="12">
        <v>0</v>
      </c>
      <c r="K71" s="116">
        <v>0.33</v>
      </c>
      <c r="L71" s="13">
        <f>_xll.dnetGBlackScholesNGreeks("price",$Q71,$P71,$G71,$I71,$C$3,$J71,$K71,$C$4)*R71</f>
        <v>3.9497636457868026</v>
      </c>
      <c r="M71" s="15"/>
      <c r="N71" s="13">
        <f t="shared" si="142"/>
        <v>0</v>
      </c>
      <c r="O71" s="13">
        <f t="shared" si="143"/>
        <v>3.9497636457868026</v>
      </c>
      <c r="P71" s="11">
        <v>100</v>
      </c>
      <c r="Q71" s="10" t="s">
        <v>39</v>
      </c>
      <c r="R71" s="10">
        <f t="shared" si="144"/>
        <v>1</v>
      </c>
      <c r="S71" s="10" t="s">
        <v>151</v>
      </c>
      <c r="T71" s="14">
        <f t="shared" si="145"/>
        <v>3.9497636457868024E-2</v>
      </c>
      <c r="U71" s="13">
        <f>_xll.dnetGBlackScholesNGreeks("delta",$Q71,$P71,$G71,$I71,$C$3,$J71,$K71,$C$4)*R71</f>
        <v>0.51884551554159941</v>
      </c>
      <c r="V71" s="13">
        <f>_xll.dnetGBlackScholesNGreeks("vega",$Q71,$P71,$G71,$I71,$C$3,$J71,$K71,$C$4)*R71</f>
        <v>0.11959159170536182</v>
      </c>
      <c r="W71" s="114"/>
      <c r="X71" s="115">
        <v>400</v>
      </c>
      <c r="Y71" s="6">
        <f>X71*U71</f>
        <v>207.53820621663976</v>
      </c>
    </row>
    <row r="72" spans="1:25" x14ac:dyDescent="0.15">
      <c r="H72" s="122"/>
      <c r="I72" s="122"/>
    </row>
    <row r="73" spans="1:25" x14ac:dyDescent="0.15">
      <c r="H73" s="122"/>
      <c r="I73" s="123"/>
    </row>
    <row r="74" spans="1:25" x14ac:dyDescent="0.15">
      <c r="H74" s="122"/>
      <c r="I74" s="123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S12:S14 S17:S21 S23:S28 S30:S34 S36:S40 S52:S55 S42:S49 S57:S58 S60:S61 S63:S64 S66:S68 S70:S71</xm:sqref>
        </x14:dataValidation>
        <x14:dataValidation type="list" allowBlank="1" showInputMessage="1" showErrorMessage="1">
          <x14:formula1>
            <xm:f>configs!$C$1:$C$2</xm:f>
          </x14:formula1>
          <xm:sqref>Q8:Q9 Q12:Q14 Q17:Q21 Q23:Q28 Q30:Q34 Q36:Q40 Q52:Q55 Q42:Q49 Q57:Q58 Q60:Q61 Q63:Q64 Q66:Q68 Q70:Q71</xm:sqref>
        </x14:dataValidation>
        <x14:dataValidation type="list" allowBlank="1" showInputMessage="1">
          <x14:formula1>
            <xm:f>configs!$A$1:$A$36</xm:f>
          </x14:formula1>
          <xm:sqref>C8:C9 C12:C14 C17:C21 C23:C28 C30:C34 C36:C40 C52:C55 C42:C49 C57:C58 C60:C61 C63:C64 C66:C68 C70:C71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F55" sqref="F55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8" t="s">
        <v>37</v>
      </c>
      <c r="C1" s="14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43250</v>
      </c>
      <c r="F8" s="46">
        <f ca="1">E8+H8</f>
        <v>43280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43250</v>
      </c>
      <c r="F9" s="54">
        <f ca="1">F8</f>
        <v>43280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43250</v>
      </c>
      <c r="F10" s="62">
        <f ca="1">F9</f>
        <v>43280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43250</v>
      </c>
      <c r="F11" s="46">
        <f ca="1">E11+H11</f>
        <v>43265</v>
      </c>
      <c r="G11" s="113">
        <f>P11-20</f>
        <v>-20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19.983568397474013</v>
      </c>
      <c r="M11" s="49"/>
      <c r="N11" s="43"/>
      <c r="O11" s="43">
        <f t="shared" ref="O11:O13" si="1">IF(L11&lt;=0,ABS(L11)+N11,L11-N11)</f>
        <v>19.983568397474013</v>
      </c>
      <c r="P11" s="110">
        <f>RTD("wdf.rtq",,D11,"LastPrice")</f>
        <v>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>
        <f>_xll.dnetGBlackScholesNGreeks("vega",$Q11,$P11,$G11,$I11,$C$3,$J11,$K11,$C$4)*R11</f>
        <v>0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43250</v>
      </c>
      <c r="F12" s="54">
        <f t="shared" ca="1" si="2"/>
        <v>43265</v>
      </c>
      <c r="G12" s="52">
        <f>G11+50</f>
        <v>30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0</v>
      </c>
      <c r="M12" s="57"/>
      <c r="N12" s="51"/>
      <c r="O12" s="51">
        <f t="shared" si="1"/>
        <v>0</v>
      </c>
      <c r="P12" s="94">
        <f>P11</f>
        <v>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>
        <f>_xll.dnetGBlackScholesNGreeks("vega",$Q12,$P12,$G12,$I12,$C$3,$J12,$K12,$C$4)*R12</f>
        <v>0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43250</v>
      </c>
      <c r="F13" s="62">
        <f t="shared" ca="1" si="3"/>
        <v>43265</v>
      </c>
      <c r="G13" s="60" t="str">
        <f>G11 &amp; "|" &amp; G12</f>
        <v>-20|30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19.983568397474013</v>
      </c>
      <c r="M13" s="60">
        <v>0</v>
      </c>
      <c r="N13" s="59">
        <f>M13/10000*I13*P13</f>
        <v>0</v>
      </c>
      <c r="O13" s="59">
        <f t="shared" si="1"/>
        <v>19.983568397474013</v>
      </c>
      <c r="P13" s="111">
        <f>P12</f>
        <v>0</v>
      </c>
      <c r="Q13" s="60"/>
      <c r="R13" s="60"/>
      <c r="S13" s="56" t="s">
        <v>151</v>
      </c>
      <c r="T13" s="64" t="e">
        <f>O13/P13</f>
        <v>#DIV/0!</v>
      </c>
      <c r="U13" s="64" t="e">
        <f>U12+U11</f>
        <v>#VALUE!</v>
      </c>
      <c r="V13" s="64">
        <f>V12+V11</f>
        <v>0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43250</v>
      </c>
      <c r="F14" s="46">
        <f ca="1">E14+H14</f>
        <v>43341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0</v>
      </c>
      <c r="M14" s="49"/>
      <c r="N14" s="43"/>
      <c r="O14" s="43">
        <f t="shared" ref="O14:O16" si="4">IF(L14&lt;=0,ABS(L14)+N14,L14-N14)</f>
        <v>0</v>
      </c>
      <c r="P14" s="110">
        <f>RTD("wdf.rtq",,D14,"LastPrice")</f>
        <v>0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>
        <f>_xll.dnetGBlackScholesNGreeks("vega",$Q14,$P14,$G14,$I14,$C$3,$J14,$K14,$C$4)*R14</f>
        <v>0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43250</v>
      </c>
      <c r="F15" s="54">
        <f t="shared" ca="1" si="5"/>
        <v>43341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3263.6856394682386</v>
      </c>
      <c r="M15" s="57"/>
      <c r="N15" s="51"/>
      <c r="O15" s="51">
        <f t="shared" si="4"/>
        <v>3263.6856394682386</v>
      </c>
      <c r="P15" s="94">
        <f>P14</f>
        <v>0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>
        <f>_xll.dnetGBlackScholesNGreeks("vega",$Q15,$P15,$G15,$I15,$C$3,$J15,$K15,$C$4)*R15</f>
        <v>0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43250</v>
      </c>
      <c r="F16" s="62">
        <f t="shared" ca="1" si="6"/>
        <v>43341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3263.6856394682386</v>
      </c>
      <c r="M16" s="60">
        <v>0</v>
      </c>
      <c r="N16" s="59">
        <f>M16/10000*I16*P16</f>
        <v>0</v>
      </c>
      <c r="O16" s="59">
        <f t="shared" si="4"/>
        <v>3263.6856394682386</v>
      </c>
      <c r="P16" s="111">
        <f>P15</f>
        <v>0</v>
      </c>
      <c r="Q16" s="60"/>
      <c r="R16" s="60"/>
      <c r="S16" s="56" t="s">
        <v>151</v>
      </c>
      <c r="T16" s="64" t="e">
        <f>O16/P16</f>
        <v>#DIV/0!</v>
      </c>
      <c r="U16" s="64" t="e">
        <f>U15+U14</f>
        <v>#VALUE!</v>
      </c>
      <c r="V16" s="64">
        <f>V15+V14</f>
        <v>0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241</v>
      </c>
      <c r="E18" s="46">
        <f ca="1">TODAY()</f>
        <v>43250</v>
      </c>
      <c r="F18" s="46">
        <f ca="1">E18+H18</f>
        <v>43281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36.499241882332399</v>
      </c>
      <c r="M18" s="49"/>
      <c r="N18" s="43"/>
      <c r="O18" s="43">
        <f t="shared" ref="O18:O20" si="7">IF(L18&lt;=0,ABS(L18)+N18,L18-N18)</f>
        <v>36.499241882332399</v>
      </c>
      <c r="P18" s="110">
        <f>RTD("wdf.rtq",,D18,"LastPrice")</f>
        <v>3045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-0.36532295282540872</v>
      </c>
      <c r="V18" s="43">
        <f>_xll.dnetGBlackScholesNGreeks("vega",$Q18,$P18,$G18,$I18,$C$3,$J18,$K18,$C$4)*R18</f>
        <v>3.3321166163170801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43250</v>
      </c>
      <c r="F19" s="54">
        <f t="shared" ca="1" si="8"/>
        <v>43281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-5.8409610893708361</v>
      </c>
      <c r="M19" s="57"/>
      <c r="N19" s="51"/>
      <c r="O19" s="51">
        <f t="shared" si="7"/>
        <v>5.8409610893708361</v>
      </c>
      <c r="P19" s="94">
        <f>P18</f>
        <v>3045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-8.1978082650380202E-2</v>
      </c>
      <c r="V19" s="51">
        <f>_xll.dnetGBlackScholesNGreeks("vega",$Q19,$P19,$G19,$I19,$C$3,$J19,$K19,$C$4)*R19</f>
        <v>-1.3418834342377295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43250</v>
      </c>
      <c r="F20" s="62">
        <f t="shared" ca="1" si="9"/>
        <v>43281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30.658280792961563</v>
      </c>
      <c r="M20" s="60">
        <v>0</v>
      </c>
      <c r="N20" s="59">
        <f>M20/10000*I20*P20</f>
        <v>0</v>
      </c>
      <c r="O20" s="59">
        <f t="shared" si="7"/>
        <v>30.658280792961563</v>
      </c>
      <c r="P20" s="111">
        <f>P19</f>
        <v>3045</v>
      </c>
      <c r="Q20" s="60"/>
      <c r="R20" s="60"/>
      <c r="S20" s="56"/>
      <c r="T20" s="64">
        <f>O20/P20</f>
        <v>1.0068400917228756E-2</v>
      </c>
      <c r="U20" s="64">
        <f>U19+U18</f>
        <v>-0.44730103547578892</v>
      </c>
      <c r="V20" s="64">
        <f>V19+V18</f>
        <v>1.9902331820793506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241</v>
      </c>
      <c r="E21" s="46">
        <f ca="1">TODAY()</f>
        <v>43250</v>
      </c>
      <c r="F21" s="46">
        <f ca="1">E21+H21</f>
        <v>43342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75.609333834217296</v>
      </c>
      <c r="M21" s="49"/>
      <c r="N21" s="43"/>
      <c r="O21" s="43">
        <f t="shared" ref="O21:O23" si="10">IF(L21&lt;=0,ABS(L21)+N21,L21-N21)</f>
        <v>75.609333834217296</v>
      </c>
      <c r="P21" s="110">
        <f>RTD("wdf.rtq",,D21,"LastPrice")</f>
        <v>3045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-0.40872504249591657</v>
      </c>
      <c r="V21" s="43">
        <f>_xll.dnetGBlackScholesNGreeks("vega",$Q21,$P21,$G21,$I21,$C$3,$J21,$K21,$C$4)*R21</f>
        <v>5.9153847461789155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43250</v>
      </c>
      <c r="F22" s="54">
        <f t="shared" ca="1" si="11"/>
        <v>43342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-32.79521792159801</v>
      </c>
      <c r="M22" s="57"/>
      <c r="N22" s="51"/>
      <c r="O22" s="51">
        <f t="shared" si="10"/>
        <v>32.79521792159801</v>
      </c>
      <c r="P22" s="94">
        <f>P21</f>
        <v>3045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-0.21734246870437346</v>
      </c>
      <c r="V22" s="51">
        <f>_xll.dnetGBlackScholesNGreeks("vega",$Q22,$P22,$G22,$I22,$C$3,$J22,$K22,$C$4)*R22</f>
        <v>-4.4817337738481342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43250</v>
      </c>
      <c r="F23" s="62">
        <f t="shared" ca="1" si="12"/>
        <v>43342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42.814115912619286</v>
      </c>
      <c r="M23" s="60">
        <v>0</v>
      </c>
      <c r="N23" s="59">
        <f>M23/10000*I23*P23</f>
        <v>0</v>
      </c>
      <c r="O23" s="59">
        <f t="shared" si="10"/>
        <v>42.814115912619286</v>
      </c>
      <c r="P23" s="111">
        <f>P22</f>
        <v>3045</v>
      </c>
      <c r="Q23" s="60"/>
      <c r="R23" s="60"/>
      <c r="S23" s="56"/>
      <c r="T23" s="64">
        <f>O23/P23</f>
        <v>1.4060464995934083E-2</v>
      </c>
      <c r="U23" s="64">
        <f>U22+U21</f>
        <v>-0.62606751120029003</v>
      </c>
      <c r="V23" s="64">
        <f>V22+V21</f>
        <v>1.4336509723307813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241</v>
      </c>
      <c r="E26" s="46">
        <f ca="1">TODAY()</f>
        <v>43250</v>
      </c>
      <c r="F26" s="46">
        <f ca="1">E26+H26</f>
        <v>43281</v>
      </c>
      <c r="G26" s="118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20.623417736643546</v>
      </c>
      <c r="M26" s="49"/>
      <c r="N26" s="43"/>
      <c r="O26" s="43">
        <f t="shared" ref="O26:O31" si="13">IF(L26&lt;=0,ABS(L26)+N26,L26-N26)</f>
        <v>20.623417736643546</v>
      </c>
      <c r="P26" s="110">
        <f>RTD("wdf.rtq",,D26,"LastPrice")</f>
        <v>3045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-0.24060015478539754</v>
      </c>
      <c r="V26" s="43">
        <f>_xll.dnetGBlackScholesNGreeks("vega",$Q26,$P26,$G26,$I26,$C$3,$J26,$K26,$C$4)*R26</f>
        <v>2.7582073648874825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43250</v>
      </c>
      <c r="F27" s="54">
        <f t="shared" ca="1" si="14"/>
        <v>43281</v>
      </c>
      <c r="G27" s="119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-2.2709473864450302</v>
      </c>
      <c r="M27" s="57"/>
      <c r="N27" s="51"/>
      <c r="O27" s="51">
        <f t="shared" si="13"/>
        <v>2.2709473864450302</v>
      </c>
      <c r="P27" s="94">
        <f>P26</f>
        <v>3045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-3.6382865671669151E-2</v>
      </c>
      <c r="V27" s="51">
        <f>_xll.dnetGBlackScholesNGreeks("vega",$Q27,$P27,$G27,$I27,$C$3,$J27,$K27,$C$4)*R27</f>
        <v>-0.70798487428758961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43250</v>
      </c>
      <c r="F28" s="62">
        <f t="shared" ca="1" si="15"/>
        <v>43281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18.352470350198516</v>
      </c>
      <c r="M28" s="60">
        <v>0</v>
      </c>
      <c r="N28" s="59">
        <f>M28/10000*I28*P28</f>
        <v>0</v>
      </c>
      <c r="O28" s="59">
        <f t="shared" si="13"/>
        <v>18.352470350198516</v>
      </c>
      <c r="P28" s="111">
        <f>P27</f>
        <v>3045</v>
      </c>
      <c r="Q28" s="60"/>
      <c r="R28" s="60"/>
      <c r="S28" s="56"/>
      <c r="T28" s="64">
        <f>O28/P28</f>
        <v>6.0270838588500873E-3</v>
      </c>
      <c r="U28" s="64">
        <f>U27+U26</f>
        <v>-0.27698302045706669</v>
      </c>
      <c r="V28" s="64">
        <f>V27+V26</f>
        <v>2.0502224905998929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241</v>
      </c>
      <c r="E29" s="46">
        <f ca="1">TODAY()</f>
        <v>43250</v>
      </c>
      <c r="F29" s="46">
        <f ca="1">E29+H29</f>
        <v>43342</v>
      </c>
      <c r="G29" s="118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55.627292257022305</v>
      </c>
      <c r="M29" s="49"/>
      <c r="N29" s="43"/>
      <c r="O29" s="43">
        <f t="shared" si="13"/>
        <v>55.627292257022305</v>
      </c>
      <c r="P29" s="110">
        <f>RTD("wdf.rtq",,D29,"LastPrice")</f>
        <v>3045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-0.33020589039551851</v>
      </c>
      <c r="V29" s="43">
        <f>_xll.dnetGBlackScholesNGreeks("vega",$Q29,$P29,$G29,$I29,$C$3,$J29,$K29,$C$4)*R29</f>
        <v>5.5193537992189476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43250</v>
      </c>
      <c r="F30" s="54">
        <f t="shared" ca="1" si="16"/>
        <v>43342</v>
      </c>
      <c r="G30" s="119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-21.453715464458924</v>
      </c>
      <c r="M30" s="57"/>
      <c r="N30" s="51"/>
      <c r="O30" s="51">
        <f t="shared" si="13"/>
        <v>21.453715464458924</v>
      </c>
      <c r="P30" s="94">
        <f>P29</f>
        <v>3045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-0.15518951590820507</v>
      </c>
      <c r="V30" s="51">
        <f>_xll.dnetGBlackScholesNGreeks("vega",$Q30,$P30,$G30,$I30,$C$3,$J30,$K30,$C$4)*R30</f>
        <v>-3.6355518217689848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43250</v>
      </c>
      <c r="F31" s="62">
        <f t="shared" ca="1" si="17"/>
        <v>43342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34.173576792563381</v>
      </c>
      <c r="M31" s="60">
        <v>0</v>
      </c>
      <c r="N31" s="59">
        <f>M31/10000*I31*P31</f>
        <v>0</v>
      </c>
      <c r="O31" s="59">
        <f t="shared" si="13"/>
        <v>34.173576792563381</v>
      </c>
      <c r="P31" s="111">
        <f>P30</f>
        <v>3045</v>
      </c>
      <c r="Q31" s="60"/>
      <c r="R31" s="60"/>
      <c r="S31" s="56"/>
      <c r="T31" s="64">
        <f>O31/P31</f>
        <v>1.1222849521367284E-2</v>
      </c>
      <c r="U31" s="64">
        <f>U30+U29</f>
        <v>-0.48539540630372358</v>
      </c>
      <c r="V31" s="64">
        <f>V30+V29</f>
        <v>1.8838019774499628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4" t="s">
        <v>158</v>
      </c>
      <c r="C1" s="124"/>
      <c r="D1" s="124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43250</v>
      </c>
      <c r="L10" s="38">
        <f ca="1">pricer_sf!N11</f>
        <v>43341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43250</v>
      </c>
      <c r="L11" s="38">
        <f ca="1">pricer_sf!N12</f>
        <v>43341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43250</v>
      </c>
      <c r="L12" s="38">
        <f ca="1">pricer_sf!N13</f>
        <v>43341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43250</v>
      </c>
      <c r="L13" s="38">
        <f ca="1">pricer_sf!N14</f>
        <v>43433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43250</v>
      </c>
      <c r="L14" s="38">
        <f ca="1">pricer_sf!N15</f>
        <v>43433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43250</v>
      </c>
      <c r="L15" s="38">
        <f ca="1">pricer_sf!N16</f>
        <v>43433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abSelected="1"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7" t="s">
        <v>38</v>
      </c>
      <c r="C1" s="14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43250</v>
      </c>
      <c r="N8" s="21">
        <f ca="1">M8+O8</f>
        <v>43280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43250</v>
      </c>
      <c r="N9" s="8">
        <f ca="1">M9+O9</f>
        <v>43430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43250</v>
      </c>
      <c r="N11" s="8">
        <f t="shared" ref="N11:N16" ca="1" si="2">M11+O11</f>
        <v>43341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43250</v>
      </c>
      <c r="N12" s="8">
        <f t="shared" ca="1" si="2"/>
        <v>43341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43250</v>
      </c>
      <c r="N13" s="8">
        <f t="shared" ca="1" si="2"/>
        <v>43341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43250</v>
      </c>
      <c r="N14" s="8">
        <f t="shared" ca="1" si="2"/>
        <v>43433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43250</v>
      </c>
      <c r="N15" s="8">
        <f t="shared" ca="1" si="2"/>
        <v>43433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43250</v>
      </c>
      <c r="N16" s="8">
        <f t="shared" ca="1" si="2"/>
        <v>43433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2018-05-30T09:36:13Z</dcterms:modified>
</cp:coreProperties>
</file>