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1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N55" i="2" l="1"/>
  <c r="N53" i="2"/>
  <c r="X49" i="1"/>
  <c r="R49" i="1"/>
  <c r="I49" i="1"/>
  <c r="E49" i="1"/>
  <c r="F49" i="1" s="1"/>
  <c r="X48" i="1"/>
  <c r="R48" i="1"/>
  <c r="I48" i="1"/>
  <c r="E48" i="1"/>
  <c r="F48" i="1" s="1"/>
  <c r="X47" i="1"/>
  <c r="R47" i="1"/>
  <c r="I47" i="1"/>
  <c r="E47" i="1"/>
  <c r="F47" i="1" s="1"/>
  <c r="X46" i="1"/>
  <c r="R46" i="1"/>
  <c r="I46" i="1"/>
  <c r="E46" i="1"/>
  <c r="F46" i="1" s="1"/>
  <c r="X45" i="1"/>
  <c r="R45" i="1"/>
  <c r="I45" i="1"/>
  <c r="E45" i="1"/>
  <c r="F45" i="1" s="1"/>
  <c r="V123" i="6"/>
  <c r="P47" i="1"/>
  <c r="P48" i="1"/>
  <c r="P49" i="1"/>
  <c r="V47" i="1"/>
  <c r="U47" i="1"/>
  <c r="L48" i="1"/>
  <c r="L47" i="1"/>
  <c r="L49" i="1"/>
  <c r="V48" i="1"/>
  <c r="P45" i="1"/>
  <c r="P46" i="1"/>
  <c r="L46" i="1"/>
  <c r="L45" i="1"/>
  <c r="Y47" i="1" l="1"/>
  <c r="Z49" i="1"/>
  <c r="N48" i="1"/>
  <c r="O48" i="1" s="1"/>
  <c r="T48" i="1" s="1"/>
  <c r="Z48" i="1"/>
  <c r="Z47" i="1"/>
  <c r="N47" i="1"/>
  <c r="O47" i="1" s="1"/>
  <c r="T47" i="1" s="1"/>
  <c r="N49" i="1"/>
  <c r="O49" i="1" s="1"/>
  <c r="T49" i="1" s="1"/>
  <c r="Z46" i="1"/>
  <c r="Z45" i="1"/>
  <c r="N45" i="1"/>
  <c r="O45" i="1" s="1"/>
  <c r="T45" i="1" s="1"/>
  <c r="N46" i="1"/>
  <c r="O46" i="1" s="1"/>
  <c r="T46" i="1" s="1"/>
  <c r="I53" i="2"/>
  <c r="U49" i="1"/>
  <c r="U48" i="1"/>
  <c r="V49" i="1"/>
  <c r="U45" i="1"/>
  <c r="V45" i="1"/>
  <c r="U46" i="1"/>
  <c r="V46" i="1"/>
  <c r="P44" i="1"/>
  <c r="Y48" i="1" l="1"/>
  <c r="Y49" i="1"/>
  <c r="Y46" i="1"/>
  <c r="Y45" i="1"/>
  <c r="D55" i="2"/>
  <c r="D30" i="9" l="1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P29" i="9"/>
  <c r="P26" i="9"/>
  <c r="E30" i="9" l="1"/>
  <c r="E31" i="9" s="1"/>
  <c r="P30" i="9"/>
  <c r="P27" i="9"/>
  <c r="F26" i="9"/>
  <c r="F27" i="9" s="1"/>
  <c r="F28" i="9" s="1"/>
  <c r="H28" i="9"/>
  <c r="I30" i="9"/>
  <c r="I31" i="9" s="1"/>
  <c r="U26" i="9"/>
  <c r="U30" i="9"/>
  <c r="V26" i="9"/>
  <c r="L29" i="9"/>
  <c r="V27" i="9"/>
  <c r="U27" i="9"/>
  <c r="L26" i="9"/>
  <c r="L27" i="9"/>
  <c r="L30" i="9"/>
  <c r="U29" i="9"/>
  <c r="V30" i="9"/>
  <c r="V29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X44" i="1"/>
  <c r="R44" i="1"/>
  <c r="I44" i="1"/>
  <c r="E44" i="1"/>
  <c r="F44" i="1" s="1"/>
  <c r="O28" i="9" l="1"/>
  <c r="T28" i="9" s="1"/>
  <c r="O31" i="9"/>
  <c r="T31" i="9" s="1"/>
  <c r="Z44" i="1"/>
  <c r="N44" i="1"/>
  <c r="L44" i="1"/>
  <c r="V44" i="1"/>
  <c r="U44" i="1"/>
  <c r="O44" i="1" l="1"/>
  <c r="T44" i="1" s="1"/>
  <c r="Y44" i="1"/>
  <c r="V49" i="6" l="1"/>
  <c r="V50" i="6" s="1"/>
  <c r="X42" i="1"/>
  <c r="R42" i="1"/>
  <c r="I42" i="1"/>
  <c r="N42" i="1" s="1"/>
  <c r="E42" i="1"/>
  <c r="F42" i="1" s="1"/>
  <c r="X41" i="1"/>
  <c r="R41" i="1"/>
  <c r="I41" i="1"/>
  <c r="E41" i="1"/>
  <c r="F41" i="1" s="1"/>
  <c r="X40" i="1"/>
  <c r="R40" i="1"/>
  <c r="I40" i="1"/>
  <c r="E40" i="1"/>
  <c r="F40" i="1" s="1"/>
  <c r="L40" i="1"/>
  <c r="L42" i="1"/>
  <c r="V41" i="1"/>
  <c r="O42" i="1" l="1"/>
  <c r="T42" i="1" s="1"/>
  <c r="N41" i="1"/>
  <c r="N40" i="1"/>
  <c r="O40" i="1" s="1"/>
  <c r="T40" i="1" s="1"/>
  <c r="X38" i="1"/>
  <c r="R38" i="1"/>
  <c r="I38" i="1"/>
  <c r="E38" i="1"/>
  <c r="F38" i="1" s="1"/>
  <c r="E37" i="1"/>
  <c r="V40" i="1"/>
  <c r="L41" i="1"/>
  <c r="U40" i="1"/>
  <c r="P37" i="1"/>
  <c r="P38" i="1"/>
  <c r="U41" i="1"/>
  <c r="U42" i="1"/>
  <c r="V42" i="1"/>
  <c r="P36" i="1"/>
  <c r="Z41" i="1" l="1"/>
  <c r="Z40" i="1"/>
  <c r="Y42" i="1"/>
  <c r="Y41" i="1"/>
  <c r="Y40" i="1"/>
  <c r="O41" i="1"/>
  <c r="T41" i="1" s="1"/>
  <c r="N38" i="1"/>
  <c r="D53" i="2"/>
  <c r="I42" i="2"/>
  <c r="D42" i="2"/>
  <c r="R37" i="1"/>
  <c r="I37" i="1"/>
  <c r="N37" i="1" s="1"/>
  <c r="X37" i="1"/>
  <c r="F37" i="1"/>
  <c r="R36" i="1"/>
  <c r="I36" i="1"/>
  <c r="N36" i="1" s="1"/>
  <c r="X36" i="1"/>
  <c r="E36" i="1"/>
  <c r="F36" i="1" s="1"/>
  <c r="R34" i="1"/>
  <c r="I34" i="1"/>
  <c r="N34" i="1" s="1"/>
  <c r="G34" i="1"/>
  <c r="X34" i="1" s="1"/>
  <c r="E34" i="1"/>
  <c r="F34" i="1" s="1"/>
  <c r="R32" i="1"/>
  <c r="I32" i="1"/>
  <c r="N32" i="1" s="1"/>
  <c r="G32" i="1"/>
  <c r="X32" i="1" s="1"/>
  <c r="E32" i="1"/>
  <c r="F32" i="1" s="1"/>
  <c r="R31" i="1"/>
  <c r="I31" i="1"/>
  <c r="N31" i="1" s="1"/>
  <c r="G31" i="1"/>
  <c r="X31" i="1" s="1"/>
  <c r="E31" i="1"/>
  <c r="F31" i="1" s="1"/>
  <c r="R29" i="1"/>
  <c r="I29" i="1"/>
  <c r="E29" i="1"/>
  <c r="F29" i="1" s="1"/>
  <c r="R28" i="1"/>
  <c r="I28" i="1"/>
  <c r="E28" i="1"/>
  <c r="F28" i="1" s="1"/>
  <c r="L36" i="1"/>
  <c r="P29" i="1"/>
  <c r="V38" i="1"/>
  <c r="U38" i="1"/>
  <c r="P28" i="1"/>
  <c r="L38" i="1"/>
  <c r="V37" i="1"/>
  <c r="L34" i="1"/>
  <c r="L31" i="1"/>
  <c r="V32" i="1"/>
  <c r="O38" i="1" l="1"/>
  <c r="T38" i="1" s="1"/>
  <c r="Y38" i="1"/>
  <c r="N28" i="1"/>
  <c r="N29" i="1"/>
  <c r="O34" i="1"/>
  <c r="T34" i="1" s="1"/>
  <c r="O36" i="1"/>
  <c r="T36" i="1" s="1"/>
  <c r="O31" i="1"/>
  <c r="T31" i="1" s="1"/>
  <c r="U29" i="1"/>
  <c r="V31" i="1"/>
  <c r="U34" i="1"/>
  <c r="V29" i="1"/>
  <c r="V34" i="1"/>
  <c r="U36" i="1"/>
  <c r="U32" i="1"/>
  <c r="V36" i="1"/>
  <c r="L37" i="1"/>
  <c r="U31" i="1"/>
  <c r="L32" i="1"/>
  <c r="U37" i="1"/>
  <c r="L28" i="1"/>
  <c r="L29" i="1"/>
  <c r="V28" i="1"/>
  <c r="U28" i="1"/>
  <c r="Y31" i="1" l="1"/>
  <c r="Y36" i="1"/>
  <c r="Y34" i="1"/>
  <c r="Z28" i="1"/>
  <c r="Y29" i="1"/>
  <c r="O29" i="1"/>
  <c r="T29" i="1" s="1"/>
  <c r="Y28" i="1"/>
  <c r="X29" i="1"/>
  <c r="X28" i="1"/>
  <c r="Y32" i="1"/>
  <c r="O32" i="1"/>
  <c r="T32" i="1" s="1"/>
  <c r="O28" i="1"/>
  <c r="T28" i="1" s="1"/>
  <c r="O37" i="1"/>
  <c r="T37" i="1" s="1"/>
  <c r="Y37" i="1"/>
  <c r="T27" i="1" l="1"/>
  <c r="U27" i="1" s="1"/>
  <c r="R25" i="1" l="1"/>
  <c r="I25" i="1"/>
  <c r="E25" i="1"/>
  <c r="F25" i="1" s="1"/>
  <c r="R23" i="1"/>
  <c r="I23" i="1"/>
  <c r="E23" i="1"/>
  <c r="F23" i="1" s="1"/>
  <c r="R21" i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R16" i="1"/>
  <c r="I16" i="1"/>
  <c r="E16" i="1"/>
  <c r="F16" i="1" s="1"/>
  <c r="R14" i="1"/>
  <c r="I14" i="1"/>
  <c r="E14" i="1"/>
  <c r="F14" i="1" s="1"/>
  <c r="R13" i="1"/>
  <c r="I13" i="1"/>
  <c r="E13" i="1"/>
  <c r="F13" i="1" s="1"/>
  <c r="P21" i="1"/>
  <c r="P20" i="1"/>
  <c r="P19" i="1"/>
  <c r="G18" i="1" l="1"/>
  <c r="G13" i="1"/>
  <c r="G14" i="1"/>
  <c r="G23" i="1"/>
  <c r="G16" i="1"/>
  <c r="N18" i="1"/>
  <c r="N19" i="1"/>
  <c r="N20" i="1"/>
  <c r="N21" i="1"/>
  <c r="N13" i="1"/>
  <c r="N14" i="1"/>
  <c r="N23" i="1"/>
  <c r="N16" i="1"/>
  <c r="N25" i="1"/>
  <c r="X11" i="1"/>
  <c r="I11" i="1"/>
  <c r="U19" i="1"/>
  <c r="U21" i="1"/>
  <c r="L14" i="1"/>
  <c r="V19" i="1"/>
  <c r="V16" i="1"/>
  <c r="L18" i="1"/>
  <c r="L25" i="1"/>
  <c r="U16" i="1"/>
  <c r="V21" i="1"/>
  <c r="V20" i="1"/>
  <c r="U14" i="1"/>
  <c r="V23" i="1"/>
  <c r="U18" i="1"/>
  <c r="L21" i="1"/>
  <c r="L23" i="1"/>
  <c r="L16" i="1"/>
  <c r="V25" i="1"/>
  <c r="U23" i="1"/>
  <c r="V14" i="1"/>
  <c r="U20" i="1"/>
  <c r="L19" i="1"/>
  <c r="V18" i="1"/>
  <c r="U25" i="1"/>
  <c r="U13" i="1"/>
  <c r="L13" i="1"/>
  <c r="L20" i="1"/>
  <c r="V13" i="1"/>
  <c r="Y23" i="1" l="1"/>
  <c r="Y14" i="1"/>
  <c r="Y21" i="1"/>
  <c r="Y19" i="1"/>
  <c r="Y25" i="1"/>
  <c r="O19" i="1"/>
  <c r="T19" i="1" s="1"/>
  <c r="X23" i="1"/>
  <c r="X14" i="1"/>
  <c r="O23" i="1"/>
  <c r="T23" i="1" s="1"/>
  <c r="O25" i="1"/>
  <c r="T25" i="1" s="1"/>
  <c r="O14" i="1"/>
  <c r="T14" i="1" s="1"/>
  <c r="X21" i="1"/>
  <c r="X19" i="1"/>
  <c r="O21" i="1"/>
  <c r="T21" i="1" s="1"/>
  <c r="X25" i="1"/>
  <c r="Y13" i="1"/>
  <c r="Y18" i="1"/>
  <c r="Y20" i="1"/>
  <c r="Y16" i="1"/>
  <c r="O20" i="1"/>
  <c r="T20" i="1" s="1"/>
  <c r="O18" i="1"/>
  <c r="T18" i="1" s="1"/>
  <c r="X13" i="1"/>
  <c r="O16" i="1"/>
  <c r="T16" i="1" s="1"/>
  <c r="X18" i="1"/>
  <c r="X20" i="1"/>
  <c r="O13" i="1"/>
  <c r="T13" i="1" s="1"/>
  <c r="X16" i="1"/>
  <c r="D40" i="2"/>
  <c r="F44" i="2"/>
  <c r="R11" i="1" l="1"/>
  <c r="E11" i="1"/>
  <c r="F11" i="1" s="1"/>
  <c r="R8" i="1"/>
  <c r="I8" i="1"/>
  <c r="E8" i="1"/>
  <c r="F8" i="1" s="1"/>
  <c r="P8" i="1"/>
  <c r="L11" i="1"/>
  <c r="N8" i="1" l="1"/>
  <c r="N11" i="1"/>
  <c r="O11" i="1" s="1"/>
  <c r="T11" i="1" s="1"/>
  <c r="U11" i="1"/>
  <c r="L8" i="1"/>
  <c r="V8" i="1"/>
  <c r="U8" i="1"/>
  <c r="V11" i="1"/>
  <c r="O8" i="1" l="1"/>
  <c r="T8" i="1" s="1"/>
  <c r="Y11" i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V21" i="9"/>
  <c r="L22" i="9"/>
  <c r="V18" i="9"/>
  <c r="V19" i="9"/>
  <c r="L21" i="9"/>
  <c r="L18" i="9"/>
  <c r="U22" i="9"/>
  <c r="U21" i="9"/>
  <c r="U18" i="9"/>
  <c r="U19" i="9"/>
  <c r="L19" i="9"/>
  <c r="V22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5" i="8"/>
  <c r="K13" i="8"/>
  <c r="K12" i="8"/>
  <c r="K11" i="8"/>
  <c r="K16" i="8"/>
  <c r="K14" i="8"/>
  <c r="P14" i="9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L14" i="9"/>
  <c r="S16" i="8"/>
  <c r="V14" i="9"/>
  <c r="S14" i="8"/>
  <c r="Y16" i="8"/>
  <c r="S12" i="8"/>
  <c r="X16" i="8"/>
  <c r="Y13" i="8"/>
  <c r="X13" i="8"/>
  <c r="S11" i="8"/>
  <c r="S15" i="8"/>
  <c r="S13" i="8"/>
  <c r="X15" i="8"/>
  <c r="U14" i="9"/>
  <c r="X12" i="8"/>
  <c r="Y14" i="8"/>
  <c r="Y12" i="8"/>
  <c r="X11" i="8"/>
  <c r="X14" i="8"/>
  <c r="Y15" i="8"/>
  <c r="Y11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L15" i="9"/>
  <c r="U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L9" i="1"/>
  <c r="V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V9" i="9"/>
  <c r="U8" i="9"/>
  <c r="L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O9" i="7"/>
  <c r="U10" i="7"/>
  <c r="U9" i="7"/>
  <c r="T9" i="7"/>
  <c r="H8" i="7"/>
  <c r="T10" i="7"/>
  <c r="O10" i="7"/>
  <c r="K9" i="8"/>
  <c r="U8" i="8" l="1"/>
  <c r="Q9" i="7"/>
  <c r="R9" i="7" s="1"/>
  <c r="S9" i="7" s="1"/>
  <c r="Q10" i="7"/>
  <c r="R10" i="7" s="1"/>
  <c r="S10" i="7" s="1"/>
  <c r="Q8" i="7"/>
  <c r="Y9" i="8"/>
  <c r="S9" i="8"/>
  <c r="U8" i="7"/>
  <c r="K8" i="8"/>
  <c r="X9" i="8"/>
  <c r="O8" i="7"/>
  <c r="T8" i="7"/>
  <c r="V9" i="8" l="1"/>
  <c r="W9" i="8" s="1"/>
  <c r="R8" i="7"/>
  <c r="S8" i="7" s="1"/>
  <c r="Y8" i="8"/>
  <c r="X8" i="8"/>
  <c r="S8" i="8"/>
  <c r="V8" i="8" l="1"/>
  <c r="W8" i="8" s="1"/>
  <c r="G12" i="9" l="1"/>
  <c r="G13" i="9" s="1"/>
  <c r="L12" i="9"/>
  <c r="U12" i="9"/>
  <c r="U11" i="9"/>
  <c r="V12" i="9"/>
  <c r="L11" i="9"/>
  <c r="V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<sst xmlns="http://schemas.openxmlformats.org/spreadsheetml/2006/main" count="1508" uniqueCount="264">
  <si>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</si>
  <si>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</si>
  <si>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</si>
  <si>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</si>
  <si>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</si>
  <si>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</si>
  <si>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</si>
  <si>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</si>
  <si>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</si>
  <si>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</si>
  <si>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</si>
  <si>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</si>
  <si>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</si>
  <si>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</si>
  <si>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</si>
  <si>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</si>
  <si>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</si>
  <si>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</si>
  <si>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</si>
  <si>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</si>
  <si>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</si>
  <si>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</si>
  <si>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</si>
  <si>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</si>
  <si>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</si>
  <si>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</si>
  <si>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</si>
  <si>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</si>
  <si>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</si>
  <si>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</si>
  <si>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</si>
  <si>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</si>
  <si>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</si>
  <si>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</si>
  <si>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</si>
  <si>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</si>
  <si>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</si>
  <si>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</si>
  <si>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</si>
  <si>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</si>
  <si>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</si>
  <si>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</si>
  <si>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</si>
  <si>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</si>
  <si>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</si>
  <si>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</si>
  <si>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</si>
  <si>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</si>
  <si>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</si>
  <si>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</si>
  <si>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</si>
  <si>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</si>
  <si>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</si>
  <si>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</si>
  <si>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</si>
  <si>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</si>
  <si>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</si>
  <si>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</si>
  <si>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</si>
  <si>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</si>
  <si>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</si>
  <si>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</si>
  <si>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</si>
  <si>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</si>
  <si>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</si>
  <si>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</si>
  <si>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</si>
  <si>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</si>
  <si>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</si>
  <si>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</si>
  <si>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</si>
  <si>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</si>
  <si>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</si>
  <si>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</si>
  <si>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</si>
  <si>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</si>
  <si>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</si>
  <si>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</si>
  <si>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</si>
  <si>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</si>
  <si>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</si>
  <si>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</si>
  <si>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</si>
  <si>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</si>
  <si>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</si>
  <si>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</si>
  <si>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</si>
  <si>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</si>
  <si>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</si>
  <si>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</si>
  <si>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</si>
  <si>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</si>
  <si>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</si>
  <si>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</si>
  <si>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</si>
  <si>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</si>
  <si>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</si>
  <si>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</si>
  <si>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</si>
  <si>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</si>
  <si>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</si>
  <si>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</si>
  <si>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</si>
  <si>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</si>
  <si>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</si>
  <si>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</si>
  <si>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</si>
  <si>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</si>
  <si>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</si>
  <si>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</si>
  <si>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</si>
  <si>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</si>
  <si>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</si>
  <si>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</si>
  <si>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</si>
  <si>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</si>
  <si>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</si>
  <si>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</si>
  <si>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</si>
  <si>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</si>
  <si>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</si>
  <si>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</si>
  <si>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</si>
  <si>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</si>
  <si>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</si>
  <si>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</si>
  <si>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</si>
  <si>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</si>
  <si>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</si>
  <si>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</si>
  <si>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</si>
  <si>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</si>
  <si>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</si>
  <si>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</si>
  <si>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</si>
  <si>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</si>
  <si>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</si>
  <si>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</si>
  <si>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</si>
  <si>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</si>
  <si>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</si>
  <si>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</si>
  <si>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</si>
  <si>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</si>
  <si>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</si>
  <si>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</si>
  <si>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</si>
  <si>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</si>
  <si>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</si>
  <si>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</si>
  <si>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</si>
  <si>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</si>
  <si>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</si>
  <si>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</si>
  <si>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</si>
  <si>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</si>
  <si>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</si>
  <si>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</si>
  <si>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</si>
  <si>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</si>
  <si>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</si>
  <si>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</si>
  <si>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</si>
  <si>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</si>
  <si>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</si>
  <si>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</si>
  <si>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</si>
  <si>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</si>
  <si>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</si>
  <si>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</si>
  <si>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</si>
  <si>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</si>
  <si>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</si>
  <si>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</si>
  <si>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</si>
  <si>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</si>
  <si>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</si>
  <si>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</si>
  <si>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</si>
  <si>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</si>
  <si>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</si>
  <si>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</si>
  <si>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</si>
  <si>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</si>
  <si>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</si>
  <si>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rb1810</t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</si>
  <si>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</si>
  <si>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</si>
  <si>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</si>
  <si>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</si>
  <si>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</si>
  <si>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</si>
  <si>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</si>
  <si>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</si>
  <si>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</si>
  <si>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</si>
  <si>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</si>
  <si>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</si>
  <si>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</si>
  <si>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</si>
  <si>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</si>
  <si>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</si>
  <si>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</si>
  <si>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</si>
  <si>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</si>
  <si>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</si>
  <si>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</si>
  <si>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</si>
  <si>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</si>
  <si>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</si>
  <si>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</si>
  <si>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</si>
  <si>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</si>
  <si>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</si>
  <si>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</si>
  <si>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</si>
  <si>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</si>
  <si>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</si>
  <si>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</si>
  <si>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</si>
  <si>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</si>
  <si>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</si>
  <si>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</si>
  <si>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p1809</t>
  </si>
  <si>
    <t>RB1810</t>
  </si>
  <si>
    <t>RB1810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</si>
  <si>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</si>
  <si>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</si>
  <si>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</si>
  <si>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cu1807</t>
  </si>
  <si>
    <t>sc1809</t>
  </si>
  <si>
    <t>sc1809</t>
    <phoneticPr fontId="2" type="noConversion"/>
  </si>
  <si>
    <t>ta809</t>
  </si>
  <si>
    <t>ta809</t>
    <phoneticPr fontId="2" type="noConversion"/>
  </si>
  <si>
    <t>zc809</t>
  </si>
  <si>
    <t>zc809</t>
    <phoneticPr fontId="2" type="noConversion"/>
  </si>
  <si>
    <t>pp1809</t>
  </si>
  <si>
    <t>pp1809</t>
    <phoneticPr fontId="2" type="noConversion"/>
  </si>
  <si>
    <t>v1809</t>
  </si>
  <si>
    <t>cu1807</t>
    <phoneticPr fontId="2" type="noConversion"/>
  </si>
  <si>
    <t>i1809</t>
  </si>
  <si>
    <t>j1809</t>
  </si>
  <si>
    <t>j1809</t>
    <phoneticPr fontId="2" type="noConversion"/>
  </si>
  <si>
    <t>成交回报 l</t>
    <phoneticPr fontId="2" type="noConversion"/>
  </si>
  <si>
    <t>成交回报 2</t>
    <phoneticPr fontId="2" type="noConversion"/>
  </si>
  <si>
    <t>ru1809</t>
  </si>
  <si>
    <t>ru1901</t>
    <phoneticPr fontId="2" type="noConversion"/>
  </si>
  <si>
    <t>cf809</t>
  </si>
  <si>
    <t>cf809</t>
    <phoneticPr fontId="2" type="noConversion"/>
  </si>
  <si>
    <t>m1809</t>
  </si>
  <si>
    <t>m1809</t>
    <phoneticPr fontId="2" type="noConversion"/>
  </si>
  <si>
    <t>m1901</t>
  </si>
  <si>
    <t>3000|3280</t>
  </si>
  <si>
    <t>2950|3350</t>
  </si>
  <si>
    <t>al1808</t>
  </si>
  <si>
    <t>zn1808</t>
  </si>
  <si>
    <t>cu1808</t>
  </si>
  <si>
    <t>cf901</t>
  </si>
  <si>
    <t>al1809</t>
    <phoneticPr fontId="2" type="noConversion"/>
  </si>
  <si>
    <t>中天科技</t>
    <phoneticPr fontId="2" type="noConversion"/>
  </si>
  <si>
    <t>al1808</t>
    <phoneticPr fontId="2" type="noConversion"/>
  </si>
  <si>
    <t>hc1810</t>
  </si>
  <si>
    <t>sr901</t>
  </si>
  <si>
    <t>Example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</si>
</sst>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0.000000000000000_ "/>
    <numFmt numFmtId="182" formatCode="#,##0_ "/>
    <numFmt numFmtId="184" formatCode="_ * #,##0_ ;_ * \-#,##0_ ;_ * &quot;-&quot;??_ ;_ @_ "/>
  </numFmts>
  <fonts count="3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2"/>
      <scheme val="minor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/>
    <xf numFmtId="9" fontId="36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50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0" fontId="35" fillId="4" borderId="2" xfId="0" applyFont="1" applyFill="1" applyBorder="1"/>
    <xf numFmtId="10" fontId="6" fillId="6" borderId="0" xfId="0" applyNumberFormat="1" applyFont="1" applyFill="1"/>
    <xf numFmtId="181" fontId="6" fillId="6" borderId="0" xfId="0" applyNumberFormat="1" applyFont="1" applyFill="1"/>
    <xf numFmtId="182" fontId="13" fillId="9" borderId="6" xfId="0" applyNumberFormat="1" applyFont="1" applyFill="1" applyBorder="1"/>
    <xf numFmtId="182" fontId="13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32" fillId="10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84" fontId="6" fillId="6" borderId="0" xfId="5" applyNumberFormat="1" applyFont="1" applyFill="1" applyAlignment="1"/>
    <xf numFmtId="179" fontId="6" fillId="9" borderId="2" xfId="0" applyNumberFormat="1" applyFont="1" applyFill="1" applyBorder="1"/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11465</v>
        <stp/>
        <stp>ru1809</stp>
        <stp>LastPrice</stp>
        <tr r="P36" s="1"/>
        <tr r="P37" s="1"/>
      </tp>
      <tp>
        <v>13475</v>
        <stp/>
        <stp>ru1901</stp>
        <stp>LastPrice</stp>
        <tr r="P38" s="1"/>
      </tp>
      <tp>
        <v>14910</v>
        <stp/>
        <stp>al1808</stp>
        <stp>LastPrice</stp>
        <tr r="P9" s="1"/>
        <tr r="P8" s="1"/>
      </tp>
      <tp>
        <v>483</v>
        <stp/>
        <stp>i1809</stp>
        <stp>LastPrice</stp>
        <tr r="P11" s="9"/>
        <tr r="P28" s="1"/>
        <tr r="P29" s="1"/>
        <tr r="P44" s="1"/>
        <tr r="P46" s="1"/>
        <tr r="P45" s="1"/>
        <tr r="P49" s="1"/>
        <tr r="P48" s="1"/>
        <tr r="P47" s="1"/>
      </tp>
      <tp>
        <v>2968</v>
        <stp/>
        <stp>m1809</stp>
        <stp>LastPrice</stp>
        <tr r="P18" s="9"/>
        <tr r="P21" s="9"/>
        <tr r="P26" s="9"/>
        <tr r="P29" s="9"/>
      </tp>
      <tp>
        <v>3676</v>
        <stp/>
        <stp>rb1810</stp>
        <stp>LastPrice</stp>
        <tr r="P14" s="9"/>
        <tr r="P19" s="1"/>
        <tr r="P20" s="1"/>
        <tr r="P21" s="1"/>
      </tp>
      <tp t="e">
        <v>#N/A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26"/>
  <sheetViews>
    <sheetView topLeftCell="A98" zoomScaleNormal="100" workbookViewId="0">
      <selection activeCell="E135" sqref="E135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2" t="s">
        <v>158</v>
      </c>
      <c r="C1" s="122"/>
      <c r="D1" s="122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229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229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229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229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230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230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232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234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 x14ac:dyDescent="0.15">
      <c r="B33" s="92" t="s">
        <v>160</v>
      </c>
      <c r="C33" s="92" t="s">
        <v>234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 x14ac:dyDescent="0.15">
      <c r="B34" s="92" t="s">
        <v>160</v>
      </c>
      <c r="C34" s="92" t="s">
        <v>234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 x14ac:dyDescent="0.15">
      <c r="B35" s="92" t="s">
        <v>160</v>
      </c>
      <c r="C35" s="92" t="s">
        <v>234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 x14ac:dyDescent="0.15">
      <c r="B37" s="92" t="s">
        <v>160</v>
      </c>
      <c r="C37" s="92" t="s">
        <v>236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 x14ac:dyDescent="0.15">
      <c r="B39" s="92" t="s">
        <v>160</v>
      </c>
      <c r="C39" s="92" t="s">
        <v>238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 x14ac:dyDescent="0.15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 x14ac:dyDescent="0.15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 x14ac:dyDescent="0.15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 x14ac:dyDescent="0.15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 x14ac:dyDescent="0.15">
      <c r="B45" s="92" t="s">
        <v>160</v>
      </c>
      <c r="C45" s="92" t="s">
        <v>229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 x14ac:dyDescent="0.15">
      <c r="B47" s="92" t="s">
        <v>160</v>
      </c>
      <c r="C47" s="92" t="s">
        <v>240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 x14ac:dyDescent="0.15">
      <c r="B48" s="92" t="s">
        <v>160</v>
      </c>
      <c r="C48" s="92" t="s">
        <v>240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 x14ac:dyDescent="0.15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 x14ac:dyDescent="0.15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 x14ac:dyDescent="0.15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 x14ac:dyDescent="0.15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 x14ac:dyDescent="0.15">
      <c r="B53" s="92" t="s">
        <v>160</v>
      </c>
      <c r="C53" s="92" t="s">
        <v>241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 x14ac:dyDescent="0.15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 x14ac:dyDescent="0.15">
      <c r="B55" s="92" t="s">
        <v>160</v>
      </c>
      <c r="C55" s="92" t="s">
        <v>245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 x14ac:dyDescent="0.15">
      <c r="B56" s="92" t="s">
        <v>160</v>
      </c>
      <c r="C56" s="92" t="s">
        <v>245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 x14ac:dyDescent="0.15">
      <c r="B57" s="92" t="s">
        <v>160</v>
      </c>
      <c r="C57" s="92" t="s">
        <v>245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 x14ac:dyDescent="0.15">
      <c r="B59" s="92" t="s">
        <v>160</v>
      </c>
      <c r="C59" s="92" t="s">
        <v>247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 x14ac:dyDescent="0.15">
      <c r="B60" s="92" t="s">
        <v>160</v>
      </c>
      <c r="C60" s="92" t="s">
        <v>247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 x14ac:dyDescent="0.15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 x14ac:dyDescent="0.15">
      <c r="B62" s="92" t="s">
        <v>160</v>
      </c>
      <c r="C62" s="92" t="s">
        <v>249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 x14ac:dyDescent="0.15">
      <c r="B63" s="92" t="s">
        <v>160</v>
      </c>
      <c r="C63" s="92" t="s">
        <v>249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 x14ac:dyDescent="0.15">
      <c r="B64" s="92" t="s">
        <v>160</v>
      </c>
      <c r="C64" s="92" t="s">
        <v>249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 x14ac:dyDescent="0.15">
      <c r="B65" s="92" t="s">
        <v>160</v>
      </c>
      <c r="C65" s="92" t="s">
        <v>251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 x14ac:dyDescent="0.15">
      <c r="B66" s="92" t="s">
        <v>160</v>
      </c>
      <c r="C66" s="92" t="s">
        <v>251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 x14ac:dyDescent="0.15">
      <c r="B67" s="92" t="s">
        <v>160</v>
      </c>
      <c r="C67" s="92" t="s">
        <v>251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 x14ac:dyDescent="0.15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 x14ac:dyDescent="0.15">
      <c r="B69" s="92" t="s">
        <v>160</v>
      </c>
      <c r="C69" s="92" t="s">
        <v>230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 x14ac:dyDescent="0.15">
      <c r="B70" s="92" t="s">
        <v>160</v>
      </c>
      <c r="C70" s="92" t="s">
        <v>230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 x14ac:dyDescent="0.15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92" t="s">
        <v>160</v>
      </c>
      <c r="C72" s="92" t="s">
        <v>249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 x14ac:dyDescent="0.15">
      <c r="B73" s="92" t="s">
        <v>160</v>
      </c>
      <c r="C73" s="92" t="s">
        <v>249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 x14ac:dyDescent="0.15">
      <c r="B74" s="92" t="s">
        <v>160</v>
      </c>
      <c r="C74" s="92" t="s">
        <v>249</v>
      </c>
      <c r="D74" s="93">
        <v>43230</v>
      </c>
      <c r="E74" s="93">
        <v>43261</v>
      </c>
      <c r="F74" s="92" t="s">
        <v>252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 x14ac:dyDescent="0.15">
      <c r="B75" s="92" t="s">
        <v>160</v>
      </c>
      <c r="C75" s="92" t="s">
        <v>249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 x14ac:dyDescent="0.15">
      <c r="B76" s="92" t="s">
        <v>160</v>
      </c>
      <c r="C76" s="92" t="s">
        <v>249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 x14ac:dyDescent="0.15">
      <c r="B77" s="92" t="s">
        <v>160</v>
      </c>
      <c r="C77" s="92" t="s">
        <v>249</v>
      </c>
      <c r="D77" s="93">
        <v>43230</v>
      </c>
      <c r="E77" s="93">
        <v>43322</v>
      </c>
      <c r="F77" s="92" t="s">
        <v>252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 x14ac:dyDescent="0.15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 x14ac:dyDescent="0.15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 x14ac:dyDescent="0.15">
      <c r="B80" s="92" t="s">
        <v>160</v>
      </c>
      <c r="C80" s="92" t="s">
        <v>249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 x14ac:dyDescent="0.15">
      <c r="B81" s="92" t="s">
        <v>160</v>
      </c>
      <c r="C81" s="92" t="s">
        <v>249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 x14ac:dyDescent="0.15">
      <c r="B82" s="92" t="s">
        <v>160</v>
      </c>
      <c r="C82" s="92" t="s">
        <v>249</v>
      </c>
      <c r="D82" s="93">
        <v>43230</v>
      </c>
      <c r="E82" s="93">
        <v>43261</v>
      </c>
      <c r="F82" s="92" t="s">
        <v>253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 x14ac:dyDescent="0.15">
      <c r="B83" s="92" t="s">
        <v>160</v>
      </c>
      <c r="C83" s="92" t="s">
        <v>249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 x14ac:dyDescent="0.15">
      <c r="B84" s="92" t="s">
        <v>160</v>
      </c>
      <c r="C84" s="92" t="s">
        <v>249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 x14ac:dyDescent="0.15">
      <c r="B85" s="92" t="s">
        <v>160</v>
      </c>
      <c r="C85" s="92" t="s">
        <v>249</v>
      </c>
      <c r="D85" s="93">
        <v>43230</v>
      </c>
      <c r="E85" s="93">
        <v>43322</v>
      </c>
      <c r="F85" s="92" t="s">
        <v>253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  <row r="86" spans="2:18" x14ac:dyDescent="0.15">
      <c r="B86" s="91" t="s">
        <v>2</v>
      </c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92" t="s">
        <v>160</v>
      </c>
      <c r="C87" s="92" t="s">
        <v>185</v>
      </c>
      <c r="D87" s="93">
        <v>43231</v>
      </c>
      <c r="E87" s="93">
        <v>43259</v>
      </c>
      <c r="F87" s="92">
        <v>3300</v>
      </c>
      <c r="G87" s="92">
        <v>28</v>
      </c>
      <c r="H87" s="92">
        <v>7.6712328767123292E-2</v>
      </c>
      <c r="I87" s="92">
        <v>0</v>
      </c>
      <c r="J87" s="92">
        <v>0.22</v>
      </c>
      <c r="K87" s="92">
        <v>4.4506546422274198</v>
      </c>
      <c r="L87" s="92"/>
      <c r="M87" s="92">
        <v>0</v>
      </c>
      <c r="N87" s="99">
        <v>4.4506546422274198</v>
      </c>
      <c r="O87" s="92">
        <v>3647</v>
      </c>
      <c r="P87" s="92" t="s">
        <v>85</v>
      </c>
      <c r="Q87" s="92">
        <v>1</v>
      </c>
      <c r="R87" s="92" t="s">
        <v>151</v>
      </c>
    </row>
    <row r="88" spans="2:18" x14ac:dyDescent="0.15">
      <c r="B88" s="92" t="s">
        <v>160</v>
      </c>
      <c r="C88" s="92" t="s">
        <v>185</v>
      </c>
      <c r="D88" s="93">
        <v>43231</v>
      </c>
      <c r="E88" s="93">
        <v>43259</v>
      </c>
      <c r="F88" s="92">
        <v>3350</v>
      </c>
      <c r="G88" s="92">
        <v>28</v>
      </c>
      <c r="H88" s="92">
        <v>7.6712328767123292E-2</v>
      </c>
      <c r="I88" s="92">
        <v>0</v>
      </c>
      <c r="J88" s="92">
        <v>0.2225</v>
      </c>
      <c r="K88" s="92">
        <v>8.2664551688841357</v>
      </c>
      <c r="L88" s="92"/>
      <c r="M88" s="92">
        <v>0</v>
      </c>
      <c r="N88" s="99">
        <v>8.2664551688841357</v>
      </c>
      <c r="O88" s="92">
        <v>3647</v>
      </c>
      <c r="P88" s="92" t="s">
        <v>85</v>
      </c>
      <c r="Q88" s="92">
        <v>1</v>
      </c>
      <c r="R88" s="92" t="s">
        <v>151</v>
      </c>
    </row>
    <row r="89" spans="2:18" x14ac:dyDescent="0.15">
      <c r="B89" s="92" t="s">
        <v>160</v>
      </c>
      <c r="C89" s="92" t="s">
        <v>185</v>
      </c>
      <c r="D89" s="93">
        <v>43231</v>
      </c>
      <c r="E89" s="93">
        <v>43259</v>
      </c>
      <c r="F89" s="92">
        <v>3400</v>
      </c>
      <c r="G89" s="92">
        <v>28</v>
      </c>
      <c r="H89" s="92">
        <v>7.6712328767123292E-2</v>
      </c>
      <c r="I89" s="92">
        <v>0</v>
      </c>
      <c r="J89" s="92">
        <v>0.22500000000000001</v>
      </c>
      <c r="K89" s="92">
        <v>14.292243567169294</v>
      </c>
      <c r="L89" s="92"/>
      <c r="M89" s="92">
        <v>0</v>
      </c>
      <c r="N89" s="99">
        <v>14.292243567169294</v>
      </c>
      <c r="O89" s="92">
        <v>3647</v>
      </c>
      <c r="P89" s="92" t="s">
        <v>85</v>
      </c>
      <c r="Q89" s="92">
        <v>1</v>
      </c>
      <c r="R89" s="92" t="s">
        <v>151</v>
      </c>
    </row>
    <row r="90" spans="2:18" x14ac:dyDescent="0.15">
      <c r="B90" s="91" t="s">
        <v>2</v>
      </c>
      <c r="C90" s="33" t="s">
        <v>181</v>
      </c>
      <c r="D90" s="33" t="s">
        <v>180</v>
      </c>
      <c r="E90" s="33" t="s">
        <v>10</v>
      </c>
      <c r="F90" s="33" t="s">
        <v>184</v>
      </c>
      <c r="G90" s="33" t="s">
        <v>11</v>
      </c>
      <c r="H90" s="33" t="s">
        <v>12</v>
      </c>
      <c r="I90" s="33" t="s">
        <v>47</v>
      </c>
      <c r="J90" s="33" t="s">
        <v>13</v>
      </c>
      <c r="K90" s="33" t="s">
        <v>14</v>
      </c>
      <c r="L90" s="33" t="s">
        <v>26</v>
      </c>
      <c r="M90" s="33" t="s">
        <v>28</v>
      </c>
      <c r="N90" s="33" t="s">
        <v>182</v>
      </c>
      <c r="O90" s="33" t="s">
        <v>8</v>
      </c>
      <c r="P90" s="33" t="s">
        <v>23</v>
      </c>
      <c r="Q90" s="33"/>
      <c r="R90" s="33" t="s">
        <v>30</v>
      </c>
    </row>
    <row r="91" spans="2:18" x14ac:dyDescent="0.15">
      <c r="B91" s="92" t="s">
        <v>160</v>
      </c>
      <c r="C91" s="92" t="s">
        <v>254</v>
      </c>
      <c r="D91" s="93">
        <v>43231</v>
      </c>
      <c r="E91" s="93">
        <v>43262</v>
      </c>
      <c r="F91" s="92">
        <v>100</v>
      </c>
      <c r="G91" s="92">
        <v>31</v>
      </c>
      <c r="H91" s="92">
        <v>8.4931506849315067E-2</v>
      </c>
      <c r="I91" s="92">
        <v>0</v>
      </c>
      <c r="J91" s="92">
        <v>0.16500000000000001</v>
      </c>
      <c r="K91" s="92">
        <v>1.9149122565538121</v>
      </c>
      <c r="L91" s="92"/>
      <c r="M91" s="92">
        <v>0</v>
      </c>
      <c r="N91" s="99">
        <v>1.9149122565538121</v>
      </c>
      <c r="O91" s="92">
        <v>100</v>
      </c>
      <c r="P91" s="92"/>
      <c r="Q91" s="92">
        <v>1</v>
      </c>
      <c r="R91" s="92" t="s">
        <v>151</v>
      </c>
    </row>
    <row r="92" spans="2:18" x14ac:dyDescent="0.15">
      <c r="B92" s="92"/>
      <c r="C92" s="92"/>
      <c r="D92" s="93"/>
      <c r="E92" s="93"/>
      <c r="F92" s="92"/>
      <c r="G92" s="92"/>
      <c r="H92" s="92"/>
      <c r="I92" s="92"/>
      <c r="J92" s="92"/>
      <c r="K92" s="92"/>
      <c r="L92" s="92"/>
      <c r="M92" s="92"/>
      <c r="N92" s="99"/>
      <c r="O92" s="92"/>
      <c r="P92" s="92"/>
      <c r="Q92" s="92"/>
      <c r="R92" s="92"/>
    </row>
    <row r="93" spans="2:18" x14ac:dyDescent="0.15">
      <c r="B93" s="92" t="s">
        <v>160</v>
      </c>
      <c r="C93" s="92" t="s">
        <v>255</v>
      </c>
      <c r="D93" s="93">
        <v>43231</v>
      </c>
      <c r="E93" s="93">
        <v>43262</v>
      </c>
      <c r="F93" s="92">
        <v>100</v>
      </c>
      <c r="G93" s="92">
        <v>31</v>
      </c>
      <c r="H93" s="92">
        <v>8.4931506849315067E-2</v>
      </c>
      <c r="I93" s="92">
        <v>0</v>
      </c>
      <c r="J93" s="92">
        <v>0.16250000000000001</v>
      </c>
      <c r="K93" s="92">
        <v>1.8859038982856404</v>
      </c>
      <c r="L93" s="92"/>
      <c r="M93" s="92">
        <v>0</v>
      </c>
      <c r="N93" s="99">
        <v>1.8859038982856404</v>
      </c>
      <c r="O93" s="92">
        <v>100</v>
      </c>
      <c r="P93" s="92"/>
      <c r="Q93" s="92">
        <v>1</v>
      </c>
      <c r="R93" s="92" t="s">
        <v>151</v>
      </c>
    </row>
    <row r="94" spans="2:18" x14ac:dyDescent="0.15">
      <c r="B94" s="92"/>
      <c r="C94" s="92"/>
      <c r="D94" s="93"/>
      <c r="E94" s="93"/>
      <c r="F94" s="92"/>
      <c r="G94" s="92"/>
      <c r="H94" s="92"/>
      <c r="I94" s="92"/>
      <c r="J94" s="92"/>
      <c r="K94" s="92"/>
      <c r="L94" s="92"/>
      <c r="M94" s="92"/>
      <c r="N94" s="99"/>
      <c r="O94" s="92"/>
      <c r="P94" s="92"/>
      <c r="Q94" s="92"/>
      <c r="R94" s="92"/>
    </row>
    <row r="95" spans="2:18" x14ac:dyDescent="0.15">
      <c r="B95" s="92" t="s">
        <v>160</v>
      </c>
      <c r="C95" s="92" t="s">
        <v>256</v>
      </c>
      <c r="D95" s="93">
        <v>43231</v>
      </c>
      <c r="E95" s="93">
        <v>43262</v>
      </c>
      <c r="F95" s="92">
        <v>100</v>
      </c>
      <c r="G95" s="92">
        <v>31</v>
      </c>
      <c r="H95" s="92">
        <v>8.4931506849315067E-2</v>
      </c>
      <c r="I95" s="92">
        <v>0</v>
      </c>
      <c r="J95" s="92">
        <v>0.13750000000000001</v>
      </c>
      <c r="K95" s="92">
        <v>1.595807188203942</v>
      </c>
      <c r="L95" s="92"/>
      <c r="M95" s="92">
        <v>0</v>
      </c>
      <c r="N95" s="99">
        <v>1.595807188203942</v>
      </c>
      <c r="O95" s="92">
        <v>100</v>
      </c>
      <c r="P95" s="92"/>
      <c r="Q95" s="92">
        <v>1</v>
      </c>
      <c r="R95" s="92" t="s">
        <v>151</v>
      </c>
    </row>
    <row r="96" spans="2:18" x14ac:dyDescent="0.15">
      <c r="B96" s="92" t="s">
        <v>160</v>
      </c>
      <c r="C96" s="92" t="s">
        <v>256</v>
      </c>
      <c r="D96" s="93">
        <v>43231</v>
      </c>
      <c r="E96" s="93">
        <v>43262</v>
      </c>
      <c r="F96" s="92">
        <v>100</v>
      </c>
      <c r="G96" s="92">
        <v>31</v>
      </c>
      <c r="H96" s="92">
        <v>8.4931506849315067E-2</v>
      </c>
      <c r="I96" s="92">
        <v>0</v>
      </c>
      <c r="J96" s="92">
        <v>0.1875</v>
      </c>
      <c r="K96" s="92">
        <v>-2.1759755861492565</v>
      </c>
      <c r="L96" s="92"/>
      <c r="M96" s="92">
        <v>0</v>
      </c>
      <c r="N96" s="99">
        <v>2.1759755861492565</v>
      </c>
      <c r="O96" s="92">
        <v>100</v>
      </c>
      <c r="P96" s="92"/>
      <c r="Q96" s="92">
        <v>-1</v>
      </c>
      <c r="R96" s="92" t="s">
        <v>20</v>
      </c>
    </row>
    <row r="97" spans="2:18" x14ac:dyDescent="0.15">
      <c r="B97" s="92"/>
      <c r="C97" s="92"/>
      <c r="D97" s="93"/>
      <c r="E97" s="93"/>
      <c r="F97" s="92"/>
      <c r="G97" s="92"/>
      <c r="H97" s="92"/>
      <c r="I97" s="92"/>
      <c r="J97" s="92"/>
      <c r="K97" s="92"/>
      <c r="L97" s="92"/>
      <c r="M97" s="92"/>
      <c r="N97" s="99"/>
      <c r="O97" s="92"/>
      <c r="P97" s="92"/>
      <c r="Q97" s="92"/>
      <c r="R97" s="92"/>
    </row>
    <row r="98" spans="2:18" x14ac:dyDescent="0.15">
      <c r="B98" s="92" t="s">
        <v>160</v>
      </c>
      <c r="C98" s="92" t="s">
        <v>249</v>
      </c>
      <c r="D98" s="93">
        <v>43231</v>
      </c>
      <c r="E98" s="93">
        <v>43251</v>
      </c>
      <c r="F98" s="92">
        <v>100</v>
      </c>
      <c r="G98" s="92">
        <v>20</v>
      </c>
      <c r="H98" s="92">
        <v>5.4794520547945202E-2</v>
      </c>
      <c r="I98" s="92">
        <v>0</v>
      </c>
      <c r="J98" s="92">
        <v>0.18</v>
      </c>
      <c r="K98" s="92">
        <v>1.6789705266844948</v>
      </c>
      <c r="L98" s="92"/>
      <c r="M98" s="92">
        <v>0</v>
      </c>
      <c r="N98" s="99">
        <v>1.6789705266844948</v>
      </c>
      <c r="O98" s="92">
        <v>100</v>
      </c>
      <c r="P98" s="92"/>
      <c r="Q98" s="92">
        <v>1</v>
      </c>
      <c r="R98" s="92" t="s">
        <v>151</v>
      </c>
    </row>
    <row r="99" spans="2:18" x14ac:dyDescent="0.15">
      <c r="B99" s="92" t="s">
        <v>160</v>
      </c>
      <c r="C99" s="92" t="s">
        <v>249</v>
      </c>
      <c r="D99" s="93">
        <v>43231</v>
      </c>
      <c r="E99" s="93">
        <v>43281</v>
      </c>
      <c r="F99" s="92">
        <v>100</v>
      </c>
      <c r="G99" s="92">
        <v>50</v>
      </c>
      <c r="H99" s="92">
        <v>0.13698630136986301</v>
      </c>
      <c r="I99" s="92">
        <v>0</v>
      </c>
      <c r="J99" s="92">
        <v>0.24</v>
      </c>
      <c r="K99" s="92">
        <v>-3.5328668252653728</v>
      </c>
      <c r="L99" s="92"/>
      <c r="M99" s="92">
        <v>0</v>
      </c>
      <c r="N99" s="99">
        <v>3.5328668252653728</v>
      </c>
      <c r="O99" s="92">
        <v>100</v>
      </c>
      <c r="P99" s="92"/>
      <c r="Q99" s="92">
        <v>-1</v>
      </c>
      <c r="R99" s="92" t="s">
        <v>20</v>
      </c>
    </row>
    <row r="100" spans="2:18" x14ac:dyDescent="0.15">
      <c r="B100" s="92"/>
      <c r="C100" s="92"/>
      <c r="D100" s="93"/>
      <c r="E100" s="93"/>
      <c r="F100" s="92"/>
      <c r="G100" s="92"/>
      <c r="H100" s="92"/>
      <c r="I100" s="92"/>
      <c r="J100" s="92"/>
      <c r="K100" s="92"/>
      <c r="L100" s="92"/>
      <c r="M100" s="92"/>
      <c r="N100" s="99"/>
      <c r="O100" s="92"/>
      <c r="P100" s="92"/>
      <c r="Q100" s="92"/>
      <c r="R100" s="92"/>
    </row>
    <row r="101" spans="2:18" x14ac:dyDescent="0.15">
      <c r="B101" s="92" t="s">
        <v>160</v>
      </c>
      <c r="C101" s="92" t="s">
        <v>247</v>
      </c>
      <c r="D101" s="93">
        <v>43231</v>
      </c>
      <c r="E101" s="93">
        <v>43262</v>
      </c>
      <c r="F101" s="92">
        <v>100</v>
      </c>
      <c r="G101" s="92">
        <v>31</v>
      </c>
      <c r="H101" s="92">
        <v>8.4931506849315067E-2</v>
      </c>
      <c r="I101" s="92">
        <v>0</v>
      </c>
      <c r="J101" s="92">
        <v>8.5000000000000006E-2</v>
      </c>
      <c r="K101" s="92">
        <v>0.98653976806129151</v>
      </c>
      <c r="L101" s="92"/>
      <c r="M101" s="92">
        <v>0</v>
      </c>
      <c r="N101" s="99">
        <v>0.98653976806129151</v>
      </c>
      <c r="O101" s="92">
        <v>100</v>
      </c>
      <c r="P101" s="92"/>
      <c r="Q101" s="92">
        <v>1</v>
      </c>
      <c r="R101" s="92" t="s">
        <v>151</v>
      </c>
    </row>
    <row r="102" spans="2:18" x14ac:dyDescent="0.15">
      <c r="B102" s="92" t="s">
        <v>160</v>
      </c>
      <c r="C102" s="92" t="s">
        <v>257</v>
      </c>
      <c r="D102" s="93">
        <v>43231</v>
      </c>
      <c r="E102" s="93">
        <v>43262</v>
      </c>
      <c r="F102" s="92">
        <v>100</v>
      </c>
      <c r="G102" s="92">
        <v>31</v>
      </c>
      <c r="H102" s="92">
        <v>8.4931506849315067E-2</v>
      </c>
      <c r="I102" s="92">
        <v>0</v>
      </c>
      <c r="J102" s="92">
        <v>0.14499999999999999</v>
      </c>
      <c r="K102" s="92">
        <v>-1.6828385996297825</v>
      </c>
      <c r="L102" s="92"/>
      <c r="M102" s="92">
        <v>0</v>
      </c>
      <c r="N102" s="99">
        <v>1.6828385996297825</v>
      </c>
      <c r="O102" s="92">
        <v>100</v>
      </c>
      <c r="P102" s="92"/>
      <c r="Q102" s="92">
        <v>-1</v>
      </c>
      <c r="R102" s="92" t="s">
        <v>20</v>
      </c>
    </row>
    <row r="103" spans="2:18" x14ac:dyDescent="0.15">
      <c r="B103" s="91" t="s">
        <v>2</v>
      </c>
      <c r="C103" s="33" t="s">
        <v>181</v>
      </c>
      <c r="D103" s="33" t="s">
        <v>180</v>
      </c>
      <c r="E103" s="33" t="s">
        <v>10</v>
      </c>
      <c r="F103" s="33" t="s">
        <v>184</v>
      </c>
      <c r="G103" s="33" t="s">
        <v>11</v>
      </c>
      <c r="H103" s="33" t="s">
        <v>12</v>
      </c>
      <c r="I103" s="33" t="s">
        <v>47</v>
      </c>
      <c r="J103" s="33" t="s">
        <v>13</v>
      </c>
      <c r="K103" s="33" t="s">
        <v>14</v>
      </c>
      <c r="L103" s="33" t="s">
        <v>26</v>
      </c>
      <c r="M103" s="33" t="s">
        <v>28</v>
      </c>
      <c r="N103" s="33" t="s">
        <v>182</v>
      </c>
      <c r="O103" s="33" t="s">
        <v>8</v>
      </c>
      <c r="P103" s="33" t="s">
        <v>23</v>
      </c>
      <c r="Q103" s="33"/>
      <c r="R103" s="33" t="s">
        <v>30</v>
      </c>
    </row>
    <row r="104" spans="2:18" x14ac:dyDescent="0.15">
      <c r="B104" s="92" t="s">
        <v>160</v>
      </c>
      <c r="C104" s="92" t="s">
        <v>234</v>
      </c>
      <c r="D104" s="93">
        <v>43234</v>
      </c>
      <c r="E104" s="93">
        <v>43265</v>
      </c>
      <c r="F104" s="92">
        <v>100</v>
      </c>
      <c r="G104" s="92">
        <v>31</v>
      </c>
      <c r="H104" s="92">
        <v>8.4931506849315067E-2</v>
      </c>
      <c r="I104" s="92">
        <v>0</v>
      </c>
      <c r="J104" s="92">
        <v>0.17</v>
      </c>
      <c r="K104" s="92">
        <v>1.9729282070317495</v>
      </c>
      <c r="L104" s="92"/>
      <c r="M104" s="92">
        <v>0</v>
      </c>
      <c r="N104" s="99">
        <v>1.9729282070317495</v>
      </c>
      <c r="O104" s="92">
        <v>100</v>
      </c>
      <c r="P104" s="92" t="s">
        <v>39</v>
      </c>
      <c r="Q104" s="92">
        <v>1</v>
      </c>
      <c r="R104" s="92" t="s">
        <v>151</v>
      </c>
    </row>
    <row r="105" spans="2:18" x14ac:dyDescent="0.15">
      <c r="B105" s="92" t="s">
        <v>160</v>
      </c>
      <c r="C105" s="92" t="s">
        <v>234</v>
      </c>
      <c r="D105" s="93">
        <v>43234</v>
      </c>
      <c r="E105" s="93">
        <v>43265</v>
      </c>
      <c r="F105" s="92">
        <v>100</v>
      </c>
      <c r="G105" s="92">
        <v>31</v>
      </c>
      <c r="H105" s="92">
        <v>8.4931506849315067E-2</v>
      </c>
      <c r="I105" s="92">
        <v>0</v>
      </c>
      <c r="J105" s="92">
        <v>0.23</v>
      </c>
      <c r="K105" s="92">
        <v>-2.6690291414690392</v>
      </c>
      <c r="L105" s="92"/>
      <c r="M105" s="92">
        <v>0</v>
      </c>
      <c r="N105" s="99">
        <v>2.6690291414690392</v>
      </c>
      <c r="O105" s="92">
        <v>100</v>
      </c>
      <c r="P105" s="92" t="s">
        <v>39</v>
      </c>
      <c r="Q105" s="92">
        <v>-1</v>
      </c>
      <c r="R105" s="92" t="s">
        <v>20</v>
      </c>
    </row>
    <row r="106" spans="2:18" x14ac:dyDescent="0.15">
      <c r="B106" s="92"/>
      <c r="C106" s="92"/>
      <c r="D106" s="93"/>
      <c r="E106" s="93"/>
      <c r="F106" s="92">
        <v>100</v>
      </c>
      <c r="G106" s="92"/>
      <c r="H106" s="92"/>
      <c r="I106" s="92"/>
      <c r="J106" s="92"/>
      <c r="K106" s="92"/>
      <c r="L106" s="92"/>
      <c r="M106" s="92"/>
      <c r="N106" s="99"/>
      <c r="O106" s="92">
        <v>100</v>
      </c>
      <c r="P106" s="92"/>
      <c r="Q106" s="92"/>
      <c r="R106" s="92"/>
    </row>
    <row r="107" spans="2:18" x14ac:dyDescent="0.15">
      <c r="B107" s="92" t="s">
        <v>160</v>
      </c>
      <c r="C107" s="92" t="s">
        <v>234</v>
      </c>
      <c r="D107" s="93">
        <v>43234</v>
      </c>
      <c r="E107" s="93">
        <v>43295</v>
      </c>
      <c r="F107" s="92">
        <v>100</v>
      </c>
      <c r="G107" s="92">
        <v>61</v>
      </c>
      <c r="H107" s="92">
        <v>0.16712328767123288</v>
      </c>
      <c r="I107" s="92">
        <v>0</v>
      </c>
      <c r="J107" s="92">
        <v>0.17499999999999999</v>
      </c>
      <c r="K107" s="92">
        <v>2.8439527536967617</v>
      </c>
      <c r="L107" s="92"/>
      <c r="M107" s="92">
        <v>0</v>
      </c>
      <c r="N107" s="99">
        <v>2.8439527536967617</v>
      </c>
      <c r="O107" s="92">
        <v>100</v>
      </c>
      <c r="P107" s="92" t="s">
        <v>39</v>
      </c>
      <c r="Q107" s="92">
        <v>1</v>
      </c>
      <c r="R107" s="92" t="s">
        <v>151</v>
      </c>
    </row>
    <row r="108" spans="2:18" x14ac:dyDescent="0.15">
      <c r="B108" s="92" t="s">
        <v>160</v>
      </c>
      <c r="C108" s="92" t="s">
        <v>234</v>
      </c>
      <c r="D108" s="93">
        <v>43234</v>
      </c>
      <c r="E108" s="93">
        <v>43295</v>
      </c>
      <c r="F108" s="92">
        <v>100</v>
      </c>
      <c r="G108" s="92">
        <v>61</v>
      </c>
      <c r="H108" s="92">
        <v>0.16712328767123288</v>
      </c>
      <c r="I108" s="92">
        <v>0</v>
      </c>
      <c r="J108" s="92">
        <v>0.24</v>
      </c>
      <c r="K108" s="92">
        <v>-3.8995456842853713</v>
      </c>
      <c r="L108" s="92"/>
      <c r="M108" s="92">
        <v>0</v>
      </c>
      <c r="N108" s="99">
        <v>3.8995456842853713</v>
      </c>
      <c r="O108" s="92">
        <v>100</v>
      </c>
      <c r="P108" s="92" t="s">
        <v>39</v>
      </c>
      <c r="Q108" s="92">
        <v>-1</v>
      </c>
      <c r="R108" s="92" t="s">
        <v>20</v>
      </c>
    </row>
    <row r="109" spans="2:18" x14ac:dyDescent="0.15">
      <c r="B109" s="92"/>
      <c r="C109" s="92"/>
      <c r="D109" s="93"/>
      <c r="E109" s="93"/>
      <c r="F109" s="92">
        <v>100</v>
      </c>
      <c r="G109" s="92"/>
      <c r="H109" s="92"/>
      <c r="I109" s="92"/>
      <c r="J109" s="92"/>
      <c r="K109" s="92"/>
      <c r="L109" s="92"/>
      <c r="M109" s="92"/>
      <c r="N109" s="99"/>
      <c r="O109" s="92">
        <v>100</v>
      </c>
      <c r="P109" s="92"/>
      <c r="Q109" s="92"/>
      <c r="R109" s="92"/>
    </row>
    <row r="110" spans="2:18" x14ac:dyDescent="0.15">
      <c r="B110" s="92" t="s">
        <v>160</v>
      </c>
      <c r="C110" s="92" t="s">
        <v>236</v>
      </c>
      <c r="D110" s="93">
        <v>43234</v>
      </c>
      <c r="E110" s="93">
        <v>43265</v>
      </c>
      <c r="F110" s="92">
        <v>100</v>
      </c>
      <c r="G110" s="92">
        <v>31</v>
      </c>
      <c r="H110" s="92">
        <v>8.4931506849315067E-2</v>
      </c>
      <c r="I110" s="92">
        <v>0</v>
      </c>
      <c r="J110" s="92">
        <v>0.14899999999999999</v>
      </c>
      <c r="K110" s="92">
        <v>1.7292545372965478</v>
      </c>
      <c r="L110" s="92"/>
      <c r="M110" s="92">
        <v>0</v>
      </c>
      <c r="N110" s="99">
        <v>1.7292545372965478</v>
      </c>
      <c r="O110" s="92">
        <v>100</v>
      </c>
      <c r="P110" s="92" t="s">
        <v>39</v>
      </c>
      <c r="Q110" s="92">
        <v>1</v>
      </c>
      <c r="R110" s="92" t="s">
        <v>151</v>
      </c>
    </row>
    <row r="111" spans="2:18" x14ac:dyDescent="0.15">
      <c r="B111" s="92" t="s">
        <v>160</v>
      </c>
      <c r="C111" s="92" t="s">
        <v>236</v>
      </c>
      <c r="D111" s="93">
        <v>43234</v>
      </c>
      <c r="E111" s="93">
        <v>43265</v>
      </c>
      <c r="F111" s="92">
        <v>100</v>
      </c>
      <c r="G111" s="92">
        <v>31</v>
      </c>
      <c r="H111" s="92">
        <v>8.4931506849315067E-2</v>
      </c>
      <c r="I111" s="92">
        <v>0</v>
      </c>
      <c r="J111" s="92">
        <v>0.19900000000000001</v>
      </c>
      <c r="K111" s="92">
        <v>-2.3093991008004622</v>
      </c>
      <c r="L111" s="92"/>
      <c r="M111" s="92">
        <v>0</v>
      </c>
      <c r="N111" s="99">
        <v>2.3093991008004622</v>
      </c>
      <c r="O111" s="92">
        <v>100</v>
      </c>
      <c r="P111" s="92" t="s">
        <v>39</v>
      </c>
      <c r="Q111" s="92">
        <v>-1</v>
      </c>
      <c r="R111" s="92" t="s">
        <v>20</v>
      </c>
    </row>
    <row r="112" spans="2:18" x14ac:dyDescent="0.15">
      <c r="B112" s="92"/>
      <c r="C112" s="92"/>
      <c r="D112" s="93"/>
      <c r="E112" s="93"/>
      <c r="F112" s="92">
        <v>100</v>
      </c>
      <c r="G112" s="92"/>
      <c r="H112" s="92"/>
      <c r="I112" s="92"/>
      <c r="J112" s="92"/>
      <c r="K112" s="92"/>
      <c r="L112" s="92"/>
      <c r="M112" s="92"/>
      <c r="N112" s="99"/>
      <c r="O112" s="92">
        <v>100</v>
      </c>
      <c r="P112" s="92"/>
      <c r="Q112" s="92"/>
      <c r="R112" s="92"/>
    </row>
    <row r="113" spans="2:22" x14ac:dyDescent="0.15">
      <c r="B113" s="92" t="s">
        <v>160</v>
      </c>
      <c r="C113" s="92" t="s">
        <v>232</v>
      </c>
      <c r="D113" s="93">
        <v>43234</v>
      </c>
      <c r="E113" s="93">
        <v>43265</v>
      </c>
      <c r="F113" s="92">
        <v>100</v>
      </c>
      <c r="G113" s="92">
        <v>31</v>
      </c>
      <c r="H113" s="92">
        <v>8.4931506849315067E-2</v>
      </c>
      <c r="I113" s="92">
        <v>0</v>
      </c>
      <c r="J113" s="92">
        <v>0.1075</v>
      </c>
      <c r="K113" s="92">
        <v>1.2476635246627694</v>
      </c>
      <c r="L113" s="92"/>
      <c r="M113" s="92">
        <v>0</v>
      </c>
      <c r="N113" s="99">
        <v>1.2476635246627694</v>
      </c>
      <c r="O113" s="92">
        <v>100</v>
      </c>
      <c r="P113" s="92" t="s">
        <v>39</v>
      </c>
      <c r="Q113" s="92">
        <v>1</v>
      </c>
      <c r="R113" s="92" t="s">
        <v>151</v>
      </c>
    </row>
    <row r="114" spans="2:22" x14ac:dyDescent="0.15">
      <c r="B114" s="91" t="s">
        <v>2</v>
      </c>
      <c r="C114" s="33" t="s">
        <v>181</v>
      </c>
      <c r="D114" s="33" t="s">
        <v>180</v>
      </c>
      <c r="E114" s="33" t="s">
        <v>10</v>
      </c>
      <c r="F114" s="33" t="s">
        <v>184</v>
      </c>
      <c r="G114" s="33" t="s">
        <v>11</v>
      </c>
      <c r="H114" s="33" t="s">
        <v>12</v>
      </c>
      <c r="I114" s="33" t="s">
        <v>47</v>
      </c>
      <c r="J114" s="33" t="s">
        <v>13</v>
      </c>
      <c r="K114" s="33" t="s">
        <v>14</v>
      </c>
      <c r="L114" s="33" t="s">
        <v>26</v>
      </c>
      <c r="M114" s="33" t="s">
        <v>28</v>
      </c>
      <c r="N114" s="33" t="s">
        <v>182</v>
      </c>
      <c r="O114" s="33" t="s">
        <v>8</v>
      </c>
      <c r="P114" s="33" t="s">
        <v>23</v>
      </c>
      <c r="Q114" s="33"/>
      <c r="R114" s="33" t="s">
        <v>30</v>
      </c>
    </row>
    <row r="115" spans="2:22" x14ac:dyDescent="0.15">
      <c r="B115" s="92" t="s">
        <v>160</v>
      </c>
      <c r="C115" s="92" t="s">
        <v>261</v>
      </c>
      <c r="D115" s="93">
        <v>43235</v>
      </c>
      <c r="E115" s="93">
        <v>43266</v>
      </c>
      <c r="F115" s="92">
        <v>3800</v>
      </c>
      <c r="G115" s="92">
        <v>31</v>
      </c>
      <c r="H115" s="92">
        <v>8.4931506849315067E-2</v>
      </c>
      <c r="I115" s="92">
        <v>0</v>
      </c>
      <c r="J115" s="92">
        <v>0.28999999999999998</v>
      </c>
      <c r="K115" s="92">
        <v>-130.29432448217995</v>
      </c>
      <c r="L115" s="92"/>
      <c r="M115" s="92">
        <v>0</v>
      </c>
      <c r="N115" s="99">
        <v>130.29432448217995</v>
      </c>
      <c r="O115" s="92">
        <v>3795</v>
      </c>
      <c r="P115" s="92" t="s">
        <v>85</v>
      </c>
      <c r="Q115" s="92">
        <v>-1</v>
      </c>
      <c r="R115" s="92" t="s">
        <v>20</v>
      </c>
    </row>
    <row r="116" spans="2:22" x14ac:dyDescent="0.15">
      <c r="B116" s="92" t="s">
        <v>160</v>
      </c>
      <c r="C116" s="92" t="s">
        <v>261</v>
      </c>
      <c r="D116" s="93">
        <v>43235</v>
      </c>
      <c r="E116" s="93">
        <v>43266</v>
      </c>
      <c r="F116" s="92">
        <v>3700</v>
      </c>
      <c r="G116" s="92">
        <v>31</v>
      </c>
      <c r="H116" s="92">
        <v>8.4931506849315067E-2</v>
      </c>
      <c r="I116" s="92">
        <v>0</v>
      </c>
      <c r="J116" s="92">
        <v>0.28999999999999998</v>
      </c>
      <c r="K116" s="92">
        <v>-84.308597399370683</v>
      </c>
      <c r="L116" s="92"/>
      <c r="M116" s="92">
        <v>0</v>
      </c>
      <c r="N116" s="99">
        <v>84.308597399370683</v>
      </c>
      <c r="O116" s="92">
        <v>3795</v>
      </c>
      <c r="P116" s="92" t="s">
        <v>85</v>
      </c>
      <c r="Q116" s="92">
        <v>-1</v>
      </c>
      <c r="R116" s="92" t="s">
        <v>20</v>
      </c>
    </row>
    <row r="117" spans="2:22" x14ac:dyDescent="0.15">
      <c r="B117" s="91" t="s">
        <v>2</v>
      </c>
      <c r="C117" s="33" t="s">
        <v>181</v>
      </c>
      <c r="D117" s="33" t="s">
        <v>180</v>
      </c>
      <c r="E117" s="33" t="s">
        <v>10</v>
      </c>
      <c r="F117" s="33" t="s">
        <v>184</v>
      </c>
      <c r="G117" s="33" t="s">
        <v>11</v>
      </c>
      <c r="H117" s="33" t="s">
        <v>12</v>
      </c>
      <c r="I117" s="33" t="s">
        <v>47</v>
      </c>
      <c r="J117" s="33" t="s">
        <v>13</v>
      </c>
      <c r="K117" s="33" t="s">
        <v>14</v>
      </c>
      <c r="L117" s="33" t="s">
        <v>26</v>
      </c>
      <c r="M117" s="33" t="s">
        <v>28</v>
      </c>
      <c r="N117" s="33" t="s">
        <v>182</v>
      </c>
      <c r="O117" s="33" t="s">
        <v>8</v>
      </c>
      <c r="P117" s="33" t="s">
        <v>23</v>
      </c>
      <c r="Q117" s="33"/>
      <c r="R117" s="33" t="s">
        <v>30</v>
      </c>
    </row>
    <row r="118" spans="2:22" x14ac:dyDescent="0.15">
      <c r="B118" s="92" t="s">
        <v>263</v>
      </c>
      <c r="C118" s="92" t="s">
        <v>262</v>
      </c>
      <c r="D118" s="93">
        <v>43236</v>
      </c>
      <c r="E118" s="93">
        <v>43430</v>
      </c>
      <c r="F118" s="92">
        <v>5200</v>
      </c>
      <c r="G118" s="92">
        <v>194</v>
      </c>
      <c r="H118" s="92">
        <v>0.53150684931506853</v>
      </c>
      <c r="I118" s="92">
        <v>0</v>
      </c>
      <c r="J118" s="92">
        <v>0.1</v>
      </c>
      <c r="K118" s="92">
        <v>48.289310808150503</v>
      </c>
      <c r="L118" s="92"/>
      <c r="M118" s="92">
        <v>0</v>
      </c>
      <c r="N118" s="99">
        <v>48.289310808150503</v>
      </c>
      <c r="O118" s="92">
        <v>5503</v>
      </c>
      <c r="P118" s="92" t="s">
        <v>85</v>
      </c>
      <c r="Q118" s="92">
        <v>1</v>
      </c>
      <c r="R118" s="92" t="s">
        <v>151</v>
      </c>
    </row>
    <row r="119" spans="2:22" x14ac:dyDescent="0.15">
      <c r="B119" s="92" t="s">
        <v>160</v>
      </c>
      <c r="C119" s="92" t="s">
        <v>262</v>
      </c>
      <c r="D119" s="93">
        <v>43236</v>
      </c>
      <c r="E119" s="93">
        <v>43430</v>
      </c>
      <c r="F119" s="92">
        <v>5200</v>
      </c>
      <c r="G119" s="92">
        <v>194</v>
      </c>
      <c r="H119" s="92">
        <v>0.53150684931506853</v>
      </c>
      <c r="I119" s="92">
        <v>0</v>
      </c>
      <c r="J119" s="92">
        <v>0.15</v>
      </c>
      <c r="K119" s="92">
        <v>-111.23715733611107</v>
      </c>
      <c r="L119" s="92"/>
      <c r="M119" s="92">
        <v>0</v>
      </c>
      <c r="N119" s="99">
        <v>111.23715733611107</v>
      </c>
      <c r="O119" s="92">
        <v>5503</v>
      </c>
      <c r="P119" s="92" t="s">
        <v>85</v>
      </c>
      <c r="Q119" s="92">
        <v>-1</v>
      </c>
      <c r="R119" s="92" t="s">
        <v>20</v>
      </c>
    </row>
    <row r="120" spans="2:22" x14ac:dyDescent="0.15">
      <c r="B120" s="91" t="s">
        <v>2</v>
      </c>
      <c r="C120" s="33" t="s">
        <v>181</v>
      </c>
      <c r="D120" s="33" t="s">
        <v>180</v>
      </c>
      <c r="E120" s="33" t="s">
        <v>10</v>
      </c>
      <c r="F120" s="33" t="s">
        <v>184</v>
      </c>
      <c r="G120" s="33" t="s">
        <v>11</v>
      </c>
      <c r="H120" s="33" t="s">
        <v>12</v>
      </c>
      <c r="I120" s="33" t="s">
        <v>47</v>
      </c>
      <c r="J120" s="33" t="s">
        <v>13</v>
      </c>
      <c r="K120" s="33" t="s">
        <v>14</v>
      </c>
      <c r="L120" s="33" t="s">
        <v>26</v>
      </c>
      <c r="M120" s="33" t="s">
        <v>28</v>
      </c>
      <c r="N120" s="33" t="s">
        <v>182</v>
      </c>
      <c r="O120" s="33" t="s">
        <v>8</v>
      </c>
      <c r="P120" s="33" t="s">
        <v>23</v>
      </c>
      <c r="Q120" s="33"/>
      <c r="R120" s="33" t="s">
        <v>30</v>
      </c>
    </row>
    <row r="121" spans="2:22" x14ac:dyDescent="0.15">
      <c r="B121" s="92" t="s">
        <v>160</v>
      </c>
      <c r="C121" s="92" t="s">
        <v>240</v>
      </c>
      <c r="D121" s="93">
        <v>43236</v>
      </c>
      <c r="E121" s="93">
        <v>43266</v>
      </c>
      <c r="F121" s="92">
        <v>480</v>
      </c>
      <c r="G121" s="92">
        <v>30</v>
      </c>
      <c r="H121" s="92">
        <v>8.2191780821917804E-2</v>
      </c>
      <c r="I121" s="92">
        <v>0</v>
      </c>
      <c r="J121" s="92">
        <v>0.35249999999999998</v>
      </c>
      <c r="K121" s="92">
        <v>-17.91152955692263</v>
      </c>
      <c r="L121" s="92"/>
      <c r="M121" s="92">
        <v>0</v>
      </c>
      <c r="N121" s="99">
        <v>17.91152955692263</v>
      </c>
      <c r="O121" s="92">
        <v>483</v>
      </c>
      <c r="P121" s="92" t="s">
        <v>85</v>
      </c>
      <c r="Q121" s="92">
        <v>-1</v>
      </c>
      <c r="R121" s="92" t="s">
        <v>20</v>
      </c>
      <c r="V121" s="6">
        <v>100000</v>
      </c>
    </row>
    <row r="122" spans="2:22" x14ac:dyDescent="0.15">
      <c r="B122" s="92" t="s">
        <v>160</v>
      </c>
      <c r="C122" s="92" t="s">
        <v>240</v>
      </c>
      <c r="D122" s="93">
        <v>43236</v>
      </c>
      <c r="E122" s="93">
        <v>43294</v>
      </c>
      <c r="F122" s="92">
        <v>480</v>
      </c>
      <c r="G122" s="92">
        <v>58</v>
      </c>
      <c r="H122" s="92">
        <v>0.15890410958904111</v>
      </c>
      <c r="I122" s="92">
        <v>0</v>
      </c>
      <c r="J122" s="92">
        <v>0.35249999999999998</v>
      </c>
      <c r="K122" s="92">
        <v>-25.415248406449365</v>
      </c>
      <c r="L122" s="92"/>
      <c r="M122" s="92">
        <v>0</v>
      </c>
      <c r="N122" s="99">
        <v>25.415248406449365</v>
      </c>
      <c r="O122" s="92">
        <v>483</v>
      </c>
      <c r="P122" s="92" t="s">
        <v>85</v>
      </c>
      <c r="Q122" s="92">
        <v>-1</v>
      </c>
      <c r="R122" s="92" t="s">
        <v>20</v>
      </c>
      <c r="V122" s="6">
        <v>535</v>
      </c>
    </row>
    <row r="123" spans="2:22" x14ac:dyDescent="0.15">
      <c r="B123" s="92" t="s">
        <v>160</v>
      </c>
      <c r="C123" s="92" t="s">
        <v>240</v>
      </c>
      <c r="D123" s="93">
        <v>43236</v>
      </c>
      <c r="E123" s="93">
        <v>43322</v>
      </c>
      <c r="F123" s="92">
        <v>480</v>
      </c>
      <c r="G123" s="92">
        <v>86</v>
      </c>
      <c r="H123" s="92">
        <v>0.23561643835616439</v>
      </c>
      <c r="I123" s="92">
        <v>0</v>
      </c>
      <c r="J123" s="92">
        <v>0.35249999999999998</v>
      </c>
      <c r="K123" s="92">
        <v>-31.201898791525934</v>
      </c>
      <c r="L123" s="92"/>
      <c r="M123" s="92">
        <v>0</v>
      </c>
      <c r="N123" s="99">
        <v>31.201898791525934</v>
      </c>
      <c r="O123" s="92">
        <v>483</v>
      </c>
      <c r="P123" s="92" t="s">
        <v>85</v>
      </c>
      <c r="Q123" s="92">
        <v>-1</v>
      </c>
      <c r="R123" s="92" t="s">
        <v>20</v>
      </c>
      <c r="V123" s="148">
        <f>V122*V121</f>
        <v>53500000</v>
      </c>
    </row>
    <row r="124" spans="2:22" x14ac:dyDescent="0.15">
      <c r="B124" s="92" t="s">
        <v>160</v>
      </c>
      <c r="C124" s="92" t="s">
        <v>240</v>
      </c>
      <c r="D124" s="93">
        <v>43236</v>
      </c>
      <c r="E124" s="93">
        <v>43266</v>
      </c>
      <c r="F124" s="92">
        <v>480</v>
      </c>
      <c r="G124" s="92">
        <v>30</v>
      </c>
      <c r="H124" s="92">
        <v>8.2191780821917804E-2</v>
      </c>
      <c r="I124" s="92">
        <v>0</v>
      </c>
      <c r="J124" s="92">
        <v>0.35249999999999998</v>
      </c>
      <c r="K124" s="92">
        <v>-20.906602101146518</v>
      </c>
      <c r="L124" s="92"/>
      <c r="M124" s="92">
        <v>0</v>
      </c>
      <c r="N124" s="99">
        <v>20.906602101146518</v>
      </c>
      <c r="O124" s="92">
        <v>483</v>
      </c>
      <c r="P124" s="92" t="s">
        <v>39</v>
      </c>
      <c r="Q124" s="92">
        <v>-1</v>
      </c>
      <c r="R124" s="92" t="s">
        <v>20</v>
      </c>
    </row>
    <row r="125" spans="2:22" x14ac:dyDescent="0.15">
      <c r="B125" s="92" t="s">
        <v>160</v>
      </c>
      <c r="C125" s="92" t="s">
        <v>240</v>
      </c>
      <c r="D125" s="93">
        <v>43236</v>
      </c>
      <c r="E125" s="93">
        <v>43294</v>
      </c>
      <c r="F125" s="92">
        <v>480</v>
      </c>
      <c r="G125" s="92">
        <v>58</v>
      </c>
      <c r="H125" s="92">
        <v>0.15890410958904111</v>
      </c>
      <c r="I125" s="92">
        <v>0</v>
      </c>
      <c r="J125" s="92">
        <v>0.35249999999999998</v>
      </c>
      <c r="K125" s="92">
        <v>-28.405729294146767</v>
      </c>
      <c r="L125" s="92"/>
      <c r="M125" s="92">
        <v>0</v>
      </c>
      <c r="N125" s="99">
        <v>28.405729294146767</v>
      </c>
      <c r="O125" s="92">
        <v>483</v>
      </c>
      <c r="P125" s="92" t="s">
        <v>39</v>
      </c>
      <c r="Q125" s="92">
        <v>-1</v>
      </c>
      <c r="R125" s="92" t="s">
        <v>20</v>
      </c>
    </row>
    <row r="126" spans="2:22" x14ac:dyDescent="0.15">
      <c r="B126" s="92" t="s">
        <v>160</v>
      </c>
      <c r="C126" s="92" t="s">
        <v>240</v>
      </c>
      <c r="D126" s="93">
        <v>43236</v>
      </c>
      <c r="E126" s="93">
        <v>43322</v>
      </c>
      <c r="F126" s="92">
        <v>480</v>
      </c>
      <c r="G126" s="92">
        <v>86</v>
      </c>
      <c r="H126" s="92">
        <v>0.23561643835616439</v>
      </c>
      <c r="I126" s="92">
        <v>0</v>
      </c>
      <c r="J126" s="92">
        <v>0.35249999999999998</v>
      </c>
      <c r="K126" s="92">
        <v>-34.18779506202867</v>
      </c>
      <c r="L126" s="92"/>
      <c r="M126" s="92">
        <v>0</v>
      </c>
      <c r="N126" s="99">
        <v>34.18779506202867</v>
      </c>
      <c r="O126" s="92">
        <v>483</v>
      </c>
      <c r="P126" s="92" t="s">
        <v>39</v>
      </c>
      <c r="Q126" s="92">
        <v>-1</v>
      </c>
      <c r="R126" s="92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B104:B113</xm:sqref>
        </x14:dataValidation>
        <x14:dataValidation type="list" allowBlank="1" showInputMessage="1" showErrorMessage="1">
          <x14:formula1>
            <xm:f>configs!$C$1:$C$2</xm:f>
          </x14:formula1>
          <xm:sqref>P104:P113</xm:sqref>
        </x14:dataValidation>
        <x14:dataValidation type="list" allowBlank="1" showInputMessage="1" showErrorMessage="1">
          <x14:formula1>
            <xm:f>configs!$B$1:$B$2</xm:f>
          </x14:formula1>
          <xm:sqref>R104:R113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7" t="s">
        <v>37</v>
      </c>
      <c r="C1" s="147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43236</v>
      </c>
      <c r="K8" s="21">
        <f ca="1">J8+L8</f>
        <v>43266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43236</v>
      </c>
      <c r="K9" s="8">
        <f ca="1">J9+L9</f>
        <v>43266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43236</v>
      </c>
      <c r="K10" s="8">
        <f ca="1">J10+L10</f>
        <v>43266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62"/>
  <sheetViews>
    <sheetView tabSelected="1" zoomScale="115" zoomScaleNormal="115" workbookViewId="0">
      <pane ySplit="17" topLeftCell="A43" activePane="bottomLeft" state="frozen"/>
      <selection pane="bottomLeft" activeCell="L49" sqref="L49:O61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8" t="s">
        <v>118</v>
      </c>
      <c r="C1" s="138"/>
    </row>
    <row r="2" spans="2:20" ht="11.25" thickTop="1" x14ac:dyDescent="0.15"/>
    <row r="3" spans="2:20" ht="11.25" thickBot="1" x14ac:dyDescent="0.2">
      <c r="B3" s="139" t="s">
        <v>119</v>
      </c>
      <c r="C3" s="139"/>
      <c r="D3" s="139"/>
      <c r="E3" s="139"/>
      <c r="G3" s="143" t="s">
        <v>120</v>
      </c>
      <c r="H3" s="143"/>
      <c r="I3" s="143"/>
      <c r="J3" s="143"/>
      <c r="L3" s="139" t="s">
        <v>165</v>
      </c>
      <c r="M3" s="139"/>
      <c r="N3" s="139"/>
      <c r="O3" s="139"/>
      <c r="Q3" s="143" t="s">
        <v>166</v>
      </c>
      <c r="R3" s="143"/>
      <c r="S3" s="143"/>
      <c r="T3" s="143"/>
    </row>
    <row r="4" spans="2:20" ht="12" thickTop="1" thickBot="1" x14ac:dyDescent="0.2">
      <c r="B4" s="140" t="s">
        <v>121</v>
      </c>
      <c r="C4" s="140"/>
      <c r="D4" s="140"/>
      <c r="E4" s="140"/>
      <c r="G4" s="140" t="s">
        <v>34</v>
      </c>
      <c r="H4" s="140"/>
      <c r="I4" s="140"/>
      <c r="J4" s="140"/>
      <c r="L4" s="140" t="s">
        <v>121</v>
      </c>
      <c r="M4" s="140"/>
      <c r="N4" s="140"/>
      <c r="O4" s="140"/>
      <c r="Q4" s="140" t="s">
        <v>34</v>
      </c>
      <c r="R4" s="140"/>
      <c r="S4" s="140"/>
      <c r="T4" s="140"/>
    </row>
    <row r="5" spans="2:20" ht="15" customHeight="1" thickTop="1" x14ac:dyDescent="0.15">
      <c r="B5" s="137" t="s">
        <v>122</v>
      </c>
      <c r="C5" s="137"/>
      <c r="D5" s="141"/>
      <c r="E5" s="142"/>
      <c r="G5" s="137" t="s">
        <v>123</v>
      </c>
      <c r="H5" s="137"/>
      <c r="I5" s="103"/>
      <c r="J5" s="104"/>
      <c r="L5" s="101" t="s">
        <v>122</v>
      </c>
      <c r="M5" s="102"/>
      <c r="N5" s="103"/>
      <c r="O5" s="104"/>
      <c r="Q5" s="137" t="s">
        <v>123</v>
      </c>
      <c r="R5" s="137"/>
      <c r="S5" s="103"/>
      <c r="T5" s="104"/>
    </row>
    <row r="6" spans="2:20" x14ac:dyDescent="0.15">
      <c r="B6" s="137" t="s">
        <v>124</v>
      </c>
      <c r="C6" s="137"/>
      <c r="D6" s="135" t="s">
        <v>125</v>
      </c>
      <c r="E6" s="136"/>
      <c r="G6" s="137" t="s">
        <v>126</v>
      </c>
      <c r="H6" s="137"/>
      <c r="I6" s="135"/>
      <c r="J6" s="136"/>
      <c r="L6" s="137" t="s">
        <v>124</v>
      </c>
      <c r="M6" s="137"/>
      <c r="N6" s="135" t="s">
        <v>125</v>
      </c>
      <c r="O6" s="136"/>
      <c r="Q6" s="137" t="s">
        <v>126</v>
      </c>
      <c r="R6" s="137"/>
      <c r="S6" s="135"/>
      <c r="T6" s="136"/>
    </row>
    <row r="7" spans="2:20" ht="2.25" customHeight="1" x14ac:dyDescent="0.15">
      <c r="B7" s="137" t="s">
        <v>127</v>
      </c>
      <c r="C7" s="137"/>
      <c r="D7" s="135" t="s">
        <v>125</v>
      </c>
      <c r="E7" s="136"/>
      <c r="G7" s="137" t="s">
        <v>128</v>
      </c>
      <c r="H7" s="137"/>
      <c r="I7" s="135"/>
      <c r="J7" s="136"/>
      <c r="L7" s="137" t="s">
        <v>127</v>
      </c>
      <c r="M7" s="137"/>
      <c r="N7" s="135" t="s">
        <v>125</v>
      </c>
      <c r="O7" s="136"/>
      <c r="Q7" s="137" t="s">
        <v>128</v>
      </c>
      <c r="R7" s="137"/>
      <c r="S7" s="135"/>
      <c r="T7" s="136"/>
    </row>
    <row r="8" spans="2:20" hidden="1" x14ac:dyDescent="0.15">
      <c r="B8" s="137" t="s">
        <v>129</v>
      </c>
      <c r="C8" s="137"/>
      <c r="D8" s="135">
        <f>D13*D15</f>
        <v>305000</v>
      </c>
      <c r="E8" s="136"/>
      <c r="G8" s="137" t="s">
        <v>130</v>
      </c>
      <c r="H8" s="137"/>
      <c r="I8" s="135"/>
      <c r="J8" s="136"/>
      <c r="L8" s="137" t="s">
        <v>129</v>
      </c>
      <c r="M8" s="137"/>
      <c r="N8" s="135">
        <f>N14*N16</f>
        <v>305000</v>
      </c>
      <c r="O8" s="136"/>
      <c r="Q8" s="137" t="s">
        <v>130</v>
      </c>
      <c r="R8" s="137"/>
      <c r="S8" s="135"/>
      <c r="T8" s="136"/>
    </row>
    <row r="9" spans="2:20" hidden="1" x14ac:dyDescent="0.15">
      <c r="B9" s="137" t="s">
        <v>131</v>
      </c>
      <c r="C9" s="137"/>
      <c r="D9" s="135" t="s">
        <v>132</v>
      </c>
      <c r="E9" s="136"/>
      <c r="G9" s="137" t="s">
        <v>133</v>
      </c>
      <c r="H9" s="137"/>
      <c r="I9" s="135"/>
      <c r="J9" s="136"/>
      <c r="L9" s="137" t="s">
        <v>131</v>
      </c>
      <c r="M9" s="137"/>
      <c r="N9" s="135" t="s">
        <v>132</v>
      </c>
      <c r="O9" s="136"/>
      <c r="Q9" s="137" t="s">
        <v>133</v>
      </c>
      <c r="R9" s="137"/>
      <c r="S9" s="135"/>
      <c r="T9" s="136"/>
    </row>
    <row r="10" spans="2:20" hidden="1" x14ac:dyDescent="0.15">
      <c r="B10" s="137" t="s">
        <v>134</v>
      </c>
      <c r="C10" s="137"/>
      <c r="D10" s="135">
        <v>43084</v>
      </c>
      <c r="E10" s="136"/>
      <c r="G10" s="105" t="s">
        <v>135</v>
      </c>
      <c r="H10" s="105"/>
      <c r="I10" s="135"/>
      <c r="J10" s="136"/>
      <c r="L10" s="137" t="s">
        <v>134</v>
      </c>
      <c r="M10" s="137"/>
      <c r="N10" s="135">
        <v>43084</v>
      </c>
      <c r="O10" s="136"/>
      <c r="Q10" s="105" t="s">
        <v>135</v>
      </c>
      <c r="R10" s="105"/>
      <c r="S10" s="135"/>
      <c r="T10" s="136"/>
    </row>
    <row r="11" spans="2:20" hidden="1" x14ac:dyDescent="0.15">
      <c r="B11" s="137" t="s">
        <v>136</v>
      </c>
      <c r="C11" s="137"/>
      <c r="D11" s="135">
        <v>3935</v>
      </c>
      <c r="E11" s="136"/>
      <c r="G11" s="137" t="s">
        <v>137</v>
      </c>
      <c r="H11" s="137"/>
      <c r="I11" s="135"/>
      <c r="J11" s="136"/>
      <c r="L11" s="137" t="s">
        <v>136</v>
      </c>
      <c r="M11" s="137"/>
      <c r="N11" s="135">
        <v>3935</v>
      </c>
      <c r="O11" s="136"/>
      <c r="Q11" s="137" t="s">
        <v>137</v>
      </c>
      <c r="R11" s="137"/>
      <c r="S11" s="135"/>
      <c r="T11" s="136"/>
    </row>
    <row r="12" spans="2:20" hidden="1" x14ac:dyDescent="0.15">
      <c r="B12" s="137" t="s">
        <v>138</v>
      </c>
      <c r="C12" s="137"/>
      <c r="D12" s="135">
        <v>3800</v>
      </c>
      <c r="E12" s="136"/>
      <c r="G12" s="137" t="s">
        <v>139</v>
      </c>
      <c r="H12" s="137"/>
      <c r="I12" s="135"/>
      <c r="J12" s="136"/>
      <c r="L12" s="137" t="s">
        <v>163</v>
      </c>
      <c r="M12" s="137"/>
      <c r="N12" s="135">
        <v>3800</v>
      </c>
      <c r="O12" s="136"/>
      <c r="Q12" s="137" t="s">
        <v>167</v>
      </c>
      <c r="R12" s="137"/>
      <c r="S12" s="135"/>
      <c r="T12" s="136"/>
    </row>
    <row r="13" spans="2:20" hidden="1" x14ac:dyDescent="0.15">
      <c r="B13" s="137" t="s">
        <v>140</v>
      </c>
      <c r="C13" s="137"/>
      <c r="D13" s="135">
        <v>61</v>
      </c>
      <c r="E13" s="136"/>
      <c r="G13" s="137" t="s">
        <v>141</v>
      </c>
      <c r="H13" s="137"/>
      <c r="I13" s="135"/>
      <c r="J13" s="136"/>
      <c r="L13" s="137" t="s">
        <v>164</v>
      </c>
      <c r="M13" s="137"/>
      <c r="N13" s="135">
        <v>3800</v>
      </c>
      <c r="O13" s="136"/>
      <c r="Q13" s="137" t="s">
        <v>168</v>
      </c>
      <c r="R13" s="137"/>
      <c r="S13" s="135"/>
      <c r="T13" s="136"/>
    </row>
    <row r="14" spans="2:20" hidden="1" x14ac:dyDescent="0.15">
      <c r="B14" s="137" t="s">
        <v>142</v>
      </c>
      <c r="C14" s="137"/>
      <c r="D14" s="135" t="s">
        <v>143</v>
      </c>
      <c r="E14" s="136"/>
      <c r="G14" s="137" t="s">
        <v>144</v>
      </c>
      <c r="H14" s="137"/>
      <c r="I14" s="106"/>
      <c r="J14" s="107"/>
      <c r="L14" s="137" t="s">
        <v>140</v>
      </c>
      <c r="M14" s="137"/>
      <c r="N14" s="135">
        <v>61</v>
      </c>
      <c r="O14" s="136"/>
      <c r="Q14" s="137" t="s">
        <v>141</v>
      </c>
      <c r="R14" s="137"/>
      <c r="S14" s="135"/>
      <c r="T14" s="136"/>
    </row>
    <row r="15" spans="2:20" hidden="1" x14ac:dyDescent="0.15">
      <c r="B15" s="137" t="s">
        <v>145</v>
      </c>
      <c r="C15" s="137"/>
      <c r="D15" s="135">
        <v>5000</v>
      </c>
      <c r="E15" s="136"/>
      <c r="G15" s="137" t="s">
        <v>146</v>
      </c>
      <c r="H15" s="137"/>
      <c r="I15" s="135"/>
      <c r="J15" s="136"/>
      <c r="L15" s="137" t="s">
        <v>142</v>
      </c>
      <c r="M15" s="137"/>
      <c r="N15" s="135" t="s">
        <v>143</v>
      </c>
      <c r="O15" s="136"/>
      <c r="Q15" s="137" t="s">
        <v>144</v>
      </c>
      <c r="R15" s="137"/>
      <c r="S15" s="106"/>
      <c r="T15" s="107"/>
    </row>
    <row r="16" spans="2:20" ht="11.25" hidden="1" thickBot="1" x14ac:dyDescent="0.2">
      <c r="B16" s="132" t="s">
        <v>147</v>
      </c>
      <c r="C16" s="132"/>
      <c r="D16" s="133" t="s">
        <v>148</v>
      </c>
      <c r="E16" s="134"/>
      <c r="G16" s="132" t="s">
        <v>149</v>
      </c>
      <c r="H16" s="132"/>
      <c r="I16" s="133"/>
      <c r="J16" s="134"/>
      <c r="L16" s="137" t="s">
        <v>145</v>
      </c>
      <c r="M16" s="137"/>
      <c r="N16" s="135">
        <v>5000</v>
      </c>
      <c r="O16" s="136"/>
      <c r="Q16" s="137" t="s">
        <v>146</v>
      </c>
      <c r="R16" s="137"/>
      <c r="S16" s="135"/>
      <c r="T16" s="136"/>
    </row>
    <row r="17" spans="2:25" ht="12" hidden="1" thickTop="1" thickBot="1" x14ac:dyDescent="0.2">
      <c r="L17" s="132" t="s">
        <v>147</v>
      </c>
      <c r="M17" s="132"/>
      <c r="N17" s="133" t="s">
        <v>148</v>
      </c>
      <c r="O17" s="134"/>
      <c r="Q17" s="132" t="s">
        <v>149</v>
      </c>
      <c r="R17" s="132"/>
      <c r="S17" s="133"/>
      <c r="T17" s="134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0" t="s">
        <v>221</v>
      </c>
      <c r="C22" s="130"/>
      <c r="D22" s="130"/>
      <c r="E22" s="130"/>
      <c r="G22" s="130" t="s">
        <v>189</v>
      </c>
      <c r="H22" s="130"/>
      <c r="I22" s="130"/>
      <c r="J22" s="130"/>
      <c r="L22" s="140" t="s">
        <v>189</v>
      </c>
      <c r="M22" s="140"/>
      <c r="N22" s="140"/>
      <c r="O22" s="140"/>
      <c r="Q22" s="130" t="s">
        <v>188</v>
      </c>
      <c r="R22" s="130"/>
      <c r="S22" s="130"/>
      <c r="T22" s="130"/>
      <c r="V22" s="140" t="s">
        <v>189</v>
      </c>
      <c r="W22" s="140"/>
      <c r="X22" s="140"/>
      <c r="Y22" s="140"/>
    </row>
    <row r="23" spans="2:25" ht="12" thickTop="1" x14ac:dyDescent="0.15">
      <c r="B23" s="123" t="s">
        <v>122</v>
      </c>
      <c r="C23" s="123"/>
      <c r="D23" s="129">
        <v>43209</v>
      </c>
      <c r="E23" s="131"/>
      <c r="G23" s="123" t="s">
        <v>122</v>
      </c>
      <c r="H23" s="123"/>
      <c r="I23" s="129">
        <f ca="1">TODAY()</f>
        <v>43236</v>
      </c>
      <c r="J23" s="131"/>
      <c r="L23" s="123" t="s">
        <v>122</v>
      </c>
      <c r="M23" s="123"/>
      <c r="N23" s="129">
        <f ca="1">TODAY()</f>
        <v>43236</v>
      </c>
      <c r="O23" s="131"/>
      <c r="Q23" s="123" t="s">
        <v>122</v>
      </c>
      <c r="R23" s="123"/>
      <c r="S23" s="129">
        <f ca="1">TODAY()-1</f>
        <v>43235</v>
      </c>
      <c r="T23" s="131"/>
      <c r="V23" s="123" t="s">
        <v>122</v>
      </c>
      <c r="W23" s="123"/>
      <c r="X23" s="129">
        <f ca="1">TODAY()-1</f>
        <v>43235</v>
      </c>
      <c r="Y23" s="131"/>
    </row>
    <row r="24" spans="2:25" ht="11.25" x14ac:dyDescent="0.15">
      <c r="B24" s="123" t="s">
        <v>124</v>
      </c>
      <c r="C24" s="123"/>
      <c r="D24" s="124" t="s">
        <v>186</v>
      </c>
      <c r="E24" s="125"/>
      <c r="G24" s="123" t="s">
        <v>124</v>
      </c>
      <c r="H24" s="123"/>
      <c r="I24" s="124" t="s">
        <v>186</v>
      </c>
      <c r="J24" s="125"/>
      <c r="L24" s="123" t="s">
        <v>124</v>
      </c>
      <c r="M24" s="123"/>
      <c r="N24" s="124" t="s">
        <v>36</v>
      </c>
      <c r="O24" s="125"/>
      <c r="Q24" s="123" t="s">
        <v>124</v>
      </c>
      <c r="R24" s="123"/>
      <c r="S24" s="124" t="s">
        <v>36</v>
      </c>
      <c r="T24" s="125"/>
      <c r="V24" s="123" t="s">
        <v>124</v>
      </c>
      <c r="W24" s="123"/>
      <c r="X24" s="124" t="s">
        <v>36</v>
      </c>
      <c r="Y24" s="125"/>
    </row>
    <row r="25" spans="2:25" ht="11.25" x14ac:dyDescent="0.15">
      <c r="B25" s="123" t="s">
        <v>127</v>
      </c>
      <c r="C25" s="123"/>
      <c r="D25" s="124" t="s">
        <v>222</v>
      </c>
      <c r="E25" s="125"/>
      <c r="G25" s="123" t="s">
        <v>127</v>
      </c>
      <c r="H25" s="123"/>
      <c r="I25" s="124" t="s">
        <v>5</v>
      </c>
      <c r="J25" s="125"/>
      <c r="L25" s="123" t="s">
        <v>127</v>
      </c>
      <c r="M25" s="123"/>
      <c r="N25" s="124" t="s">
        <v>195</v>
      </c>
      <c r="O25" s="125"/>
      <c r="Q25" s="123" t="s">
        <v>127</v>
      </c>
      <c r="R25" s="123"/>
      <c r="S25" s="124" t="s">
        <v>187</v>
      </c>
      <c r="T25" s="125"/>
      <c r="V25" s="123" t="s">
        <v>127</v>
      </c>
      <c r="W25" s="123"/>
      <c r="X25" s="124" t="s">
        <v>187</v>
      </c>
      <c r="Y25" s="125"/>
    </row>
    <row r="26" spans="2:25" ht="11.25" x14ac:dyDescent="0.15">
      <c r="B26" s="123" t="s">
        <v>129</v>
      </c>
      <c r="C26" s="123"/>
      <c r="D26" s="124">
        <f>D31*D33</f>
        <v>290000</v>
      </c>
      <c r="E26" s="125"/>
      <c r="G26" s="123" t="s">
        <v>179</v>
      </c>
      <c r="H26" s="123"/>
      <c r="I26" s="124">
        <f>I31*I33</f>
        <v>271800</v>
      </c>
      <c r="J26" s="125"/>
      <c r="L26" s="123" t="s">
        <v>129</v>
      </c>
      <c r="M26" s="123"/>
      <c r="N26" s="124">
        <f>N31*N33</f>
        <v>275000</v>
      </c>
      <c r="O26" s="125"/>
      <c r="Q26" s="123" t="s">
        <v>129</v>
      </c>
      <c r="R26" s="123"/>
      <c r="S26" s="124">
        <f>S31*S33</f>
        <v>235799.99999999997</v>
      </c>
      <c r="T26" s="125"/>
      <c r="V26" s="123" t="s">
        <v>129</v>
      </c>
      <c r="W26" s="123"/>
      <c r="X26" s="124">
        <f>X31*X33</f>
        <v>235799.99999999997</v>
      </c>
      <c r="Y26" s="125"/>
    </row>
    <row r="27" spans="2:25" ht="11.25" x14ac:dyDescent="0.15">
      <c r="B27" s="123" t="s">
        <v>131</v>
      </c>
      <c r="C27" s="123"/>
      <c r="D27" s="124" t="s">
        <v>191</v>
      </c>
      <c r="E27" s="125"/>
      <c r="F27" s="100">
        <f>1160*250</f>
        <v>290000</v>
      </c>
      <c r="G27" s="123" t="s">
        <v>131</v>
      </c>
      <c r="H27" s="123"/>
      <c r="I27" s="124" t="s">
        <v>197</v>
      </c>
      <c r="J27" s="125"/>
      <c r="L27" s="123" t="s">
        <v>131</v>
      </c>
      <c r="M27" s="123"/>
      <c r="N27" s="124" t="s">
        <v>190</v>
      </c>
      <c r="O27" s="125"/>
      <c r="Q27" s="123" t="s">
        <v>131</v>
      </c>
      <c r="R27" s="123"/>
      <c r="S27" s="124" t="s">
        <v>191</v>
      </c>
      <c r="T27" s="125"/>
      <c r="V27" s="123" t="s">
        <v>131</v>
      </c>
      <c r="W27" s="123"/>
      <c r="X27" s="124" t="s">
        <v>190</v>
      </c>
      <c r="Y27" s="125"/>
    </row>
    <row r="28" spans="2:25" ht="11.25" x14ac:dyDescent="0.15">
      <c r="B28" s="123" t="s">
        <v>134</v>
      </c>
      <c r="C28" s="123"/>
      <c r="D28" s="129">
        <v>43222</v>
      </c>
      <c r="E28" s="125"/>
      <c r="G28" s="123" t="s">
        <v>134</v>
      </c>
      <c r="H28" s="123"/>
      <c r="I28" s="129">
        <v>43182</v>
      </c>
      <c r="J28" s="125"/>
      <c r="L28" s="123" t="s">
        <v>134</v>
      </c>
      <c r="M28" s="123"/>
      <c r="N28" s="129">
        <v>43219</v>
      </c>
      <c r="O28" s="125"/>
      <c r="Q28" s="123" t="s">
        <v>134</v>
      </c>
      <c r="R28" s="123"/>
      <c r="S28" s="129">
        <v>43201</v>
      </c>
      <c r="T28" s="125"/>
      <c r="V28" s="123" t="s">
        <v>134</v>
      </c>
      <c r="W28" s="123"/>
      <c r="X28" s="129">
        <v>43201</v>
      </c>
      <c r="Y28" s="125"/>
    </row>
    <row r="29" spans="2:25" ht="11.25" x14ac:dyDescent="0.15">
      <c r="B29" s="123" t="s">
        <v>136</v>
      </c>
      <c r="C29" s="123"/>
      <c r="D29" s="124">
        <v>108500</v>
      </c>
      <c r="E29" s="125"/>
      <c r="G29" s="123" t="s">
        <v>136</v>
      </c>
      <c r="H29" s="123"/>
      <c r="I29" s="124">
        <v>3856</v>
      </c>
      <c r="J29" s="125"/>
      <c r="L29" s="123" t="s">
        <v>136</v>
      </c>
      <c r="M29" s="123"/>
      <c r="N29" s="124">
        <v>3760</v>
      </c>
      <c r="O29" s="125"/>
      <c r="Q29" s="123" t="s">
        <v>136</v>
      </c>
      <c r="R29" s="123"/>
      <c r="S29" s="124">
        <v>524</v>
      </c>
      <c r="T29" s="125"/>
      <c r="V29" s="123" t="s">
        <v>136</v>
      </c>
      <c r="W29" s="123"/>
      <c r="X29" s="124">
        <v>524</v>
      </c>
      <c r="Y29" s="125"/>
    </row>
    <row r="30" spans="2:25" ht="11.25" x14ac:dyDescent="0.15">
      <c r="B30" s="123" t="s">
        <v>138</v>
      </c>
      <c r="C30" s="123"/>
      <c r="D30" s="124">
        <v>110000</v>
      </c>
      <c r="E30" s="125"/>
      <c r="G30" s="123" t="s">
        <v>138</v>
      </c>
      <c r="H30" s="123"/>
      <c r="I30" s="124">
        <v>3930</v>
      </c>
      <c r="J30" s="125"/>
      <c r="L30" s="123" t="s">
        <v>138</v>
      </c>
      <c r="M30" s="123"/>
      <c r="N30" s="124">
        <v>3700</v>
      </c>
      <c r="O30" s="125"/>
      <c r="Q30" s="123" t="s">
        <v>138</v>
      </c>
      <c r="R30" s="123"/>
      <c r="S30" s="124">
        <v>524</v>
      </c>
      <c r="T30" s="125"/>
      <c r="V30" s="123" t="s">
        <v>138</v>
      </c>
      <c r="W30" s="123"/>
      <c r="X30" s="124">
        <v>524</v>
      </c>
      <c r="Y30" s="125"/>
    </row>
    <row r="31" spans="2:25" ht="11.25" x14ac:dyDescent="0.15">
      <c r="B31" s="123" t="s">
        <v>140</v>
      </c>
      <c r="C31" s="123"/>
      <c r="D31" s="124">
        <v>1160</v>
      </c>
      <c r="E31" s="125"/>
      <c r="G31" s="123" t="s">
        <v>198</v>
      </c>
      <c r="H31" s="123"/>
      <c r="I31" s="124">
        <v>27.18</v>
      </c>
      <c r="J31" s="125"/>
      <c r="L31" s="123" t="s">
        <v>140</v>
      </c>
      <c r="M31" s="123"/>
      <c r="N31" s="124">
        <v>55</v>
      </c>
      <c r="O31" s="125"/>
      <c r="Q31" s="123" t="s">
        <v>140</v>
      </c>
      <c r="R31" s="123"/>
      <c r="S31" s="124">
        <v>23.58</v>
      </c>
      <c r="T31" s="125"/>
      <c r="V31" s="123" t="s">
        <v>140</v>
      </c>
      <c r="W31" s="123"/>
      <c r="X31" s="124">
        <v>23.58</v>
      </c>
      <c r="Y31" s="125"/>
    </row>
    <row r="32" spans="2:25" ht="11.25" x14ac:dyDescent="0.15">
      <c r="B32" s="123" t="s">
        <v>142</v>
      </c>
      <c r="C32" s="123"/>
      <c r="D32" s="124" t="s">
        <v>209</v>
      </c>
      <c r="E32" s="125"/>
      <c r="G32" s="123" t="s">
        <v>199</v>
      </c>
      <c r="H32" s="123"/>
      <c r="I32" s="124" t="s">
        <v>196</v>
      </c>
      <c r="J32" s="125"/>
      <c r="L32" s="123" t="s">
        <v>142</v>
      </c>
      <c r="M32" s="123"/>
      <c r="N32" s="124" t="s">
        <v>194</v>
      </c>
      <c r="O32" s="125"/>
      <c r="Q32" s="123" t="s">
        <v>142</v>
      </c>
      <c r="R32" s="123"/>
      <c r="S32" s="124" t="s">
        <v>192</v>
      </c>
      <c r="T32" s="125"/>
      <c r="V32" s="123" t="s">
        <v>142</v>
      </c>
      <c r="W32" s="123"/>
      <c r="X32" s="124" t="s">
        <v>192</v>
      </c>
      <c r="Y32" s="125"/>
    </row>
    <row r="33" spans="2:25" ht="11.25" x14ac:dyDescent="0.15">
      <c r="B33" s="123" t="s">
        <v>145</v>
      </c>
      <c r="C33" s="123"/>
      <c r="D33" s="124">
        <v>250</v>
      </c>
      <c r="E33" s="125"/>
      <c r="G33" s="123" t="s">
        <v>200</v>
      </c>
      <c r="H33" s="123"/>
      <c r="I33" s="124">
        <v>10000</v>
      </c>
      <c r="J33" s="125"/>
      <c r="L33" s="123" t="s">
        <v>145</v>
      </c>
      <c r="M33" s="123"/>
      <c r="N33" s="124">
        <v>5000</v>
      </c>
      <c r="O33" s="125"/>
      <c r="Q33" s="123" t="s">
        <v>145</v>
      </c>
      <c r="R33" s="123"/>
      <c r="S33" s="124">
        <v>10000</v>
      </c>
      <c r="T33" s="125"/>
      <c r="V33" s="123" t="s">
        <v>145</v>
      </c>
      <c r="W33" s="123"/>
      <c r="X33" s="124">
        <v>10000</v>
      </c>
      <c r="Y33" s="125"/>
    </row>
    <row r="34" spans="2:25" ht="12" thickBot="1" x14ac:dyDescent="0.2">
      <c r="B34" s="126" t="s">
        <v>147</v>
      </c>
      <c r="C34" s="126"/>
      <c r="D34" s="127" t="s">
        <v>148</v>
      </c>
      <c r="E34" s="128"/>
      <c r="G34" s="126" t="s">
        <v>147</v>
      </c>
      <c r="H34" s="126"/>
      <c r="I34" s="127" t="s">
        <v>148</v>
      </c>
      <c r="J34" s="128"/>
      <c r="L34" s="126" t="s">
        <v>147</v>
      </c>
      <c r="M34" s="126"/>
      <c r="N34" s="127" t="s">
        <v>148</v>
      </c>
      <c r="O34" s="128"/>
      <c r="Q34" s="126" t="s">
        <v>147</v>
      </c>
      <c r="R34" s="126"/>
      <c r="S34" s="127" t="s">
        <v>148</v>
      </c>
      <c r="T34" s="128"/>
      <c r="V34" s="126" t="s">
        <v>147</v>
      </c>
      <c r="W34" s="126"/>
      <c r="X34" s="127" t="s">
        <v>148</v>
      </c>
      <c r="Y34" s="128"/>
    </row>
    <row r="35" spans="2:25" ht="11.25" thickTop="1" x14ac:dyDescent="0.15"/>
    <row r="36" spans="2:25" ht="12" thickBot="1" x14ac:dyDescent="0.2">
      <c r="B36" s="130" t="s">
        <v>243</v>
      </c>
      <c r="C36" s="130"/>
      <c r="D36" s="130"/>
      <c r="E36" s="130"/>
      <c r="G36" s="130" t="s">
        <v>244</v>
      </c>
      <c r="H36" s="130"/>
      <c r="I36" s="130"/>
      <c r="J36" s="130"/>
      <c r="L36" s="130" t="s">
        <v>206</v>
      </c>
      <c r="M36" s="130"/>
      <c r="N36" s="130"/>
      <c r="O36" s="130"/>
      <c r="Q36" s="130" t="s">
        <v>121</v>
      </c>
      <c r="R36" s="130"/>
      <c r="S36" s="130"/>
      <c r="T36" s="130"/>
    </row>
    <row r="37" spans="2:25" ht="12" thickTop="1" x14ac:dyDescent="0.15">
      <c r="B37" s="123" t="s">
        <v>122</v>
      </c>
      <c r="C37" s="123"/>
      <c r="D37" s="129">
        <v>43229</v>
      </c>
      <c r="E37" s="131"/>
      <c r="G37" s="123" t="s">
        <v>122</v>
      </c>
      <c r="H37" s="123"/>
      <c r="I37" s="129">
        <v>43229</v>
      </c>
      <c r="J37" s="131"/>
      <c r="L37" s="123" t="s">
        <v>122</v>
      </c>
      <c r="M37" s="123"/>
      <c r="N37" s="129">
        <v>43214</v>
      </c>
      <c r="O37" s="131"/>
      <c r="Q37" s="123" t="s">
        <v>122</v>
      </c>
      <c r="R37" s="123"/>
      <c r="S37" s="129">
        <v>43209</v>
      </c>
      <c r="T37" s="131"/>
    </row>
    <row r="38" spans="2:25" ht="11.25" x14ac:dyDescent="0.15">
      <c r="B38" s="123" t="s">
        <v>124</v>
      </c>
      <c r="C38" s="123"/>
      <c r="D38" s="124" t="s">
        <v>187</v>
      </c>
      <c r="E38" s="125"/>
      <c r="G38" s="123" t="s">
        <v>124</v>
      </c>
      <c r="H38" s="123"/>
      <c r="I38" s="124" t="s">
        <v>187</v>
      </c>
      <c r="J38" s="125"/>
      <c r="L38" s="123" t="s">
        <v>124</v>
      </c>
      <c r="M38" s="123"/>
      <c r="N38" s="124" t="s">
        <v>204</v>
      </c>
      <c r="O38" s="125"/>
      <c r="Q38" s="123" t="s">
        <v>124</v>
      </c>
      <c r="R38" s="123"/>
      <c r="S38" s="124" t="s">
        <v>218</v>
      </c>
      <c r="T38" s="125"/>
    </row>
    <row r="39" spans="2:25" ht="11.25" x14ac:dyDescent="0.15">
      <c r="B39" s="123" t="s">
        <v>127</v>
      </c>
      <c r="C39" s="123"/>
      <c r="D39" s="124" t="s">
        <v>226</v>
      </c>
      <c r="E39" s="125"/>
      <c r="G39" s="123" t="s">
        <v>127</v>
      </c>
      <c r="H39" s="123"/>
      <c r="I39" s="124" t="s">
        <v>204</v>
      </c>
      <c r="J39" s="125"/>
      <c r="L39" s="123" t="s">
        <v>127</v>
      </c>
      <c r="M39" s="123"/>
      <c r="N39" s="124" t="s">
        <v>4</v>
      </c>
      <c r="O39" s="125"/>
      <c r="Q39" s="123" t="s">
        <v>127</v>
      </c>
      <c r="R39" s="123"/>
      <c r="S39" s="124" t="s">
        <v>204</v>
      </c>
      <c r="T39" s="125"/>
    </row>
    <row r="40" spans="2:25" ht="11.25" x14ac:dyDescent="0.15">
      <c r="B40" s="123" t="s">
        <v>179</v>
      </c>
      <c r="C40" s="123"/>
      <c r="D40" s="124">
        <f>D47*D45</f>
        <v>410500.00000000006</v>
      </c>
      <c r="E40" s="125"/>
      <c r="G40" s="123" t="s">
        <v>179</v>
      </c>
      <c r="H40" s="123"/>
      <c r="I40" s="124">
        <f>I45*I47</f>
        <v>410500.00000000006</v>
      </c>
      <c r="J40" s="125"/>
      <c r="L40" s="123" t="s">
        <v>129</v>
      </c>
      <c r="M40" s="123"/>
      <c r="N40" s="124">
        <f>N45*N47</f>
        <v>2117500</v>
      </c>
      <c r="O40" s="125"/>
      <c r="Q40" s="123" t="s">
        <v>179</v>
      </c>
      <c r="R40" s="123"/>
      <c r="S40" s="124">
        <f>S45*S47</f>
        <v>1045200</v>
      </c>
      <c r="T40" s="125"/>
    </row>
    <row r="41" spans="2:25" ht="11.25" x14ac:dyDescent="0.15">
      <c r="B41" s="123" t="s">
        <v>131</v>
      </c>
      <c r="C41" s="123"/>
      <c r="D41" s="124" t="s">
        <v>227</v>
      </c>
      <c r="E41" s="125"/>
      <c r="G41" s="123" t="s">
        <v>131</v>
      </c>
      <c r="H41" s="123"/>
      <c r="I41" s="124" t="s">
        <v>219</v>
      </c>
      <c r="J41" s="125"/>
      <c r="L41" s="123" t="s">
        <v>131</v>
      </c>
      <c r="M41" s="123"/>
      <c r="N41" s="124" t="s">
        <v>208</v>
      </c>
      <c r="O41" s="125"/>
      <c r="Q41" s="123" t="s">
        <v>131</v>
      </c>
      <c r="R41" s="123"/>
      <c r="S41" s="124" t="s">
        <v>219</v>
      </c>
      <c r="T41" s="125"/>
    </row>
    <row r="42" spans="2:25" ht="11.25" x14ac:dyDescent="0.15">
      <c r="B42" s="123" t="s">
        <v>134</v>
      </c>
      <c r="C42" s="123"/>
      <c r="D42" s="129">
        <f>D37+98</f>
        <v>43327</v>
      </c>
      <c r="E42" s="125"/>
      <c r="G42" s="123" t="s">
        <v>134</v>
      </c>
      <c r="H42" s="123"/>
      <c r="I42" s="129">
        <f>I37+98</f>
        <v>43327</v>
      </c>
      <c r="J42" s="125"/>
      <c r="L42" s="123" t="s">
        <v>134</v>
      </c>
      <c r="M42" s="123"/>
      <c r="N42" s="129">
        <v>43266</v>
      </c>
      <c r="O42" s="125"/>
      <c r="Q42" s="123" t="s">
        <v>134</v>
      </c>
      <c r="R42" s="123"/>
      <c r="S42" s="129">
        <v>43266</v>
      </c>
      <c r="T42" s="125"/>
    </row>
    <row r="43" spans="2:25" ht="11.25" x14ac:dyDescent="0.15">
      <c r="B43" s="123" t="s">
        <v>136</v>
      </c>
      <c r="C43" s="123"/>
      <c r="D43" s="124">
        <v>470.5</v>
      </c>
      <c r="E43" s="125"/>
      <c r="G43" s="123" t="s">
        <v>136</v>
      </c>
      <c r="H43" s="123"/>
      <c r="I43" s="124">
        <v>470.5</v>
      </c>
      <c r="J43" s="125"/>
      <c r="L43" s="123" t="s">
        <v>136</v>
      </c>
      <c r="M43" s="144"/>
      <c r="N43" s="124">
        <v>14535</v>
      </c>
      <c r="O43" s="125"/>
      <c r="Q43" s="123" t="s">
        <v>136</v>
      </c>
      <c r="R43" s="123"/>
      <c r="S43" s="124">
        <v>15250</v>
      </c>
      <c r="T43" s="125"/>
    </row>
    <row r="44" spans="2:25" ht="11.25" x14ac:dyDescent="0.15">
      <c r="B44" s="123" t="s">
        <v>138</v>
      </c>
      <c r="C44" s="123"/>
      <c r="D44" s="124">
        <v>470.5</v>
      </c>
      <c r="E44" s="125"/>
      <c r="F44" s="100">
        <f>D44*1.55/100</f>
        <v>7.2927499999999998</v>
      </c>
      <c r="G44" s="123" t="s">
        <v>138</v>
      </c>
      <c r="H44" s="123"/>
      <c r="I44" s="124">
        <v>470.5</v>
      </c>
      <c r="J44" s="125"/>
      <c r="L44" s="123" t="s">
        <v>138</v>
      </c>
      <c r="M44" s="123"/>
      <c r="N44" s="124">
        <v>14500</v>
      </c>
      <c r="O44" s="125"/>
      <c r="Q44" s="123" t="s">
        <v>138</v>
      </c>
      <c r="R44" s="123"/>
      <c r="S44" s="124">
        <v>14500</v>
      </c>
      <c r="T44" s="125"/>
    </row>
    <row r="45" spans="2:25" ht="11.25" x14ac:dyDescent="0.15">
      <c r="B45" s="123" t="s">
        <v>140</v>
      </c>
      <c r="C45" s="123"/>
      <c r="D45" s="124">
        <v>32.840000000000003</v>
      </c>
      <c r="E45" s="125"/>
      <c r="G45" s="123" t="s">
        <v>140</v>
      </c>
      <c r="H45" s="123"/>
      <c r="I45" s="124">
        <v>32.840000000000003</v>
      </c>
      <c r="J45" s="125"/>
      <c r="L45" s="123" t="s">
        <v>140</v>
      </c>
      <c r="M45" s="123"/>
      <c r="N45" s="124">
        <v>423.5</v>
      </c>
      <c r="O45" s="125"/>
      <c r="Q45" s="123" t="s">
        <v>198</v>
      </c>
      <c r="R45" s="123"/>
      <c r="S45" s="124">
        <v>209.04</v>
      </c>
      <c r="T45" s="125"/>
    </row>
    <row r="46" spans="2:25" ht="11.25" x14ac:dyDescent="0.15">
      <c r="B46" s="123" t="s">
        <v>199</v>
      </c>
      <c r="C46" s="123"/>
      <c r="D46" s="124" t="s">
        <v>202</v>
      </c>
      <c r="E46" s="125"/>
      <c r="G46" s="123" t="s">
        <v>142</v>
      </c>
      <c r="H46" s="123"/>
      <c r="I46" s="124" t="s">
        <v>202</v>
      </c>
      <c r="J46" s="125"/>
      <c r="L46" s="123" t="s">
        <v>142</v>
      </c>
      <c r="M46" s="123"/>
      <c r="N46" s="124" t="s">
        <v>210</v>
      </c>
      <c r="O46" s="125"/>
      <c r="Q46" s="123" t="s">
        <v>142</v>
      </c>
      <c r="R46" s="123"/>
      <c r="S46" s="124" t="s">
        <v>220</v>
      </c>
      <c r="T46" s="125"/>
    </row>
    <row r="47" spans="2:25" ht="11.25" x14ac:dyDescent="0.15">
      <c r="B47" s="123" t="s">
        <v>145</v>
      </c>
      <c r="C47" s="123"/>
      <c r="D47" s="124">
        <v>12500</v>
      </c>
      <c r="E47" s="125"/>
      <c r="G47" s="123" t="s">
        <v>145</v>
      </c>
      <c r="H47" s="123"/>
      <c r="I47" s="124">
        <v>12500</v>
      </c>
      <c r="J47" s="125"/>
      <c r="L47" s="123" t="s">
        <v>145</v>
      </c>
      <c r="M47" s="123"/>
      <c r="N47" s="124">
        <v>5000</v>
      </c>
      <c r="O47" s="125"/>
      <c r="Q47" s="123" t="s">
        <v>145</v>
      </c>
      <c r="R47" s="123"/>
      <c r="S47" s="124">
        <v>5000</v>
      </c>
      <c r="T47" s="125"/>
    </row>
    <row r="48" spans="2:25" ht="12" thickBot="1" x14ac:dyDescent="0.2">
      <c r="B48" s="126" t="s">
        <v>147</v>
      </c>
      <c r="C48" s="126"/>
      <c r="D48" s="127" t="s">
        <v>228</v>
      </c>
      <c r="E48" s="128"/>
      <c r="G48" s="126" t="s">
        <v>147</v>
      </c>
      <c r="H48" s="126"/>
      <c r="I48" s="127" t="s">
        <v>207</v>
      </c>
      <c r="J48" s="128"/>
      <c r="L48" s="126" t="s">
        <v>147</v>
      </c>
      <c r="M48" s="126"/>
      <c r="N48" s="127" t="s">
        <v>205</v>
      </c>
      <c r="O48" s="128"/>
      <c r="Q48" s="126" t="s">
        <v>147</v>
      </c>
      <c r="R48" s="126"/>
      <c r="S48" s="127" t="s">
        <v>207</v>
      </c>
      <c r="T48" s="128"/>
    </row>
    <row r="49" spans="2:15" ht="12.75" thickTop="1" thickBot="1" x14ac:dyDescent="0.2">
      <c r="B49" s="130" t="s">
        <v>121</v>
      </c>
      <c r="C49" s="130"/>
      <c r="D49" s="130"/>
      <c r="E49" s="130"/>
      <c r="G49" s="130" t="s">
        <v>206</v>
      </c>
      <c r="H49" s="130"/>
      <c r="I49" s="130"/>
      <c r="J49" s="130"/>
      <c r="L49" s="130" t="s">
        <v>189</v>
      </c>
      <c r="M49" s="130"/>
      <c r="N49" s="130"/>
      <c r="O49" s="130"/>
    </row>
    <row r="50" spans="2:15" ht="12" thickTop="1" x14ac:dyDescent="0.15">
      <c r="B50" s="123" t="s">
        <v>122</v>
      </c>
      <c r="C50" s="123"/>
      <c r="D50" s="129">
        <v>43235</v>
      </c>
      <c r="E50" s="131"/>
      <c r="G50" s="123" t="s">
        <v>122</v>
      </c>
      <c r="H50" s="123"/>
      <c r="I50" s="129">
        <v>43236</v>
      </c>
      <c r="J50" s="131"/>
      <c r="L50" s="123" t="s">
        <v>122</v>
      </c>
      <c r="M50" s="123"/>
      <c r="N50" s="129">
        <v>43237</v>
      </c>
      <c r="O50" s="131"/>
    </row>
    <row r="51" spans="2:15" ht="11.25" x14ac:dyDescent="0.15">
      <c r="B51" s="123" t="s">
        <v>124</v>
      </c>
      <c r="C51" s="123"/>
      <c r="D51" s="124" t="s">
        <v>226</v>
      </c>
      <c r="E51" s="125"/>
      <c r="G51" s="123" t="s">
        <v>124</v>
      </c>
      <c r="H51" s="123"/>
      <c r="I51" s="124" t="s">
        <v>204</v>
      </c>
      <c r="J51" s="125"/>
      <c r="L51" s="123" t="s">
        <v>124</v>
      </c>
      <c r="M51" s="123"/>
      <c r="N51" s="124" t="s">
        <v>4</v>
      </c>
      <c r="O51" s="125"/>
    </row>
    <row r="52" spans="2:15" ht="11.25" x14ac:dyDescent="0.15">
      <c r="B52" s="123" t="s">
        <v>127</v>
      </c>
      <c r="C52" s="123"/>
      <c r="D52" s="124" t="s">
        <v>259</v>
      </c>
      <c r="E52" s="125"/>
      <c r="G52" s="123" t="s">
        <v>127</v>
      </c>
      <c r="H52" s="123"/>
      <c r="I52" s="124" t="s">
        <v>4</v>
      </c>
      <c r="J52" s="125"/>
      <c r="L52" s="123" t="s">
        <v>127</v>
      </c>
      <c r="M52" s="123"/>
      <c r="N52" s="124" t="s">
        <v>36</v>
      </c>
      <c r="O52" s="125"/>
    </row>
    <row r="53" spans="2:15" ht="11.25" x14ac:dyDescent="0.15">
      <c r="B53" s="123" t="s">
        <v>179</v>
      </c>
      <c r="C53" s="123"/>
      <c r="D53" s="124">
        <f>D58*D60</f>
        <v>280000</v>
      </c>
      <c r="E53" s="125"/>
      <c r="G53" s="123" t="s">
        <v>129</v>
      </c>
      <c r="H53" s="123"/>
      <c r="I53" s="124">
        <f>I58*I60</f>
        <v>936000</v>
      </c>
      <c r="J53" s="125"/>
      <c r="L53" s="123" t="s">
        <v>179</v>
      </c>
      <c r="M53" s="123"/>
      <c r="N53" s="124">
        <f>N58*N60</f>
        <v>1272000</v>
      </c>
      <c r="O53" s="125"/>
    </row>
    <row r="54" spans="2:15" ht="11.25" x14ac:dyDescent="0.15">
      <c r="B54" s="123" t="s">
        <v>131</v>
      </c>
      <c r="C54" s="123"/>
      <c r="D54" s="124" t="s">
        <v>190</v>
      </c>
      <c r="E54" s="125"/>
      <c r="G54" s="123" t="s">
        <v>131</v>
      </c>
      <c r="H54" s="123"/>
      <c r="I54" s="124" t="s">
        <v>208</v>
      </c>
      <c r="J54" s="125"/>
      <c r="L54" s="123" t="s">
        <v>131</v>
      </c>
      <c r="M54" s="123"/>
      <c r="N54" s="124" t="s">
        <v>132</v>
      </c>
      <c r="O54" s="125"/>
    </row>
    <row r="55" spans="2:15" ht="11.25" x14ac:dyDescent="0.15">
      <c r="B55" s="123" t="s">
        <v>134</v>
      </c>
      <c r="C55" s="123"/>
      <c r="D55" s="129">
        <f>D50+87</f>
        <v>43322</v>
      </c>
      <c r="E55" s="125"/>
      <c r="G55" s="123" t="s">
        <v>134</v>
      </c>
      <c r="H55" s="123"/>
      <c r="I55" s="129">
        <v>43294</v>
      </c>
      <c r="J55" s="125"/>
      <c r="L55" s="123" t="s">
        <v>134</v>
      </c>
      <c r="M55" s="123"/>
      <c r="N55" s="129">
        <f>N50+85</f>
        <v>43322</v>
      </c>
      <c r="O55" s="125"/>
    </row>
    <row r="56" spans="2:15" ht="11.25" x14ac:dyDescent="0.15">
      <c r="B56" s="123" t="s">
        <v>136</v>
      </c>
      <c r="C56" s="123"/>
      <c r="D56" s="124">
        <v>14825</v>
      </c>
      <c r="E56" s="125"/>
      <c r="G56" s="123" t="s">
        <v>136</v>
      </c>
      <c r="H56" s="144"/>
      <c r="I56" s="124">
        <v>14730</v>
      </c>
      <c r="J56" s="125"/>
      <c r="L56" s="123" t="s">
        <v>136</v>
      </c>
      <c r="M56" s="123"/>
      <c r="N56" s="124">
        <v>482</v>
      </c>
      <c r="O56" s="125"/>
    </row>
    <row r="57" spans="2:15" ht="11.25" x14ac:dyDescent="0.15">
      <c r="B57" s="123" t="s">
        <v>138</v>
      </c>
      <c r="C57" s="123"/>
      <c r="D57" s="124">
        <v>14100</v>
      </c>
      <c r="E57" s="125"/>
      <c r="G57" s="123" t="s">
        <v>138</v>
      </c>
      <c r="H57" s="123"/>
      <c r="I57" s="124">
        <v>14500</v>
      </c>
      <c r="J57" s="125"/>
      <c r="L57" s="123" t="s">
        <v>138</v>
      </c>
      <c r="M57" s="123"/>
      <c r="N57" s="124">
        <v>480</v>
      </c>
      <c r="O57" s="125"/>
    </row>
    <row r="58" spans="2:15" ht="11.25" x14ac:dyDescent="0.15">
      <c r="B58" s="123" t="s">
        <v>140</v>
      </c>
      <c r="C58" s="123"/>
      <c r="D58" s="124">
        <v>140</v>
      </c>
      <c r="E58" s="125"/>
      <c r="G58" s="123" t="s">
        <v>140</v>
      </c>
      <c r="H58" s="123"/>
      <c r="I58" s="124">
        <v>312</v>
      </c>
      <c r="J58" s="125"/>
      <c r="L58" s="123" t="s">
        <v>140</v>
      </c>
      <c r="M58" s="123"/>
      <c r="N58" s="124">
        <v>31.8</v>
      </c>
      <c r="O58" s="125"/>
    </row>
    <row r="59" spans="2:15" ht="11.25" x14ac:dyDescent="0.15">
      <c r="B59" s="123" t="s">
        <v>142</v>
      </c>
      <c r="C59" s="123"/>
      <c r="D59" s="124" t="s">
        <v>258</v>
      </c>
      <c r="E59" s="125"/>
      <c r="G59" s="123" t="s">
        <v>142</v>
      </c>
      <c r="H59" s="123"/>
      <c r="I59" s="124" t="s">
        <v>260</v>
      </c>
      <c r="J59" s="125"/>
      <c r="L59" s="123" t="s">
        <v>142</v>
      </c>
      <c r="M59" s="123"/>
      <c r="N59" s="124" t="s">
        <v>202</v>
      </c>
      <c r="O59" s="125"/>
    </row>
    <row r="60" spans="2:15" ht="11.25" x14ac:dyDescent="0.15">
      <c r="B60" s="123" t="s">
        <v>145</v>
      </c>
      <c r="C60" s="123"/>
      <c r="D60" s="124">
        <v>2000</v>
      </c>
      <c r="E60" s="125"/>
      <c r="G60" s="123" t="s">
        <v>145</v>
      </c>
      <c r="H60" s="123"/>
      <c r="I60" s="124">
        <v>3000</v>
      </c>
      <c r="J60" s="125"/>
      <c r="L60" s="123" t="s">
        <v>145</v>
      </c>
      <c r="M60" s="123"/>
      <c r="N60" s="124">
        <v>40000</v>
      </c>
      <c r="O60" s="125"/>
    </row>
    <row r="61" spans="2:15" ht="12" thickBot="1" x14ac:dyDescent="0.2">
      <c r="B61" s="126" t="s">
        <v>147</v>
      </c>
      <c r="C61" s="126"/>
      <c r="D61" s="127" t="s">
        <v>207</v>
      </c>
      <c r="E61" s="128"/>
      <c r="G61" s="126" t="s">
        <v>147</v>
      </c>
      <c r="H61" s="126"/>
      <c r="I61" s="127" t="s">
        <v>205</v>
      </c>
      <c r="J61" s="128"/>
      <c r="L61" s="126" t="s">
        <v>147</v>
      </c>
      <c r="M61" s="126"/>
      <c r="N61" s="127" t="s">
        <v>207</v>
      </c>
      <c r="O61" s="128"/>
    </row>
    <row r="62" spans="2:15" ht="11.25" thickTop="1" x14ac:dyDescent="0.15"/>
  </sheetData>
  <mergeCells count="401"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52"/>
  <sheetViews>
    <sheetView topLeftCell="C16" zoomScaleNormal="100" workbookViewId="0">
      <selection activeCell="M55" sqref="M5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5" t="s">
        <v>37</v>
      </c>
      <c r="C1" s="145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25" ca="1" si="0">TODAY()</f>
        <v>43236</v>
      </c>
      <c r="F8" s="8">
        <f t="shared" ref="F8" ca="1" si="1">E8+H8</f>
        <v>43327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-2.9400333487185009</v>
      </c>
      <c r="M8" s="15"/>
      <c r="N8" s="13">
        <f t="shared" ref="N8" si="2">M8/10000*I8*P8</f>
        <v>0</v>
      </c>
      <c r="O8" s="13">
        <f>IF(L8&lt;=0,ABS(L8)+N8,L8-N8)</f>
        <v>2.9400333487185009</v>
      </c>
      <c r="P8" s="11">
        <f>RTD("wdf.rtq",,D8,"LastPrice")</f>
        <v>14910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1.9718533525945681E-4</v>
      </c>
      <c r="U8" s="13">
        <f>_xll.dnetGBlackScholesNGreeks("delta",$Q8,$P8,$G8,$I8,$C$3,$J8,$K8,$C$4)*R8</f>
        <v>5.6907216674062511E-3</v>
      </c>
      <c r="V8" s="13">
        <f>_xll.dnetGBlackScholesNGreeks("vega",$Q8,$P8,$G8,$I8,$C$3,$J8,$K8,$C$4)*R8</f>
        <v>-1.2158314933456538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43236</v>
      </c>
      <c r="F9" s="8">
        <f t="shared" ref="F9" ca="1" si="5">E9+H9</f>
        <v>43327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-2.9400333487185009</v>
      </c>
      <c r="M9" s="15"/>
      <c r="N9" s="13">
        <f t="shared" ref="N9:N10" si="6">M9/10000*I9*P9</f>
        <v>0</v>
      </c>
      <c r="O9" s="13">
        <f>IF(L9&lt;=0,ABS(L9)+N9,L9-N9)</f>
        <v>2.9400333487185009</v>
      </c>
      <c r="P9" s="11">
        <f>RTD("wdf.rtq",,D9,"LastPrice")</f>
        <v>14910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1.9718533525945681E-4</v>
      </c>
      <c r="U9" s="13">
        <f>_xll.dnetGBlackScholesNGreeks("delta",$Q9,$P9,$G9,$I9,$C$3,$J9,$K9,$C$4)*R9</f>
        <v>5.6907216674062511E-3</v>
      </c>
      <c r="V9" s="13">
        <f>_xll.dnetGBlackScholesNGreeks("vega",$Q9,$P9,$G9,$I9,$C$3,$J9,$K9,$C$4)*R9</f>
        <v>-1.2158314933456538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225</v>
      </c>
      <c r="E11" s="8">
        <f t="shared" ca="1" si="0"/>
        <v>43236</v>
      </c>
      <c r="F11" s="8">
        <f t="shared" ref="F11" ca="1" si="9">E11+H11</f>
        <v>43237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4">
        <v>37.799999999999997</v>
      </c>
      <c r="X11" s="115">
        <f>G11-W11</f>
        <v>3662.2</v>
      </c>
      <c r="Y11" s="6">
        <f>500*U11</f>
        <v>369.72704015170166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231</v>
      </c>
      <c r="E13" s="8">
        <f t="shared" ca="1" si="0"/>
        <v>43236</v>
      </c>
      <c r="F13" s="8">
        <f t="shared" ref="F13" ca="1" si="13">E13+H13</f>
        <v>43267</v>
      </c>
      <c r="G13" s="11">
        <f>P13</f>
        <v>100</v>
      </c>
      <c r="H13" s="10">
        <v>31</v>
      </c>
      <c r="I13" s="12">
        <f>H13/365</f>
        <v>8.4931506849315067E-2</v>
      </c>
      <c r="J13" s="12">
        <v>0</v>
      </c>
      <c r="K13" s="117">
        <v>0.21</v>
      </c>
      <c r="L13" s="13">
        <f>_xll.dnetGBlackScholesNGreeks("price",$Q13,$P13,$G13,$I13,$C$3,$J13,$K13,$C$4)*R13</f>
        <v>2.437015531752337</v>
      </c>
      <c r="M13" s="15"/>
      <c r="N13" s="13">
        <f t="shared" ref="N13" si="14">M13/10000*I13*P13</f>
        <v>0</v>
      </c>
      <c r="O13" s="13">
        <f>IF(L13&lt;=0,ABS(L13)+N13,L13-N13)</f>
        <v>2.437015531752337</v>
      </c>
      <c r="P13" s="11">
        <v>100</v>
      </c>
      <c r="Q13" s="10" t="s">
        <v>85</v>
      </c>
      <c r="R13" s="10">
        <f t="shared" ref="R13" si="15">IF(S13="中金买入",1,-1)</f>
        <v>1</v>
      </c>
      <c r="S13" s="10" t="s">
        <v>151</v>
      </c>
      <c r="T13" s="14">
        <f t="shared" ref="T13" si="16">O13/P13</f>
        <v>2.437015531752337E-2</v>
      </c>
      <c r="U13" s="13">
        <f>_xll.dnetGBlackScholesNGreeks("delta",$Q13,$P13,$G13,$I13,$C$3,$J13,$K13,$C$4)*R13</f>
        <v>-0.48696634446194764</v>
      </c>
      <c r="V13" s="13">
        <f>_xll.dnetGBlackScholesNGreeks("vega",$Q13,$P13,$G13,$I13,$C$3,$J13,$K13,$C$4)*R13</f>
        <v>0.11601210076558033</v>
      </c>
      <c r="W13" s="114">
        <v>37.799999999999997</v>
      </c>
      <c r="X13" s="115">
        <f>G13-W13</f>
        <v>62.2</v>
      </c>
      <c r="Y13" s="6">
        <f>500*U13</f>
        <v>-243.48317223097382</v>
      </c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231</v>
      </c>
      <c r="E14" s="8">
        <f t="shared" ca="1" si="0"/>
        <v>43236</v>
      </c>
      <c r="F14" s="8">
        <f t="shared" ref="F14" ca="1" si="17">E14+H14</f>
        <v>43296</v>
      </c>
      <c r="G14" s="11">
        <f t="shared" ref="G14:G23" si="18">P14</f>
        <v>100</v>
      </c>
      <c r="H14" s="10">
        <v>60</v>
      </c>
      <c r="I14" s="12">
        <f>H14/365</f>
        <v>0.16438356164383561</v>
      </c>
      <c r="J14" s="12">
        <v>0</v>
      </c>
      <c r="K14" s="117">
        <v>0.21</v>
      </c>
      <c r="L14" s="13">
        <f>_xll.dnetGBlackScholesNGreeks("price",$Q14,$P14,$G14,$I14,$C$3,$J14,$K14,$C$4)*R14</f>
        <v>3.384539376643886</v>
      </c>
      <c r="M14" s="15"/>
      <c r="N14" s="13">
        <f t="shared" ref="N14" si="19">M14/10000*I14*P14</f>
        <v>0</v>
      </c>
      <c r="O14" s="13">
        <f>IF(L14&lt;=0,ABS(L14)+N14,L14-N14)</f>
        <v>3.384539376643886</v>
      </c>
      <c r="P14" s="11">
        <v>100</v>
      </c>
      <c r="Q14" s="10" t="s">
        <v>85</v>
      </c>
      <c r="R14" s="10">
        <f t="shared" ref="R14" si="20">IF(S14="中金买入",1,-1)</f>
        <v>1</v>
      </c>
      <c r="S14" s="10" t="s">
        <v>151</v>
      </c>
      <c r="T14" s="14">
        <f t="shared" ref="T14" si="21">O14/P14</f>
        <v>3.3845393766438858E-2</v>
      </c>
      <c r="U14" s="13">
        <f>_xll.dnetGBlackScholesNGreeks("delta",$Q14,$P14,$G14,$I14,$C$3,$J14,$K14,$C$4)*R14</f>
        <v>-0.48143617840246122</v>
      </c>
      <c r="V14" s="13">
        <f>_xll.dnetGBlackScholesNGreeks("vega",$Q14,$P14,$G14,$I14,$C$3,$J14,$K14,$C$4)*R14</f>
        <v>0.16107109168594747</v>
      </c>
      <c r="W14" s="114">
        <v>37.799999999999997</v>
      </c>
      <c r="X14" s="115">
        <f>G14-W14</f>
        <v>62.2</v>
      </c>
      <c r="Y14" s="6">
        <f>500*U14</f>
        <v>-240.71808920123061</v>
      </c>
    </row>
    <row r="15" spans="1:25" ht="10.5" customHeight="1" x14ac:dyDescent="0.15">
      <c r="A15" s="34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  <c r="X15" s="114"/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233</v>
      </c>
      <c r="E16" s="8">
        <f t="shared" ca="1" si="0"/>
        <v>43236</v>
      </c>
      <c r="F16" s="8">
        <f t="shared" ref="F16" ca="1" si="22">E16+H16</f>
        <v>43267</v>
      </c>
      <c r="G16" s="11">
        <f t="shared" si="18"/>
        <v>100</v>
      </c>
      <c r="H16" s="10">
        <v>31</v>
      </c>
      <c r="I16" s="12">
        <f>H16/365</f>
        <v>8.4931506849315067E-2</v>
      </c>
      <c r="J16" s="12">
        <v>0</v>
      </c>
      <c r="K16" s="117">
        <v>0.1075</v>
      </c>
      <c r="L16" s="13">
        <f>_xll.dnetGBlackScholesNGreeks("price",$Q16,$P16,$G16,$I16,$C$3,$J16,$K16,$C$4)*R16</f>
        <v>1.2476635246627694</v>
      </c>
      <c r="M16" s="15"/>
      <c r="N16" s="13">
        <f t="shared" ref="N16" si="23">M16/10000*I16*P16</f>
        <v>0</v>
      </c>
      <c r="O16" s="13">
        <f>IF(L16&lt;=0,ABS(L16)+N16,L16-N16)</f>
        <v>1.2476635246627694</v>
      </c>
      <c r="P16" s="11">
        <v>100</v>
      </c>
      <c r="Q16" s="10" t="s">
        <v>85</v>
      </c>
      <c r="R16" s="10">
        <f t="shared" ref="R16" si="24">IF(S16="中金买入",1,-1)</f>
        <v>1</v>
      </c>
      <c r="S16" s="10" t="s">
        <v>151</v>
      </c>
      <c r="T16" s="14">
        <f t="shared" ref="T16" si="25">O16/P16</f>
        <v>1.2476635246627694E-2</v>
      </c>
      <c r="U16" s="13">
        <f>_xll.dnetGBlackScholesNGreeks("delta",$Q16,$P16,$G16,$I16,$C$3,$J16,$K16,$C$4)*R16</f>
        <v>-0.49291312001358278</v>
      </c>
      <c r="V16" s="13">
        <f>_xll.dnetGBlackScholesNGreeks("vega",$Q16,$P16,$G16,$I16,$C$3,$J16,$K16,$C$4)*R16</f>
        <v>0.11605218969397768</v>
      </c>
      <c r="W16" s="114">
        <v>37.799999999999997</v>
      </c>
      <c r="X16" s="115">
        <f>G16-W16</f>
        <v>62.2</v>
      </c>
      <c r="Y16" s="6">
        <f>500*U16</f>
        <v>-246.45656000679139</v>
      </c>
    </row>
    <row r="17" spans="1:26" ht="10.5" customHeight="1" x14ac:dyDescent="0.15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  <c r="X17" s="114"/>
    </row>
    <row r="18" spans="1:26" ht="10.5" customHeight="1" x14ac:dyDescent="0.15">
      <c r="A18" s="34"/>
      <c r="B18" s="13" t="s">
        <v>172</v>
      </c>
      <c r="C18" s="10" t="s">
        <v>160</v>
      </c>
      <c r="D18" s="10" t="s">
        <v>235</v>
      </c>
      <c r="E18" s="8">
        <f t="shared" ca="1" si="0"/>
        <v>43236</v>
      </c>
      <c r="F18" s="8">
        <f t="shared" ref="F18:F21" ca="1" si="26">E18+H18</f>
        <v>43267</v>
      </c>
      <c r="G18" s="11">
        <f t="shared" si="18"/>
        <v>100</v>
      </c>
      <c r="H18" s="10">
        <v>31</v>
      </c>
      <c r="I18" s="12">
        <f>H18/365</f>
        <v>8.4931506849315067E-2</v>
      </c>
      <c r="J18" s="12">
        <v>0</v>
      </c>
      <c r="K18" s="117">
        <v>0.16500000000000001</v>
      </c>
      <c r="L18" s="13">
        <f>_xll.dnetGBlackScholesNGreeks("price",$Q18,$P18,$G18,$I18,$C$3,$J18,$K18,$C$4)*R18</f>
        <v>1.9149122565538121</v>
      </c>
      <c r="M18" s="15"/>
      <c r="N18" s="13">
        <f t="shared" ref="N18:N21" si="27">M18/10000*I18*P18</f>
        <v>0</v>
      </c>
      <c r="O18" s="13">
        <f>IF(L18&lt;=0,ABS(L18)+N18,L18-N18)</f>
        <v>1.9149122565538121</v>
      </c>
      <c r="P18" s="11">
        <v>100</v>
      </c>
      <c r="Q18" s="10" t="s">
        <v>85</v>
      </c>
      <c r="R18" s="10">
        <f t="shared" ref="R18:R21" si="28">IF(S18="中金买入",1,-1)</f>
        <v>1</v>
      </c>
      <c r="S18" s="10" t="s">
        <v>151</v>
      </c>
      <c r="T18" s="14">
        <f t="shared" ref="T18:T21" si="29">O18/P18</f>
        <v>1.9149122565538121E-2</v>
      </c>
      <c r="U18" s="13">
        <f>_xll.dnetGBlackScholesNGreeks("delta",$Q18,$P18,$G18,$I18,$C$3,$J18,$K18,$C$4)*R18</f>
        <v>-0.48957686527622002</v>
      </c>
      <c r="V18" s="13">
        <f>_xll.dnetGBlackScholesNGreeks("vega",$Q18,$P18,$G18,$I18,$C$3,$J18,$K18,$C$4)*R18</f>
        <v>0.11603288645868659</v>
      </c>
      <c r="W18" s="114">
        <v>37.799999999999997</v>
      </c>
      <c r="X18" s="115">
        <f>G18-W18</f>
        <v>62.2</v>
      </c>
      <c r="Y18" s="6">
        <f>500*U18</f>
        <v>-244.78843263811001</v>
      </c>
    </row>
    <row r="19" spans="1:26" ht="10.5" customHeight="1" x14ac:dyDescent="0.15">
      <c r="A19" s="34"/>
      <c r="B19" s="13" t="s">
        <v>172</v>
      </c>
      <c r="C19" s="10" t="s">
        <v>160</v>
      </c>
      <c r="D19" s="10" t="s">
        <v>194</v>
      </c>
      <c r="E19" s="8">
        <f t="shared" ca="1" si="0"/>
        <v>43236</v>
      </c>
      <c r="F19" s="8">
        <f t="shared" ca="1" si="26"/>
        <v>43264</v>
      </c>
      <c r="G19" s="11">
        <v>3300</v>
      </c>
      <c r="H19" s="10">
        <v>28</v>
      </c>
      <c r="I19" s="12">
        <f>H19/365</f>
        <v>7.6712328767123292E-2</v>
      </c>
      <c r="J19" s="12">
        <v>0</v>
      </c>
      <c r="K19" s="9">
        <v>0.22</v>
      </c>
      <c r="L19" s="13">
        <f>_xll.dnetGBlackScholesNGreeks("price",$Q19,$P19,$G19,$I19,$C$3,$J19,$K19,$C$4)*R19</f>
        <v>3.2531913172629459</v>
      </c>
      <c r="M19" s="15"/>
      <c r="N19" s="13">
        <f t="shared" si="27"/>
        <v>0</v>
      </c>
      <c r="O19" s="13">
        <f>IF(L19&lt;=0,ABS(L19)+N19,L19-N19)</f>
        <v>3.2531913172629459</v>
      </c>
      <c r="P19" s="11">
        <f>RTD("wdf.rtq",,D19,"LastPrice")</f>
        <v>3676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8.8498131590395693E-4</v>
      </c>
      <c r="U19" s="13">
        <f>_xll.dnetGBlackScholesNGreeks("delta",$Q19,$P19,$G19,$I19,$C$3,$J19,$K19,$C$4)*R19</f>
        <v>-3.5773034565522721E-2</v>
      </c>
      <c r="V19" s="13">
        <f>_xll.dnetGBlackScholesNGreeks("vega",$Q19,$P19,$G19,$I19,$C$3,$J19,$K19,$C$4)*R19</f>
        <v>0.80083642874659233</v>
      </c>
      <c r="W19" s="114">
        <v>37.799999999999997</v>
      </c>
      <c r="X19" s="115">
        <f>G19-W19</f>
        <v>3262.2</v>
      </c>
      <c r="Y19" s="6">
        <f>500*U19</f>
        <v>-17.886517282761361</v>
      </c>
    </row>
    <row r="20" spans="1:26" ht="10.5" customHeight="1" x14ac:dyDescent="0.15">
      <c r="A20" s="34"/>
      <c r="B20" s="13" t="s">
        <v>172</v>
      </c>
      <c r="C20" s="10" t="s">
        <v>160</v>
      </c>
      <c r="D20" s="10" t="s">
        <v>194</v>
      </c>
      <c r="E20" s="8">
        <f t="shared" ca="1" si="0"/>
        <v>43236</v>
      </c>
      <c r="F20" s="8">
        <f t="shared" ca="1" si="26"/>
        <v>43264</v>
      </c>
      <c r="G20" s="11">
        <v>3350</v>
      </c>
      <c r="H20" s="10">
        <v>28</v>
      </c>
      <c r="I20" s="12">
        <f>H20/365</f>
        <v>7.6712328767123292E-2</v>
      </c>
      <c r="J20" s="12">
        <v>0</v>
      </c>
      <c r="K20" s="9">
        <v>0.2225</v>
      </c>
      <c r="L20" s="13">
        <f>_xll.dnetGBlackScholesNGreeks("price",$Q20,$P20,$G20,$I20,$C$3,$J20,$K20,$C$4)*R20</f>
        <v>6.2268915821427129</v>
      </c>
      <c r="M20" s="15"/>
      <c r="N20" s="13">
        <f t="shared" si="27"/>
        <v>0</v>
      </c>
      <c r="O20" s="13">
        <f>IF(L20&lt;=0,ABS(L20)+N20,L20-N20)</f>
        <v>6.2268915821427129</v>
      </c>
      <c r="P20" s="11">
        <f>RTD("wdf.rtq",,D20,"LastPrice")</f>
        <v>3676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1.6939313335535128E-3</v>
      </c>
      <c r="U20" s="13">
        <f>_xll.dnetGBlackScholesNGreeks("delta",$Q20,$P20,$G20,$I20,$C$3,$J20,$K20,$C$4)*R20</f>
        <v>-6.1962420573991039E-2</v>
      </c>
      <c r="V20" s="13">
        <f>_xll.dnetGBlackScholesNGreeks("vega",$Q20,$P20,$G20,$I20,$C$3,$J20,$K20,$C$4)*R20</f>
        <v>1.2426300726254027</v>
      </c>
      <c r="W20" s="114">
        <v>37.799999999999997</v>
      </c>
      <c r="X20" s="115">
        <f>G20-W20</f>
        <v>3312.2</v>
      </c>
      <c r="Y20" s="6">
        <f>500*U20</f>
        <v>-30.98121028699552</v>
      </c>
    </row>
    <row r="21" spans="1:26" ht="10.5" customHeight="1" x14ac:dyDescent="0.15">
      <c r="A21" s="34"/>
      <c r="B21" s="13" t="s">
        <v>172</v>
      </c>
      <c r="C21" s="10" t="s">
        <v>160</v>
      </c>
      <c r="D21" s="10" t="s">
        <v>194</v>
      </c>
      <c r="E21" s="8">
        <f t="shared" ca="1" si="0"/>
        <v>43236</v>
      </c>
      <c r="F21" s="8">
        <f t="shared" ca="1" si="26"/>
        <v>43264</v>
      </c>
      <c r="G21" s="11">
        <v>3400</v>
      </c>
      <c r="H21" s="10">
        <v>28</v>
      </c>
      <c r="I21" s="12">
        <f>H21/365</f>
        <v>7.6712328767123292E-2</v>
      </c>
      <c r="J21" s="12">
        <v>0</v>
      </c>
      <c r="K21" s="9">
        <v>0.22500000000000001</v>
      </c>
      <c r="L21" s="13">
        <f>_xll.dnetGBlackScholesNGreeks("price",$Q21,$P21,$G21,$I21,$C$3,$J21,$K21,$C$4)*R21</f>
        <v>11.067682576196091</v>
      </c>
      <c r="M21" s="15"/>
      <c r="N21" s="13">
        <f t="shared" si="27"/>
        <v>0</v>
      </c>
      <c r="O21" s="13">
        <f>IF(L21&lt;=0,ABS(L21)+N21,L21-N21)</f>
        <v>11.067682576196091</v>
      </c>
      <c r="P21" s="11">
        <f>RTD("wdf.rtq",,D21,"LastPrice")</f>
        <v>3676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3.0107950424907758E-3</v>
      </c>
      <c r="U21" s="13">
        <f>_xll.dnetGBlackScholesNGreeks("delta",$Q21,$P21,$G21,$I21,$C$3,$J21,$K21,$C$4)*R21</f>
        <v>-9.9488568417882561E-2</v>
      </c>
      <c r="V21" s="13">
        <f>_xll.dnetGBlackScholesNGreeks("vega",$Q21,$P21,$G21,$I21,$C$3,$J21,$K21,$C$4)*R21</f>
        <v>1.7780891581268463</v>
      </c>
      <c r="W21" s="114">
        <v>37.799999999999997</v>
      </c>
      <c r="X21" s="115">
        <f>G21-W21</f>
        <v>3362.2</v>
      </c>
      <c r="Y21" s="6">
        <f>500*U21</f>
        <v>-49.744284208941281</v>
      </c>
    </row>
    <row r="22" spans="1:26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X22" s="114"/>
    </row>
    <row r="23" spans="1:26" ht="10.5" customHeight="1" x14ac:dyDescent="0.15">
      <c r="A23" s="34"/>
      <c r="B23" s="13" t="s">
        <v>172</v>
      </c>
      <c r="C23" s="10" t="s">
        <v>160</v>
      </c>
      <c r="D23" s="10" t="s">
        <v>237</v>
      </c>
      <c r="E23" s="8">
        <f t="shared" ca="1" si="0"/>
        <v>43236</v>
      </c>
      <c r="F23" s="8">
        <f t="shared" ref="F23" ca="1" si="30">E23+H23</f>
        <v>43267</v>
      </c>
      <c r="G23" s="11">
        <f t="shared" si="18"/>
        <v>100</v>
      </c>
      <c r="H23" s="10">
        <v>31</v>
      </c>
      <c r="I23" s="12">
        <f>H23/365</f>
        <v>8.4931506849315067E-2</v>
      </c>
      <c r="J23" s="12">
        <v>0</v>
      </c>
      <c r="K23" s="116">
        <v>0.14749999999999999</v>
      </c>
      <c r="L23" s="13">
        <f>_xll.dnetGBlackScholesNGreeks("price",$Q23,$P23,$G23,$I23,$C$3,$J23,$K23,$C$4)*R23</f>
        <v>1.7118486286586005</v>
      </c>
      <c r="M23" s="15"/>
      <c r="N23" s="13">
        <f t="shared" ref="N23" si="31">M23/10000*I23*P23</f>
        <v>0</v>
      </c>
      <c r="O23" s="13">
        <f>IF(L23&lt;=0,ABS(L23)+N23,L23-N23)</f>
        <v>1.7118486286586005</v>
      </c>
      <c r="P23" s="11">
        <v>100</v>
      </c>
      <c r="Q23" s="10" t="s">
        <v>85</v>
      </c>
      <c r="R23" s="10">
        <f t="shared" ref="R23" si="32">IF(S23="中金买入",1,-1)</f>
        <v>1</v>
      </c>
      <c r="S23" s="10" t="s">
        <v>151</v>
      </c>
      <c r="T23" s="14">
        <f t="shared" ref="T23" si="33">O23/P23</f>
        <v>1.7118486286586007E-2</v>
      </c>
      <c r="U23" s="13">
        <f>_xll.dnetGBlackScholesNGreeks("delta",$Q23,$P23,$G23,$I23,$C$3,$J23,$K23,$C$4)*R23</f>
        <v>-0.49059218587288456</v>
      </c>
      <c r="V23" s="13">
        <f>_xll.dnetGBlackScholesNGreeks("vega",$Q23,$P23,$G23,$I23,$C$3,$J23,$K23,$C$4)*R23</f>
        <v>0.11603962336191032</v>
      </c>
      <c r="W23" s="114">
        <v>37.799999999999997</v>
      </c>
      <c r="X23" s="115">
        <f>G23-W23</f>
        <v>62.2</v>
      </c>
      <c r="Y23" s="6">
        <f>500*U23</f>
        <v>-245.29609293644228</v>
      </c>
    </row>
    <row r="24" spans="1:26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6" ht="10.5" customHeight="1" x14ac:dyDescent="0.15">
      <c r="A25" s="34"/>
      <c r="B25" s="13" t="s">
        <v>172</v>
      </c>
      <c r="C25" s="10" t="s">
        <v>160</v>
      </c>
      <c r="D25" s="10" t="s">
        <v>239</v>
      </c>
      <c r="E25" s="8">
        <f t="shared" ca="1" si="0"/>
        <v>43236</v>
      </c>
      <c r="F25" s="8">
        <f t="shared" ref="F25" ca="1" si="34">E25+H25</f>
        <v>43266</v>
      </c>
      <c r="G25" s="11">
        <v>49000</v>
      </c>
      <c r="H25" s="10">
        <v>30</v>
      </c>
      <c r="I25" s="12">
        <f>H25/365</f>
        <v>8.2191780821917804E-2</v>
      </c>
      <c r="J25" s="12">
        <v>0</v>
      </c>
      <c r="K25" s="9">
        <v>0.13500000000000001</v>
      </c>
      <c r="L25" s="13">
        <f>_xll.dnetGBlackScholesNGreeks("price",$Q25,$P25,$G25,$I25,$C$3,$J25,$K25,$C$4)*R25</f>
        <v>143.71277212501172</v>
      </c>
      <c r="M25" s="15">
        <v>30</v>
      </c>
      <c r="N25" s="13">
        <f t="shared" ref="N25" si="35">M25/10000*I25*P25</f>
        <v>12.587671232876712</v>
      </c>
      <c r="O25" s="13">
        <f>IF(L25&lt;=0,ABS(L25)+N25,L25-N25)</f>
        <v>131.12510089213501</v>
      </c>
      <c r="P25" s="11">
        <v>51050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2.5685622114032325E-3</v>
      </c>
      <c r="U25" s="13">
        <f>_xll.dnetGBlackScholesNGreeks("delta",$Q25,$P25,$G25,$I25,$C$3,$J25,$K25,$C$4)*R25</f>
        <v>-0.14021665033396857</v>
      </c>
      <c r="V25" s="13">
        <f>_xll.dnetGBlackScholesNGreeks("vega",$Q25,$P25,$G25,$I25,$C$3,$J25,$K25,$C$4)*R25</f>
        <v>32.529635749877343</v>
      </c>
      <c r="W25" s="114">
        <v>37.799999999999997</v>
      </c>
      <c r="X25" s="115">
        <f>G25-W25</f>
        <v>48962.2</v>
      </c>
      <c r="Y25" s="6">
        <f>500*U25</f>
        <v>-70.108325166984287</v>
      </c>
    </row>
    <row r="26" spans="1:26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6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>
        <f>T28+T29</f>
        <v>0.14685897438554971</v>
      </c>
      <c r="U27" s="12">
        <f>T27/2</f>
        <v>7.3429487192774853E-2</v>
      </c>
      <c r="V27" s="13"/>
    </row>
    <row r="28" spans="1:26" ht="10.5" customHeight="1" x14ac:dyDescent="0.15">
      <c r="A28" s="34"/>
      <c r="B28" s="13" t="s">
        <v>172</v>
      </c>
      <c r="C28" s="10" t="s">
        <v>160</v>
      </c>
      <c r="D28" s="10" t="s">
        <v>202</v>
      </c>
      <c r="E28" s="8">
        <f t="shared" ref="E28:E36" ca="1" si="38">TODAY()</f>
        <v>43236</v>
      </c>
      <c r="F28" s="8">
        <f t="shared" ref="F28:F37" ca="1" si="39">E28+H28</f>
        <v>43334</v>
      </c>
      <c r="G28" s="11">
        <v>500</v>
      </c>
      <c r="H28" s="10">
        <v>98</v>
      </c>
      <c r="I28" s="12">
        <f>H28/365</f>
        <v>0.26849315068493151</v>
      </c>
      <c r="J28" s="12">
        <v>0</v>
      </c>
      <c r="K28" s="117">
        <v>0.34499999999999997</v>
      </c>
      <c r="L28" s="13">
        <f>_xll.dnetGBlackScholesNGreeks("price",$Q28,$P28,$G28,$I28,$C$3,$J28,$K28,$C$4)*R28</f>
        <v>-43.920920810000382</v>
      </c>
      <c r="M28" s="15"/>
      <c r="N28" s="13">
        <f t="shared" ref="N28:N37" si="40">M28/10000*I28*P28</f>
        <v>0</v>
      </c>
      <c r="O28" s="13">
        <f>IF(L28&lt;=0,ABS(L28)+N28,L28-N28)</f>
        <v>43.920920810000382</v>
      </c>
      <c r="P28" s="11">
        <f>RTD("wdf.rtq",,D28,"LastPrice")</f>
        <v>483</v>
      </c>
      <c r="Q28" s="10" t="s">
        <v>85</v>
      </c>
      <c r="R28" s="10">
        <f t="shared" ref="R28:R37" si="41">IF(S28="中金买入",1,-1)</f>
        <v>-1</v>
      </c>
      <c r="S28" s="10" t="s">
        <v>20</v>
      </c>
      <c r="T28" s="14">
        <f t="shared" ref="T28:T37" si="42">O28/P28</f>
        <v>9.0933583457557726E-2</v>
      </c>
      <c r="U28" s="13">
        <f>_xll.dnetGBlackScholesNGreeks("delta",$Q28,$P28,$G28,$I28,$C$3,$J28,$K28,$C$4)*R28</f>
        <v>0.53856226126356432</v>
      </c>
      <c r="V28" s="13">
        <f>_xll.dnetGBlackScholesNGreeks("vega",$Q28,$P28,$G28,$I28,$C$3,$J28,$K28,$C$4)*R28</f>
        <v>-0.98771226110673638</v>
      </c>
      <c r="W28" s="114">
        <v>37.799999999999997</v>
      </c>
      <c r="X28" s="115">
        <f>G28-W28</f>
        <v>462.2</v>
      </c>
      <c r="Y28" s="6">
        <f>500*U28</f>
        <v>269.28113063178216</v>
      </c>
      <c r="Z28" s="119">
        <f>U28+U29</f>
        <v>8.2479993602646573E-2</v>
      </c>
    </row>
    <row r="29" spans="1:26" ht="10.5" customHeight="1" x14ac:dyDescent="0.15">
      <c r="A29" s="34"/>
      <c r="B29" s="13" t="s">
        <v>172</v>
      </c>
      <c r="C29" s="10" t="s">
        <v>160</v>
      </c>
      <c r="D29" s="10" t="s">
        <v>202</v>
      </c>
      <c r="E29" s="8">
        <f t="shared" ca="1" si="38"/>
        <v>43236</v>
      </c>
      <c r="F29" s="8">
        <f t="shared" ca="1" si="39"/>
        <v>43334</v>
      </c>
      <c r="G29" s="11">
        <v>500</v>
      </c>
      <c r="H29" s="10">
        <v>98</v>
      </c>
      <c r="I29" s="12">
        <f>H29/365</f>
        <v>0.26849315068493151</v>
      </c>
      <c r="J29" s="12">
        <v>0</v>
      </c>
      <c r="K29" s="117">
        <v>0.34499999999999997</v>
      </c>
      <c r="L29" s="13">
        <f>_xll.dnetGBlackScholesNGreeks("price",$Q29,$P29,$G29,$I29,$C$3,$J29,$K29,$C$4)*R29</f>
        <v>-27.011963818220124</v>
      </c>
      <c r="M29" s="15"/>
      <c r="N29" s="13">
        <f t="shared" si="40"/>
        <v>0</v>
      </c>
      <c r="O29" s="13">
        <f>IF(L29&lt;=0,ABS(L29)+N29,L29-N29)</f>
        <v>27.011963818220124</v>
      </c>
      <c r="P29" s="11">
        <f>RTD("wdf.rtq",,D29,"LastPrice")</f>
        <v>483</v>
      </c>
      <c r="Q29" s="10" t="s">
        <v>39</v>
      </c>
      <c r="R29" s="10">
        <f t="shared" si="41"/>
        <v>-1</v>
      </c>
      <c r="S29" s="10" t="s">
        <v>20</v>
      </c>
      <c r="T29" s="14">
        <f t="shared" si="42"/>
        <v>5.5925390927991973E-2</v>
      </c>
      <c r="U29" s="13">
        <f>_xll.dnetGBlackScholesNGreeks("delta",$Q29,$P29,$G29,$I29,$C$3,$J29,$K29,$C$4)*R29</f>
        <v>-0.45608226766091775</v>
      </c>
      <c r="V29" s="13">
        <f>_xll.dnetGBlackScholesNGreeks("vega",$Q29,$P29,$G29,$I29,$C$3,$J29,$K29,$C$4)*R29</f>
        <v>-0.98771226110672217</v>
      </c>
      <c r="W29" s="114">
        <v>37.799999999999997</v>
      </c>
      <c r="X29" s="115">
        <f>G29-W29</f>
        <v>462.2</v>
      </c>
      <c r="Y29" s="6">
        <f>500*U29</f>
        <v>-228.04113383045888</v>
      </c>
    </row>
    <row r="30" spans="1:26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117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  <c r="W30" s="114"/>
      <c r="X30" s="115"/>
    </row>
    <row r="31" spans="1:26" ht="10.5" customHeight="1" x14ac:dyDescent="0.15">
      <c r="A31" s="34"/>
      <c r="B31" s="13" t="s">
        <v>172</v>
      </c>
      <c r="C31" s="10" t="s">
        <v>160</v>
      </c>
      <c r="D31" s="10" t="s">
        <v>194</v>
      </c>
      <c r="E31" s="8">
        <f t="shared" ca="1" si="38"/>
        <v>43236</v>
      </c>
      <c r="F31" s="8">
        <f t="shared" ca="1" si="39"/>
        <v>43266</v>
      </c>
      <c r="G31" s="11">
        <f t="shared" ref="G31:G34" si="43">P31</f>
        <v>100</v>
      </c>
      <c r="H31" s="10">
        <v>30</v>
      </c>
      <c r="I31" s="12">
        <f>H31/365</f>
        <v>8.2191780821917804E-2</v>
      </c>
      <c r="J31" s="12">
        <v>0</v>
      </c>
      <c r="K31" s="117">
        <v>0.215</v>
      </c>
      <c r="L31" s="13">
        <f>_xll.dnetGBlackScholesNGreeks("price",$Q31,$P31,$G31,$I31,$C$3,$J31,$K31,$C$4)*R31</f>
        <v>2.4545962454477035</v>
      </c>
      <c r="M31" s="15"/>
      <c r="N31" s="13">
        <f t="shared" si="40"/>
        <v>0</v>
      </c>
      <c r="O31" s="13">
        <f>IF(L31&lt;=0,ABS(L31)+N31,L31-N31)</f>
        <v>2.4545962454477035</v>
      </c>
      <c r="P31" s="11">
        <v>100</v>
      </c>
      <c r="Q31" s="10" t="s">
        <v>85</v>
      </c>
      <c r="R31" s="10">
        <f t="shared" si="41"/>
        <v>1</v>
      </c>
      <c r="S31" s="10" t="s">
        <v>151</v>
      </c>
      <c r="T31" s="14">
        <f t="shared" si="42"/>
        <v>2.4545962454477033E-2</v>
      </c>
      <c r="U31" s="13">
        <f>_xll.dnetGBlackScholesNGreeks("delta",$Q31,$P31,$G31,$I31,$C$3,$J31,$K31,$C$4)*R31</f>
        <v>-0.48690579229031528</v>
      </c>
      <c r="V31" s="13">
        <f>_xll.dnetGBlackScholesNGreeks("vega",$Q31,$P31,$G31,$I31,$C$3,$J31,$K31,$C$4)*R31</f>
        <v>0.1141310863072178</v>
      </c>
      <c r="W31" s="114">
        <v>37.799999999999997</v>
      </c>
      <c r="X31" s="115">
        <f>G31-W31</f>
        <v>62.2</v>
      </c>
      <c r="Y31" s="6">
        <f>500*U31</f>
        <v>-243.45289614515764</v>
      </c>
    </row>
    <row r="32" spans="1:26" ht="10.5" customHeight="1" x14ac:dyDescent="0.15">
      <c r="A32" s="34"/>
      <c r="B32" s="13" t="s">
        <v>172</v>
      </c>
      <c r="C32" s="10" t="s">
        <v>160</v>
      </c>
      <c r="D32" s="10" t="s">
        <v>194</v>
      </c>
      <c r="E32" s="8">
        <f t="shared" ca="1" si="38"/>
        <v>43236</v>
      </c>
      <c r="F32" s="8">
        <f t="shared" ca="1" si="39"/>
        <v>43266</v>
      </c>
      <c r="G32" s="11">
        <f t="shared" si="43"/>
        <v>100</v>
      </c>
      <c r="H32" s="10">
        <v>30</v>
      </c>
      <c r="I32" s="12">
        <f>H32/365</f>
        <v>8.2191780821917804E-2</v>
      </c>
      <c r="J32" s="12">
        <v>0</v>
      </c>
      <c r="K32" s="117">
        <v>0.28499999999999998</v>
      </c>
      <c r="L32" s="13">
        <f>_xll.dnetGBlackScholesNGreeks("price",$Q32,$P32,$G32,$I32,$C$3,$J32,$K32,$C$4)*R32</f>
        <v>-3.2533772011772371</v>
      </c>
      <c r="M32" s="15"/>
      <c r="N32" s="13">
        <f t="shared" si="40"/>
        <v>0</v>
      </c>
      <c r="O32" s="13">
        <f>IF(L32&lt;=0,ABS(L32)+N32,L32-N32)</f>
        <v>3.2533772011772371</v>
      </c>
      <c r="P32" s="11">
        <v>100</v>
      </c>
      <c r="Q32" s="10" t="s">
        <v>85</v>
      </c>
      <c r="R32" s="10">
        <f t="shared" si="41"/>
        <v>-1</v>
      </c>
      <c r="S32" s="10" t="s">
        <v>20</v>
      </c>
      <c r="T32" s="14">
        <f t="shared" si="42"/>
        <v>3.253377201177237E-2</v>
      </c>
      <c r="U32" s="13">
        <f>_xll.dnetGBlackScholesNGreeks("delta",$Q32,$P32,$G32,$I32,$C$3,$J32,$K32,$C$4)*R32</f>
        <v>0.4829118835409929</v>
      </c>
      <c r="V32" s="13">
        <f>_xll.dnetGBlackScholesNGreeks("vega",$Q32,$P32,$G32,$I32,$C$3,$J32,$K32,$C$4)*R32</f>
        <v>-0.1140900534253646</v>
      </c>
      <c r="W32" s="114">
        <v>37.799999999999997</v>
      </c>
      <c r="X32" s="115">
        <f>G32-W32</f>
        <v>62.2</v>
      </c>
      <c r="Y32" s="6">
        <f>500*U32</f>
        <v>241.45594177049645</v>
      </c>
    </row>
    <row r="33" spans="1:26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117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  <c r="W33" s="114"/>
      <c r="X33" s="115"/>
    </row>
    <row r="34" spans="1:26" ht="10.5" customHeight="1" x14ac:dyDescent="0.15">
      <c r="A34" s="34"/>
      <c r="B34" s="13" t="s">
        <v>172</v>
      </c>
      <c r="C34" s="10" t="s">
        <v>160</v>
      </c>
      <c r="D34" s="10" t="s">
        <v>242</v>
      </c>
      <c r="E34" s="8">
        <f t="shared" ca="1" si="38"/>
        <v>43236</v>
      </c>
      <c r="F34" s="8">
        <f t="shared" ca="1" si="39"/>
        <v>43266</v>
      </c>
      <c r="G34" s="11">
        <f t="shared" si="43"/>
        <v>100</v>
      </c>
      <c r="H34" s="10">
        <v>30</v>
      </c>
      <c r="I34" s="12">
        <f>H34/365</f>
        <v>8.2191780821917804E-2</v>
      </c>
      <c r="J34" s="12">
        <v>0</v>
      </c>
      <c r="K34" s="117">
        <v>0.36</v>
      </c>
      <c r="L34" s="13">
        <f>_xll.dnetGBlackScholesNGreeks("price",$Q34,$P34,$G34,$I34,$C$3,$J34,$K34,$C$4)*R34</f>
        <v>-4.1088485325048723</v>
      </c>
      <c r="M34" s="15"/>
      <c r="N34" s="13">
        <f t="shared" si="40"/>
        <v>0</v>
      </c>
      <c r="O34" s="13">
        <f>IF(L34&lt;=0,ABS(L34)+N34,L34-N34)</f>
        <v>4.1088485325048723</v>
      </c>
      <c r="P34" s="11">
        <v>100</v>
      </c>
      <c r="Q34" s="10" t="s">
        <v>85</v>
      </c>
      <c r="R34" s="10">
        <f t="shared" si="41"/>
        <v>-1</v>
      </c>
      <c r="S34" s="10" t="s">
        <v>20</v>
      </c>
      <c r="T34" s="14">
        <f t="shared" si="42"/>
        <v>4.1088485325048725E-2</v>
      </c>
      <c r="U34" s="13">
        <f>_xll.dnetGBlackScholesNGreeks("delta",$Q34,$P34,$G34,$I34,$C$3,$J34,$K34,$C$4)*R34</f>
        <v>0.47863452434313558</v>
      </c>
      <c r="V34" s="13">
        <f>_xll.dnetGBlackScholesNGreeks("vega",$Q34,$P34,$G34,$I34,$C$3,$J34,$K34,$C$4)*R34</f>
        <v>-0.11403336440540457</v>
      </c>
      <c r="W34" s="114">
        <v>37.799999999999997</v>
      </c>
      <c r="X34" s="115">
        <f>G34-W34</f>
        <v>62.2</v>
      </c>
      <c r="Y34" s="6">
        <f>500*U34</f>
        <v>239.31726217156779</v>
      </c>
    </row>
    <row r="35" spans="1:26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117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  <c r="W35" s="114"/>
      <c r="X35" s="115"/>
    </row>
    <row r="36" spans="1:26" ht="10.5" customHeight="1" x14ac:dyDescent="0.15">
      <c r="A36" s="34"/>
      <c r="B36" s="13" t="s">
        <v>172</v>
      </c>
      <c r="C36" s="10" t="s">
        <v>160</v>
      </c>
      <c r="D36" s="10" t="s">
        <v>213</v>
      </c>
      <c r="E36" s="8">
        <f t="shared" ca="1" si="38"/>
        <v>43236</v>
      </c>
      <c r="F36" s="8">
        <f t="shared" ca="1" si="39"/>
        <v>43266</v>
      </c>
      <c r="G36" s="11">
        <v>12105</v>
      </c>
      <c r="H36" s="10">
        <v>30</v>
      </c>
      <c r="I36" s="12">
        <f>H36/365</f>
        <v>8.2191780821917804E-2</v>
      </c>
      <c r="J36" s="12">
        <v>0</v>
      </c>
      <c r="K36" s="117">
        <v>0.3</v>
      </c>
      <c r="L36" s="13">
        <f>_xll.dnetGBlackScholesNGreeks("price",$Q36,$P36,$G36,$I36,$C$3,$J36,$K36,$C$4)*R36</f>
        <v>-161.94895267658558</v>
      </c>
      <c r="M36" s="15">
        <v>70</v>
      </c>
      <c r="N36" s="13">
        <f t="shared" si="40"/>
        <v>6.5963013698630135</v>
      </c>
      <c r="O36" s="13">
        <f>IF(L36&lt;=0,ABS(L36)+N36,L36-N36)</f>
        <v>168.54525404644858</v>
      </c>
      <c r="P36" s="11">
        <f>RTD("wdf.rtq",,D36,"LastPrice")</f>
        <v>11465</v>
      </c>
      <c r="Q36" s="10" t="s">
        <v>39</v>
      </c>
      <c r="R36" s="10">
        <f t="shared" si="41"/>
        <v>-1</v>
      </c>
      <c r="S36" s="10" t="s">
        <v>20</v>
      </c>
      <c r="T36" s="14">
        <f t="shared" si="42"/>
        <v>1.4700850767243661E-2</v>
      </c>
      <c r="U36" s="13">
        <f>_xll.dnetGBlackScholesNGreeks("delta",$Q36,$P36,$G36,$I36,$C$3,$J36,$K36,$C$4)*R36</f>
        <v>-0.27761927115079743</v>
      </c>
      <c r="V36" s="13">
        <f>_xll.dnetGBlackScholesNGreeks("vega",$Q36,$P36,$G36,$I36,$C$3,$J36,$K36,$C$4)*R36</f>
        <v>-11.007241788228839</v>
      </c>
      <c r="W36" s="114">
        <v>37.799999999999997</v>
      </c>
      <c r="X36" s="115">
        <f>G36-W36</f>
        <v>12067.2</v>
      </c>
      <c r="Y36" s="6">
        <f>500*U36</f>
        <v>-138.80963557539872</v>
      </c>
    </row>
    <row r="37" spans="1:26" ht="10.5" customHeight="1" x14ac:dyDescent="0.15">
      <c r="A37" s="34"/>
      <c r="B37" s="13" t="s">
        <v>172</v>
      </c>
      <c r="C37" s="10" t="s">
        <v>160</v>
      </c>
      <c r="D37" s="10" t="s">
        <v>213</v>
      </c>
      <c r="E37" s="8">
        <f ca="1">TODAY()</f>
        <v>43236</v>
      </c>
      <c r="F37" s="8">
        <f t="shared" ca="1" si="39"/>
        <v>43326</v>
      </c>
      <c r="G37" s="11">
        <v>12105</v>
      </c>
      <c r="H37" s="10">
        <v>90</v>
      </c>
      <c r="I37" s="12">
        <f>H37/365</f>
        <v>0.24657534246575341</v>
      </c>
      <c r="J37" s="12">
        <v>0</v>
      </c>
      <c r="K37" s="117">
        <v>0.31</v>
      </c>
      <c r="L37" s="13">
        <f>_xll.dnetGBlackScholesNGreeks("price",$Q37,$P37,$G37,$I37,$C$3,$J37,$K37,$C$4)*R37</f>
        <v>-445.26639211946213</v>
      </c>
      <c r="M37" s="15">
        <v>70</v>
      </c>
      <c r="N37" s="13">
        <f t="shared" si="40"/>
        <v>19.788904109589041</v>
      </c>
      <c r="O37" s="13">
        <f>IF(L37&lt;=0,ABS(L37)+N37,L37-N37)</f>
        <v>465.05529622905118</v>
      </c>
      <c r="P37" s="11">
        <f>RTD("wdf.rtq",,D37,"LastPrice")</f>
        <v>11465</v>
      </c>
      <c r="Q37" s="10" t="s">
        <v>39</v>
      </c>
      <c r="R37" s="10">
        <f t="shared" si="41"/>
        <v>-1</v>
      </c>
      <c r="S37" s="10" t="s">
        <v>20</v>
      </c>
      <c r="T37" s="14">
        <f t="shared" si="42"/>
        <v>4.0563043718190243E-2</v>
      </c>
      <c r="U37" s="13">
        <f>_xll.dnetGBlackScholesNGreeks("delta",$Q37,$P37,$G37,$I37,$C$3,$J37,$K37,$C$4)*R37</f>
        <v>-0.38938458139909926</v>
      </c>
      <c r="V37" s="13">
        <f>_xll.dnetGBlackScholesNGreeks("vega",$Q37,$P37,$G37,$I37,$C$3,$J37,$K37,$C$4)*R37</f>
        <v>-21.755013424618028</v>
      </c>
      <c r="W37" s="114">
        <v>37.799999999999997</v>
      </c>
      <c r="X37" s="115">
        <f>G37-W37</f>
        <v>12067.2</v>
      </c>
      <c r="Y37" s="6">
        <f>500*U37</f>
        <v>-194.69229069954963</v>
      </c>
    </row>
    <row r="38" spans="1:26" ht="10.5" customHeight="1" x14ac:dyDescent="0.15">
      <c r="A38" s="34"/>
      <c r="B38" s="13" t="s">
        <v>172</v>
      </c>
      <c r="C38" s="10" t="s">
        <v>160</v>
      </c>
      <c r="D38" s="10" t="s">
        <v>246</v>
      </c>
      <c r="E38" s="8">
        <f ca="1">TODAY()</f>
        <v>43236</v>
      </c>
      <c r="F38" s="8">
        <f t="shared" ref="F38" ca="1" si="44">E38+H38</f>
        <v>43336</v>
      </c>
      <c r="G38" s="11">
        <v>12105</v>
      </c>
      <c r="H38" s="10">
        <v>100</v>
      </c>
      <c r="I38" s="12">
        <f>H38/365</f>
        <v>0.27397260273972601</v>
      </c>
      <c r="J38" s="12">
        <v>0</v>
      </c>
      <c r="K38" s="117">
        <v>0.315</v>
      </c>
      <c r="L38" s="13">
        <f>_xll.dnetGBlackScholesNGreeks("price",$Q38,$P38,$G38,$I38,$C$3,$J38,$K38,$C$4)*R38</f>
        <v>-1687.1425868254883</v>
      </c>
      <c r="M38" s="15">
        <v>70</v>
      </c>
      <c r="N38" s="13">
        <f t="shared" ref="N38" si="45">M38/10000*I38*P38</f>
        <v>25.842465753424658</v>
      </c>
      <c r="O38" s="13">
        <f>IF(L38&lt;=0,ABS(L38)+N38,L38-N38)</f>
        <v>1712.9850525789129</v>
      </c>
      <c r="P38" s="11">
        <f>RTD("wdf.rtq",,D38,"LastPrice")</f>
        <v>13475</v>
      </c>
      <c r="Q38" s="10" t="s">
        <v>39</v>
      </c>
      <c r="R38" s="10">
        <f t="shared" ref="R38" si="46">IF(S38="中金买入",1,-1)</f>
        <v>-1</v>
      </c>
      <c r="S38" s="10" t="s">
        <v>20</v>
      </c>
      <c r="T38" s="14">
        <f t="shared" ref="T38" si="47">O38/P38</f>
        <v>0.12712319499657981</v>
      </c>
      <c r="U38" s="13">
        <f>_xll.dnetGBlackScholesNGreeks("delta",$Q38,$P38,$G38,$I38,$C$3,$J38,$K38,$C$4)*R38</f>
        <v>-0.76393829021981219</v>
      </c>
      <c r="V38" s="13">
        <f>_xll.dnetGBlackScholesNGreeks("vega",$Q38,$P38,$G38,$I38,$C$3,$J38,$K38,$C$4)*R38</f>
        <v>-21.391939918006756</v>
      </c>
      <c r="W38" s="114">
        <v>37.799999999999997</v>
      </c>
      <c r="X38" s="115">
        <f>G38-W38</f>
        <v>12067.2</v>
      </c>
      <c r="Y38" s="6">
        <f>500*U38</f>
        <v>-381.96914510990609</v>
      </c>
    </row>
    <row r="40" spans="1:26" ht="10.5" customHeight="1" x14ac:dyDescent="0.15">
      <c r="A40" s="34"/>
      <c r="B40" s="13" t="s">
        <v>172</v>
      </c>
      <c r="C40" s="10" t="s">
        <v>160</v>
      </c>
      <c r="D40" s="10" t="s">
        <v>248</v>
      </c>
      <c r="E40" s="8">
        <f ca="1">TODAY()</f>
        <v>43236</v>
      </c>
      <c r="F40" s="8">
        <f t="shared" ref="F40:F41" ca="1" si="48">E40+H40</f>
        <v>43268</v>
      </c>
      <c r="G40" s="11">
        <v>15800</v>
      </c>
      <c r="H40" s="10">
        <v>32</v>
      </c>
      <c r="I40" s="12">
        <f>H40/365</f>
        <v>8.7671232876712329E-2</v>
      </c>
      <c r="J40" s="12">
        <v>0</v>
      </c>
      <c r="K40" s="117">
        <v>7.4999999999999997E-2</v>
      </c>
      <c r="L40" s="13">
        <f>_xll.dnetGBlackScholesNGreeks("price",$Q40,$P40,$G40,$I40,$C$3,$J40,$K40,$C$4)*R40</f>
        <v>80.25741457624008</v>
      </c>
      <c r="M40" s="15"/>
      <c r="N40" s="13">
        <f t="shared" ref="N40:N41" si="49">M40/10000*I40*P40</f>
        <v>0</v>
      </c>
      <c r="O40" s="13">
        <f>IF(L40&lt;=0,ABS(L40)+N40,L40-N40)</f>
        <v>80.25741457624008</v>
      </c>
      <c r="P40" s="11">
        <v>15660</v>
      </c>
      <c r="Q40" s="10" t="s">
        <v>39</v>
      </c>
      <c r="R40" s="10">
        <f t="shared" ref="R40:R41" si="50">IF(S40="中金买入",1,-1)</f>
        <v>1</v>
      </c>
      <c r="S40" s="10" t="s">
        <v>151</v>
      </c>
      <c r="T40" s="14">
        <f t="shared" ref="T40:T41" si="51">O40/P40</f>
        <v>5.1249945450983448E-3</v>
      </c>
      <c r="U40" s="13">
        <f>_xll.dnetGBlackScholesNGreeks("delta",$Q40,$P40,$G40,$I40,$C$3,$J40,$K40,$C$4)*R40</f>
        <v>0.34777539817696379</v>
      </c>
      <c r="V40" s="13">
        <f>_xll.dnetGBlackScholesNGreeks("vega",$Q40,$P40,$G40,$I40,$C$3,$J40,$K40,$C$4)*R40</f>
        <v>17.092202688625548</v>
      </c>
      <c r="W40" s="114">
        <v>37.799999999999997</v>
      </c>
      <c r="X40" s="115">
        <f>G40-W40</f>
        <v>15762.2</v>
      </c>
      <c r="Y40" s="6">
        <f>500*U40</f>
        <v>173.8876990884819</v>
      </c>
      <c r="Z40" s="6">
        <f>638*U40</f>
        <v>221.8807040369029</v>
      </c>
    </row>
    <row r="41" spans="1:26" ht="10.5" customHeight="1" x14ac:dyDescent="0.15">
      <c r="A41" s="34"/>
      <c r="B41" s="13" t="s">
        <v>172</v>
      </c>
      <c r="C41" s="10" t="s">
        <v>160</v>
      </c>
      <c r="D41" s="10" t="s">
        <v>248</v>
      </c>
      <c r="E41" s="8">
        <f ca="1">TODAY()</f>
        <v>43236</v>
      </c>
      <c r="F41" s="8">
        <f t="shared" ca="1" si="48"/>
        <v>43268</v>
      </c>
      <c r="G41" s="11">
        <v>15900</v>
      </c>
      <c r="H41" s="10">
        <v>32</v>
      </c>
      <c r="I41" s="12">
        <f>H41/365</f>
        <v>8.7671232876712329E-2</v>
      </c>
      <c r="J41" s="12">
        <v>0</v>
      </c>
      <c r="K41" s="117">
        <v>7.1999999999999995E-2</v>
      </c>
      <c r="L41" s="13">
        <f>_xll.dnetGBlackScholesNGreeks("price",$Q41,$P41,$G41,$I41,$C$3,$J41,$K41,$C$4)*R41</f>
        <v>46.897010797428266</v>
      </c>
      <c r="M41" s="15"/>
      <c r="N41" s="13">
        <f t="shared" si="49"/>
        <v>0</v>
      </c>
      <c r="O41" s="13">
        <f>IF(L41&lt;=0,ABS(L41)+N41,L41-N41)</f>
        <v>46.897010797428266</v>
      </c>
      <c r="P41" s="11">
        <v>15660</v>
      </c>
      <c r="Q41" s="10" t="s">
        <v>39</v>
      </c>
      <c r="R41" s="10">
        <f t="shared" si="50"/>
        <v>1</v>
      </c>
      <c r="S41" s="10" t="s">
        <v>151</v>
      </c>
      <c r="T41" s="14">
        <f t="shared" si="51"/>
        <v>2.9947005617770284E-3</v>
      </c>
      <c r="U41" s="13">
        <f>_xll.dnetGBlackScholesNGreeks("delta",$Q41,$P41,$G41,$I41,$C$3,$J41,$K41,$C$4)*R41</f>
        <v>0.24067686988473724</v>
      </c>
      <c r="V41" s="13">
        <f>_xll.dnetGBlackScholesNGreeks("vega",$Q41,$P41,$G41,$I41,$C$3,$J41,$K41,$C$4)*R41</f>
        <v>14.365814386063903</v>
      </c>
      <c r="W41" s="114">
        <v>37.799999999999997</v>
      </c>
      <c r="X41" s="115">
        <f>G41-W41</f>
        <v>15862.2</v>
      </c>
      <c r="Y41" s="6">
        <f>500*U41</f>
        <v>120.33843494236862</v>
      </c>
      <c r="Z41" s="6">
        <f>638*U41</f>
        <v>153.55184298646236</v>
      </c>
    </row>
    <row r="42" spans="1:26" ht="10.5" customHeight="1" x14ac:dyDescent="0.15">
      <c r="A42" s="34"/>
      <c r="B42" s="13" t="s">
        <v>172</v>
      </c>
      <c r="C42" s="10" t="s">
        <v>160</v>
      </c>
      <c r="D42" s="10" t="s">
        <v>248</v>
      </c>
      <c r="E42" s="8">
        <f ca="1">TODAY()</f>
        <v>43236</v>
      </c>
      <c r="F42" s="8">
        <f t="shared" ref="F42" ca="1" si="52">E42+H42</f>
        <v>43268</v>
      </c>
      <c r="G42" s="11">
        <v>15660</v>
      </c>
      <c r="H42" s="10">
        <v>32</v>
      </c>
      <c r="I42" s="12">
        <f>H42/365</f>
        <v>8.7671232876712329E-2</v>
      </c>
      <c r="J42" s="12">
        <v>0</v>
      </c>
      <c r="K42" s="117">
        <v>0.08</v>
      </c>
      <c r="L42" s="13">
        <f>_xll.dnetGBlackScholesNGreeks("price",$Q42,$P42,$G42,$I42,$C$3,$J42,$K42,$C$4)*R42</f>
        <v>147.7232016030157</v>
      </c>
      <c r="M42" s="15"/>
      <c r="N42" s="13">
        <f t="shared" ref="N42" si="53">M42/10000*I42*P42</f>
        <v>0</v>
      </c>
      <c r="O42" s="13">
        <f>IF(L42&lt;=0,ABS(L42)+N42,L42-N42)</f>
        <v>147.7232016030157</v>
      </c>
      <c r="P42" s="11">
        <v>15660</v>
      </c>
      <c r="Q42" s="10" t="s">
        <v>39</v>
      </c>
      <c r="R42" s="10">
        <f t="shared" ref="R42" si="54">IF(S42="中金买入",1,-1)</f>
        <v>1</v>
      </c>
      <c r="S42" s="10" t="s">
        <v>151</v>
      </c>
      <c r="T42" s="14">
        <f t="shared" ref="T42" si="55">O42/P42</f>
        <v>9.433154636207898E-3</v>
      </c>
      <c r="U42" s="13">
        <f>_xll.dnetGBlackScholesNGreeks("delta",$Q42,$P42,$G42,$I42,$C$3,$J42,$K42,$C$4)*R42</f>
        <v>0.50384063320052519</v>
      </c>
      <c r="V42" s="13">
        <f>_xll.dnetGBlackScholesNGreeks("vega",$Q42,$P42,$G42,$I42,$C$3,$J42,$K42,$C$4)*R42</f>
        <v>18.464530067423766</v>
      </c>
      <c r="W42" s="114">
        <v>37.799999999999997</v>
      </c>
      <c r="X42" s="115">
        <f>G42-W42</f>
        <v>15622.2</v>
      </c>
      <c r="Y42" s="6">
        <f>500*U42</f>
        <v>251.92031660026259</v>
      </c>
    </row>
    <row r="43" spans="1:26" x14ac:dyDescent="0.15">
      <c r="E43" s="118"/>
      <c r="F43" s="118"/>
    </row>
    <row r="44" spans="1:26" ht="10.5" customHeight="1" x14ac:dyDescent="0.15">
      <c r="A44" s="34"/>
      <c r="B44" s="13" t="s">
        <v>172</v>
      </c>
      <c r="C44" s="10" t="s">
        <v>160</v>
      </c>
      <c r="D44" s="10" t="s">
        <v>202</v>
      </c>
      <c r="E44" s="8">
        <f ca="1">TODAY()</f>
        <v>43236</v>
      </c>
      <c r="F44" s="8">
        <f t="shared" ref="F44" ca="1" si="56">E44+H44</f>
        <v>43266</v>
      </c>
      <c r="G44" s="11">
        <v>480</v>
      </c>
      <c r="H44" s="10">
        <v>30</v>
      </c>
      <c r="I44" s="12">
        <f>H44/365</f>
        <v>8.2191780821917804E-2</v>
      </c>
      <c r="J44" s="12">
        <v>0</v>
      </c>
      <c r="K44" s="117">
        <v>0.35249999999999998</v>
      </c>
      <c r="L44" s="13">
        <f>_xll.dnetGBlackScholesNGreeks("price",$Q44,$P44,$G44,$I44,$C$3,$J44,$K44,$C$4)*R44</f>
        <v>-17.91152955692263</v>
      </c>
      <c r="M44" s="15"/>
      <c r="N44" s="13">
        <f t="shared" ref="N44" si="57">M44/10000*I44*P44</f>
        <v>0</v>
      </c>
      <c r="O44" s="13">
        <f>IF(L44&lt;=0,ABS(L44)+N44,L44-N44)</f>
        <v>17.91152955692263</v>
      </c>
      <c r="P44" s="149">
        <f>RTD("wdf.rtq",,D44,"LastPrice")</f>
        <v>483</v>
      </c>
      <c r="Q44" s="10" t="s">
        <v>85</v>
      </c>
      <c r="R44" s="10">
        <f t="shared" ref="R44" si="58">IF(S44="中金买入",1,-1)</f>
        <v>-1</v>
      </c>
      <c r="S44" s="10" t="s">
        <v>20</v>
      </c>
      <c r="T44" s="14">
        <f t="shared" ref="T44" si="59">O44/P44</f>
        <v>3.7083912126133808E-2</v>
      </c>
      <c r="U44" s="13">
        <f>_xll.dnetGBlackScholesNGreeks("delta",$Q44,$P44,$G44,$I44,$C$3,$J44,$K44,$C$4)*R44</f>
        <v>0.45459160735674686</v>
      </c>
      <c r="V44" s="13">
        <f>_xll.dnetGBlackScholesNGreeks("vega",$Q44,$P44,$G44,$I44,$C$3,$J44,$K44,$C$4)*R44</f>
        <v>-0.54805470172583171</v>
      </c>
      <c r="W44" s="114">
        <v>37.799999999999997</v>
      </c>
      <c r="X44" s="115">
        <f>G44-W44</f>
        <v>442.2</v>
      </c>
      <c r="Y44" s="6">
        <f>500*U44</f>
        <v>227.29580367837343</v>
      </c>
      <c r="Z44" s="6">
        <f>1000000/P44/10</f>
        <v>207.03933747412006</v>
      </c>
    </row>
    <row r="45" spans="1:26" ht="10.5" customHeight="1" x14ac:dyDescent="0.15">
      <c r="A45" s="34"/>
      <c r="B45" s="13" t="s">
        <v>172</v>
      </c>
      <c r="C45" s="10" t="s">
        <v>160</v>
      </c>
      <c r="D45" s="10" t="s">
        <v>202</v>
      </c>
      <c r="E45" s="8">
        <f ca="1">TODAY()</f>
        <v>43236</v>
      </c>
      <c r="F45" s="8">
        <f t="shared" ref="F45:F47" ca="1" si="60">E45+H45</f>
        <v>43294</v>
      </c>
      <c r="G45" s="11">
        <v>480</v>
      </c>
      <c r="H45" s="10">
        <v>58</v>
      </c>
      <c r="I45" s="12">
        <f>H45/365</f>
        <v>0.15890410958904111</v>
      </c>
      <c r="J45" s="12">
        <v>0</v>
      </c>
      <c r="K45" s="117">
        <v>0.35249999999999998</v>
      </c>
      <c r="L45" s="13">
        <f>_xll.dnetGBlackScholesNGreeks("price",$Q45,$P45,$G45,$I45,$C$3,$J45,$K45,$C$4)*R45</f>
        <v>-25.415248406449365</v>
      </c>
      <c r="M45" s="15"/>
      <c r="N45" s="13">
        <f t="shared" ref="N45:N47" si="61">M45/10000*I45*P45</f>
        <v>0</v>
      </c>
      <c r="O45" s="13">
        <f>IF(L45&lt;=0,ABS(L45)+N45,L45-N45)</f>
        <v>25.415248406449365</v>
      </c>
      <c r="P45" s="149">
        <f>RTD("wdf.rtq",,D45,"LastPrice")</f>
        <v>483</v>
      </c>
      <c r="Q45" s="10" t="s">
        <v>85</v>
      </c>
      <c r="R45" s="10">
        <f t="shared" ref="R45:R47" si="62">IF(S45="中金买入",1,-1)</f>
        <v>-1</v>
      </c>
      <c r="S45" s="10" t="s">
        <v>20</v>
      </c>
      <c r="T45" s="14">
        <f t="shared" ref="T45:T47" si="63">O45/P45</f>
        <v>5.2619561918114628E-2</v>
      </c>
      <c r="U45" s="13">
        <f>_xll.dnetGBlackScholesNGreeks("delta",$Q45,$P45,$G45,$I45,$C$3,$J45,$K45,$C$4)*R45</f>
        <v>0.45293989307992888</v>
      </c>
      <c r="V45" s="13">
        <f>_xll.dnetGBlackScholesNGreeks("vega",$Q45,$P45,$G45,$I45,$C$3,$J45,$K45,$C$4)*R45</f>
        <v>-0.76066274995633876</v>
      </c>
      <c r="W45" s="114">
        <v>37.799999999999997</v>
      </c>
      <c r="X45" s="115">
        <f>G45-W45</f>
        <v>442.2</v>
      </c>
      <c r="Y45" s="6">
        <f>500*U45</f>
        <v>226.46994653996444</v>
      </c>
      <c r="Z45" s="6">
        <f>1000000/P45/10</f>
        <v>207.03933747412006</v>
      </c>
    </row>
    <row r="46" spans="1:26" ht="10.5" customHeight="1" x14ac:dyDescent="0.15">
      <c r="A46" s="34"/>
      <c r="B46" s="13" t="s">
        <v>172</v>
      </c>
      <c r="C46" s="10" t="s">
        <v>160</v>
      </c>
      <c r="D46" s="10" t="s">
        <v>202</v>
      </c>
      <c r="E46" s="8">
        <f ca="1">TODAY()</f>
        <v>43236</v>
      </c>
      <c r="F46" s="8">
        <f t="shared" ca="1" si="60"/>
        <v>43322</v>
      </c>
      <c r="G46" s="11">
        <v>480</v>
      </c>
      <c r="H46" s="10">
        <v>86</v>
      </c>
      <c r="I46" s="12">
        <f>H46/365</f>
        <v>0.23561643835616439</v>
      </c>
      <c r="J46" s="12">
        <v>0</v>
      </c>
      <c r="K46" s="117">
        <v>0.35249999999999998</v>
      </c>
      <c r="L46" s="13">
        <f>_xll.dnetGBlackScholesNGreeks("price",$Q46,$P46,$G46,$I46,$C$3,$J46,$K46,$C$4)*R46</f>
        <v>-31.201898791525934</v>
      </c>
      <c r="M46" s="15"/>
      <c r="N46" s="13">
        <f t="shared" si="61"/>
        <v>0</v>
      </c>
      <c r="O46" s="13">
        <f>IF(L46&lt;=0,ABS(L46)+N46,L46-N46)</f>
        <v>31.201898791525934</v>
      </c>
      <c r="P46" s="149">
        <f>RTD("wdf.rtq",,D46,"LastPrice")</f>
        <v>483</v>
      </c>
      <c r="Q46" s="10" t="s">
        <v>85</v>
      </c>
      <c r="R46" s="10">
        <f t="shared" si="62"/>
        <v>-1</v>
      </c>
      <c r="S46" s="10" t="s">
        <v>20</v>
      </c>
      <c r="T46" s="14">
        <f t="shared" si="63"/>
        <v>6.4600204537320779E-2</v>
      </c>
      <c r="U46" s="13">
        <f>_xll.dnetGBlackScholesNGreeks("delta",$Q46,$P46,$G46,$I46,$C$3,$J46,$K46,$C$4)*R46</f>
        <v>0.44934052966709714</v>
      </c>
      <c r="V46" s="13">
        <f>_xll.dnetGBlackScholesNGreeks("vega",$Q46,$P46,$G46,$I46,$C$3,$J46,$K46,$C$4)*R46</f>
        <v>-0.92402256344915656</v>
      </c>
      <c r="W46" s="114">
        <v>37.799999999999997</v>
      </c>
      <c r="X46" s="115">
        <f>G46-W46</f>
        <v>442.2</v>
      </c>
      <c r="Y46" s="6">
        <f>500*U46</f>
        <v>224.67026483354857</v>
      </c>
      <c r="Z46" s="6">
        <f>1000000/P46/10</f>
        <v>207.03933747412006</v>
      </c>
    </row>
    <row r="47" spans="1:26" ht="10.5" customHeight="1" x14ac:dyDescent="0.15">
      <c r="A47" s="34"/>
      <c r="B47" s="13" t="s">
        <v>172</v>
      </c>
      <c r="C47" s="10" t="s">
        <v>160</v>
      </c>
      <c r="D47" s="10" t="s">
        <v>202</v>
      </c>
      <c r="E47" s="8">
        <f ca="1">TODAY()</f>
        <v>43236</v>
      </c>
      <c r="F47" s="8">
        <f t="shared" ca="1" si="60"/>
        <v>43266</v>
      </c>
      <c r="G47" s="11">
        <v>480</v>
      </c>
      <c r="H47" s="10">
        <v>30</v>
      </c>
      <c r="I47" s="12">
        <f>H47/365</f>
        <v>8.2191780821917804E-2</v>
      </c>
      <c r="J47" s="12">
        <v>0</v>
      </c>
      <c r="K47" s="117">
        <v>0.35249999999999998</v>
      </c>
      <c r="L47" s="13">
        <f>_xll.dnetGBlackScholesNGreeks("price",$Q47,$P47,$G47,$I47,$C$3,$J47,$K47,$C$4)*R47</f>
        <v>-20.906602101146518</v>
      </c>
      <c r="M47" s="15"/>
      <c r="N47" s="13">
        <f t="shared" si="61"/>
        <v>0</v>
      </c>
      <c r="O47" s="13">
        <f>IF(L47&lt;=0,ABS(L47)+N47,L47-N47)</f>
        <v>20.906602101146518</v>
      </c>
      <c r="P47" s="149">
        <f>RTD("wdf.rtq",,D47,"LastPrice")</f>
        <v>483</v>
      </c>
      <c r="Q47" s="10" t="s">
        <v>39</v>
      </c>
      <c r="R47" s="10">
        <f t="shared" si="62"/>
        <v>-1</v>
      </c>
      <c r="S47" s="10" t="s">
        <v>20</v>
      </c>
      <c r="T47" s="14">
        <f t="shared" si="63"/>
        <v>4.3284890478564222E-2</v>
      </c>
      <c r="U47" s="13">
        <f>_xll.dnetGBlackScholesNGreeks("delta",$Q47,$P47,$G47,$I47,$C$3,$J47,$K47,$C$4)*R47</f>
        <v>-0.5437659073848522</v>
      </c>
      <c r="V47" s="13">
        <f>_xll.dnetGBlackScholesNGreeks("vega",$Q47,$P47,$G47,$I47,$C$3,$J47,$K47,$C$4)*R47</f>
        <v>-0.54805470172587434</v>
      </c>
      <c r="W47" s="114">
        <v>37.799999999999997</v>
      </c>
      <c r="X47" s="115">
        <f>G47-W47</f>
        <v>442.2</v>
      </c>
      <c r="Y47" s="6">
        <f>500*U47</f>
        <v>-271.8829536924261</v>
      </c>
      <c r="Z47" s="6">
        <f>1000000/P47/10</f>
        <v>207.03933747412006</v>
      </c>
    </row>
    <row r="48" spans="1:26" ht="10.5" customHeight="1" x14ac:dyDescent="0.15">
      <c r="A48" s="34"/>
      <c r="B48" s="13" t="s">
        <v>172</v>
      </c>
      <c r="C48" s="10" t="s">
        <v>160</v>
      </c>
      <c r="D48" s="10" t="s">
        <v>202</v>
      </c>
      <c r="E48" s="8">
        <f ca="1">TODAY()</f>
        <v>43236</v>
      </c>
      <c r="F48" s="8">
        <f t="shared" ref="F48:F49" ca="1" si="64">E48+H48</f>
        <v>43294</v>
      </c>
      <c r="G48" s="11">
        <v>480</v>
      </c>
      <c r="H48" s="10">
        <v>58</v>
      </c>
      <c r="I48" s="12">
        <f>H48/365</f>
        <v>0.15890410958904111</v>
      </c>
      <c r="J48" s="12">
        <v>0</v>
      </c>
      <c r="K48" s="117">
        <v>0.35249999999999998</v>
      </c>
      <c r="L48" s="13">
        <f>_xll.dnetGBlackScholesNGreeks("price",$Q48,$P48,$G48,$I48,$C$3,$J48,$K48,$C$4)*R48</f>
        <v>-28.405729294146767</v>
      </c>
      <c r="M48" s="15"/>
      <c r="N48" s="13">
        <f t="shared" ref="N48:N49" si="65">M48/10000*I48*P48</f>
        <v>0</v>
      </c>
      <c r="O48" s="13">
        <f>IF(L48&lt;=0,ABS(L48)+N48,L48-N48)</f>
        <v>28.405729294146767</v>
      </c>
      <c r="P48" s="149">
        <f>RTD("wdf.rtq",,D48,"LastPrice")</f>
        <v>483</v>
      </c>
      <c r="Q48" s="10" t="s">
        <v>39</v>
      </c>
      <c r="R48" s="10">
        <f t="shared" ref="R48:R49" si="66">IF(S48="中金买入",1,-1)</f>
        <v>-1</v>
      </c>
      <c r="S48" s="10" t="s">
        <v>20</v>
      </c>
      <c r="T48" s="14">
        <f t="shared" ref="T48:T49" si="67">O48/P48</f>
        <v>5.8811033735293512E-2</v>
      </c>
      <c r="U48" s="13">
        <f>_xll.dnetGBlackScholesNGreeks("delta",$Q48,$P48,$G48,$I48,$C$3,$J48,$K48,$C$4)*R48</f>
        <v>-0.54388706948742538</v>
      </c>
      <c r="V48" s="13">
        <f>_xll.dnetGBlackScholesNGreeks("vega",$Q48,$P48,$G48,$I48,$C$3,$J48,$K48,$C$4)*R48</f>
        <v>-0.76066274995636718</v>
      </c>
      <c r="W48" s="114">
        <v>37.799999999999997</v>
      </c>
      <c r="X48" s="115">
        <f>G48-W48</f>
        <v>442.2</v>
      </c>
      <c r="Y48" s="6">
        <f>500*U48</f>
        <v>-271.94353474371269</v>
      </c>
      <c r="Z48" s="6">
        <f>1000000/P48/10</f>
        <v>207.03933747412006</v>
      </c>
    </row>
    <row r="49" spans="1:26" ht="10.5" customHeight="1" x14ac:dyDescent="0.15">
      <c r="A49" s="34"/>
      <c r="B49" s="13" t="s">
        <v>172</v>
      </c>
      <c r="C49" s="10" t="s">
        <v>160</v>
      </c>
      <c r="D49" s="10" t="s">
        <v>202</v>
      </c>
      <c r="E49" s="8">
        <f ca="1">TODAY()</f>
        <v>43236</v>
      </c>
      <c r="F49" s="8">
        <f t="shared" ca="1" si="64"/>
        <v>43322</v>
      </c>
      <c r="G49" s="11">
        <v>480</v>
      </c>
      <c r="H49" s="10">
        <v>86</v>
      </c>
      <c r="I49" s="12">
        <f>H49/365</f>
        <v>0.23561643835616439</v>
      </c>
      <c r="J49" s="12">
        <v>0</v>
      </c>
      <c r="K49" s="117">
        <v>0.35249999999999998</v>
      </c>
      <c r="L49" s="13">
        <f>_xll.dnetGBlackScholesNGreeks("price",$Q49,$P49,$G49,$I49,$C$3,$J49,$K49,$C$4)*R49</f>
        <v>-34.18779506202867</v>
      </c>
      <c r="M49" s="15"/>
      <c r="N49" s="13">
        <f t="shared" si="65"/>
        <v>0</v>
      </c>
      <c r="O49" s="13">
        <f>IF(L49&lt;=0,ABS(L49)+N49,L49-N49)</f>
        <v>34.18779506202867</v>
      </c>
      <c r="P49" s="149">
        <f>RTD("wdf.rtq",,D49,"LastPrice")</f>
        <v>483</v>
      </c>
      <c r="Q49" s="10" t="s">
        <v>39</v>
      </c>
      <c r="R49" s="10">
        <f t="shared" si="66"/>
        <v>-1</v>
      </c>
      <c r="S49" s="10" t="s">
        <v>20</v>
      </c>
      <c r="T49" s="14">
        <f t="shared" si="67"/>
        <v>7.0782184393434103E-2</v>
      </c>
      <c r="U49" s="13">
        <f>_xll.dnetGBlackScholesNGreeks("delta",$Q49,$P49,$G49,$I49,$C$3,$J49,$K49,$C$4)*R49</f>
        <v>-0.54595822716549947</v>
      </c>
      <c r="V49" s="13">
        <f>_xll.dnetGBlackScholesNGreeks("vega",$Q49,$P49,$G49,$I49,$C$3,$J49,$K49,$C$4)*R49</f>
        <v>-0.92402256344917078</v>
      </c>
      <c r="W49" s="114">
        <v>37.799999999999997</v>
      </c>
      <c r="X49" s="115">
        <f>G49-W49</f>
        <v>442.2</v>
      </c>
      <c r="Y49" s="6">
        <f>500*U49</f>
        <v>-272.97911358274973</v>
      </c>
      <c r="Z49" s="6">
        <f>1000000/P49/10</f>
        <v>207.03933747412006</v>
      </c>
    </row>
    <row r="50" spans="1:26" x14ac:dyDescent="0.15">
      <c r="F50" s="118"/>
      <c r="G50" s="118"/>
    </row>
    <row r="51" spans="1:26" x14ac:dyDescent="0.15">
      <c r="F51" s="118"/>
      <c r="G51" s="118"/>
    </row>
    <row r="52" spans="1:26" x14ac:dyDescent="0.15">
      <c r="F52" s="118"/>
      <c r="G52" s="118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S13:S38 S40:S42 S44:S49</xm:sqref>
        </x14:dataValidation>
        <x14:dataValidation type="list" allowBlank="1" showInputMessage="1" showErrorMessage="1">
          <x14:formula1>
            <xm:f>configs!$C$1:$C$2</xm:f>
          </x14:formula1>
          <xm:sqref>Q8:Q9 Q11 Q13:Q38 Q40:Q42 Q44:Q49</xm:sqref>
        </x14:dataValidation>
        <x14:dataValidation type="list" allowBlank="1" showInputMessage="1">
          <x14:formula1>
            <xm:f>configs!$A$1:$A$36</xm:f>
          </x14:formula1>
          <xm:sqref>C8:C9 C11 C13:C38 C40:C42 C44:C49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N46" sqref="N4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6" t="s">
        <v>37</v>
      </c>
      <c r="C1" s="145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43236</v>
      </c>
      <c r="F8" s="46">
        <f ca="1">E8+H8</f>
        <v>43266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43236</v>
      </c>
      <c r="F9" s="54">
        <f ca="1">F8</f>
        <v>43266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43236</v>
      </c>
      <c r="F10" s="62">
        <f ca="1">F9</f>
        <v>43266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43236</v>
      </c>
      <c r="F11" s="46">
        <f ca="1">E11+H11</f>
        <v>43251</v>
      </c>
      <c r="G11" s="113">
        <f>P11-20</f>
        <v>463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-4.1370355219784756</v>
      </c>
      <c r="M11" s="49"/>
      <c r="N11" s="43"/>
      <c r="O11" s="43">
        <f t="shared" ref="O11:O13" si="1">IF(L11&lt;=0,ABS(L11)+N11,L11-N11)</f>
        <v>4.1370355219784756</v>
      </c>
      <c r="P11" s="110">
        <f>RTD("wdf.rtq",,D11,"LastPrice")</f>
        <v>483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0.23379653503710074</v>
      </c>
      <c r="V11" s="43">
        <f>_xll.dnetGBlackScholesNGreeks("vega",$Q11,$P11,$G11,$I11,$C$3,$J11,$K11,$C$4)*R11</f>
        <v>-0.29986074674286556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43236</v>
      </c>
      <c r="F12" s="54">
        <f t="shared" ca="1" si="2"/>
        <v>43251</v>
      </c>
      <c r="G12" s="52">
        <f>G11+50</f>
        <v>513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2.3216683234488471</v>
      </c>
      <c r="M12" s="57"/>
      <c r="N12" s="51"/>
      <c r="O12" s="51">
        <f t="shared" si="1"/>
        <v>2.3216683234488471</v>
      </c>
      <c r="P12" s="94">
        <f>P11</f>
        <v>483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0.15958844651748905</v>
      </c>
      <c r="V12" s="51">
        <f>_xll.dnetGBlackScholesNGreeks("vega",$Q12,$P12,$G12,$I12,$C$3,$J12,$K12,$C$4)*R12</f>
        <v>0.23767183636049083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43236</v>
      </c>
      <c r="F13" s="62">
        <f t="shared" ca="1" si="3"/>
        <v>43251</v>
      </c>
      <c r="G13" s="60" t="str">
        <f>G11 &amp; "|" &amp; G12</f>
        <v>463|513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-1.8153671985296285</v>
      </c>
      <c r="M13" s="60">
        <v>0</v>
      </c>
      <c r="N13" s="59">
        <f>M13/10000*I13*P13</f>
        <v>0</v>
      </c>
      <c r="O13" s="59">
        <f t="shared" si="1"/>
        <v>1.8153671985296285</v>
      </c>
      <c r="P13" s="111">
        <f>P12</f>
        <v>483</v>
      </c>
      <c r="Q13" s="60"/>
      <c r="R13" s="60"/>
      <c r="S13" s="56" t="s">
        <v>151</v>
      </c>
      <c r="T13" s="64">
        <f>O13/P13</f>
        <v>3.7585242205582371E-3</v>
      </c>
      <c r="U13" s="64">
        <f>U12+U11</f>
        <v>0.39338498155458979</v>
      </c>
      <c r="V13" s="64">
        <f>V12+V11</f>
        <v>-6.2188910382374729E-2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43236</v>
      </c>
      <c r="F14" s="46">
        <f ca="1">E14+H14</f>
        <v>43327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-324.10208685547741</v>
      </c>
      <c r="M14" s="49"/>
      <c r="N14" s="43"/>
      <c r="O14" s="43">
        <f t="shared" ref="O14:O16" si="4">IF(L14&lt;=0,ABS(L14)+N14,L14-N14)</f>
        <v>324.10208685547741</v>
      </c>
      <c r="P14" s="110">
        <f>RTD("wdf.rtq",,D14,"LastPrice")</f>
        <v>3676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-0.66694546073904348</v>
      </c>
      <c r="V14" s="43">
        <f>_xll.dnetGBlackScholesNGreeks("vega",$Q14,$P14,$G14,$I14,$C$3,$J14,$K14,$C$4)*R14</f>
        <v>-6.6113815612193321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43236</v>
      </c>
      <c r="F15" s="54">
        <f t="shared" ca="1" si="5"/>
        <v>43327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56.437363925289446</v>
      </c>
      <c r="M15" s="57"/>
      <c r="N15" s="51"/>
      <c r="O15" s="51">
        <f t="shared" si="4"/>
        <v>56.437363925289446</v>
      </c>
      <c r="P15" s="94">
        <f>P14</f>
        <v>3676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-0.18709528804947695</v>
      </c>
      <c r="V15" s="51">
        <f>_xll.dnetGBlackScholesNGreeks("vega",$Q15,$P15,$G15,$I15,$C$3,$J15,$K15,$C$4)*R15</f>
        <v>4.9227365407869002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43236</v>
      </c>
      <c r="F16" s="62">
        <f t="shared" ca="1" si="6"/>
        <v>43327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-267.66472293018796</v>
      </c>
      <c r="M16" s="60">
        <v>0</v>
      </c>
      <c r="N16" s="59">
        <f>M16/10000*I16*P16</f>
        <v>0</v>
      </c>
      <c r="O16" s="59">
        <f t="shared" si="4"/>
        <v>267.66472293018796</v>
      </c>
      <c r="P16" s="111">
        <f>P15</f>
        <v>3676</v>
      </c>
      <c r="Q16" s="60"/>
      <c r="R16" s="60"/>
      <c r="S16" s="56" t="s">
        <v>151</v>
      </c>
      <c r="T16" s="64">
        <f>O16/P16</f>
        <v>7.2814124844991279E-2</v>
      </c>
      <c r="U16" s="64">
        <f>U15+U14</f>
        <v>-0.85404074878852043</v>
      </c>
      <c r="V16" s="64">
        <f>V15+V14</f>
        <v>-1.6886450204324319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250</v>
      </c>
      <c r="E18" s="46">
        <f ca="1">TODAY()</f>
        <v>43236</v>
      </c>
      <c r="F18" s="46">
        <f ca="1">E18+H18</f>
        <v>43267</v>
      </c>
      <c r="G18" s="120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72.841299852743532</v>
      </c>
      <c r="M18" s="49"/>
      <c r="N18" s="43"/>
      <c r="O18" s="43">
        <f t="shared" ref="O18:O20" si="7">IF(L18&lt;=0,ABS(L18)+N18,L18-N18)</f>
        <v>72.841299852743532</v>
      </c>
      <c r="P18" s="110">
        <f>RTD("wdf.rtq",,D18,"LastPrice")</f>
        <v>2968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-0.58087919164790947</v>
      </c>
      <c r="V18" s="43">
        <f>_xll.dnetGBlackScholesNGreeks("vega",$Q18,$P18,$G18,$I18,$C$3,$J18,$K18,$C$4)*R18</f>
        <v>3.3717179704422051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43236</v>
      </c>
      <c r="F19" s="54">
        <f t="shared" ca="1" si="8"/>
        <v>43267</v>
      </c>
      <c r="G19" s="121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-1.7803247079495179</v>
      </c>
      <c r="M19" s="57"/>
      <c r="N19" s="51"/>
      <c r="O19" s="51">
        <f t="shared" si="7"/>
        <v>1.7803247079495179</v>
      </c>
      <c r="P19" s="94">
        <f>P18</f>
        <v>2968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-3.0055904444736825E-2</v>
      </c>
      <c r="V19" s="51">
        <f>_xll.dnetGBlackScholesNGreeks("vega",$Q19,$P19,$G19,$I19,$C$3,$J19,$K19,$C$4)*R19</f>
        <v>-0.58997327601485239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43236</v>
      </c>
      <c r="F20" s="62">
        <f t="shared" ca="1" si="9"/>
        <v>43267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71.060975144794014</v>
      </c>
      <c r="M20" s="60">
        <v>0</v>
      </c>
      <c r="N20" s="59">
        <f>M20/10000*I20*P20</f>
        <v>0</v>
      </c>
      <c r="O20" s="59">
        <f t="shared" si="7"/>
        <v>71.060975144794014</v>
      </c>
      <c r="P20" s="111">
        <f>P19</f>
        <v>2968</v>
      </c>
      <c r="Q20" s="60"/>
      <c r="R20" s="60"/>
      <c r="S20" s="56"/>
      <c r="T20" s="64">
        <f>O20/P20</f>
        <v>2.3942377070348388E-2</v>
      </c>
      <c r="U20" s="64">
        <f>U19+U18</f>
        <v>-0.61093509609264629</v>
      </c>
      <c r="V20" s="64">
        <f>V19+V18</f>
        <v>2.7817446944273527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250</v>
      </c>
      <c r="E21" s="46">
        <f ca="1">TODAY()</f>
        <v>43236</v>
      </c>
      <c r="F21" s="46">
        <f ca="1">E21+H21</f>
        <v>43328</v>
      </c>
      <c r="G21" s="120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111.8851298515433</v>
      </c>
      <c r="M21" s="49"/>
      <c r="N21" s="43"/>
      <c r="O21" s="43">
        <f t="shared" ref="O21:O23" si="10">IF(L21&lt;=0,ABS(L21)+N21,L21-N21)</f>
        <v>111.8851298515433</v>
      </c>
      <c r="P21" s="110">
        <f>RTD("wdf.rtq",,D21,"LastPrice")</f>
        <v>2968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-0.53448129547177814</v>
      </c>
      <c r="V21" s="43">
        <f>_xll.dnetGBlackScholesNGreeks("vega",$Q21,$P21,$G21,$I21,$C$3,$J21,$K21,$C$4)*R21</f>
        <v>5.8887725963980984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43236</v>
      </c>
      <c r="F22" s="54">
        <f t="shared" ca="1" si="11"/>
        <v>43328</v>
      </c>
      <c r="G22" s="121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-19.007865903608945</v>
      </c>
      <c r="M22" s="57"/>
      <c r="N22" s="51"/>
      <c r="O22" s="51">
        <f t="shared" si="10"/>
        <v>19.007865903608945</v>
      </c>
      <c r="P22" s="94">
        <f>P21</f>
        <v>2968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-0.1436436745109404</v>
      </c>
      <c r="V22" s="51">
        <f>_xll.dnetGBlackScholesNGreeks("vega",$Q22,$P22,$G22,$I22,$C$3,$J22,$K22,$C$4)*R22</f>
        <v>-3.3654862375489643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43236</v>
      </c>
      <c r="F23" s="62">
        <f t="shared" ca="1" si="12"/>
        <v>43328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92.877263947934352</v>
      </c>
      <c r="M23" s="60">
        <v>0</v>
      </c>
      <c r="N23" s="59">
        <f>M23/10000*I23*P23</f>
        <v>0</v>
      </c>
      <c r="O23" s="59">
        <f t="shared" si="10"/>
        <v>92.877263947934352</v>
      </c>
      <c r="P23" s="111">
        <f>P22</f>
        <v>2968</v>
      </c>
      <c r="Q23" s="60"/>
      <c r="R23" s="60"/>
      <c r="S23" s="56"/>
      <c r="T23" s="64">
        <f>O23/P23</f>
        <v>3.1292878688657128E-2</v>
      </c>
      <c r="U23" s="64">
        <f>U22+U21</f>
        <v>-0.67812496998271854</v>
      </c>
      <c r="V23" s="64">
        <f>V22+V21</f>
        <v>2.5232863588491341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250</v>
      </c>
      <c r="E26" s="46">
        <f ca="1">TODAY()</f>
        <v>43236</v>
      </c>
      <c r="F26" s="46">
        <f ca="1">E26+H26</f>
        <v>43267</v>
      </c>
      <c r="G26" s="120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46.427632963922406</v>
      </c>
      <c r="M26" s="49"/>
      <c r="N26" s="43"/>
      <c r="O26" s="43">
        <f t="shared" ref="O26:O31" si="13">IF(L26&lt;=0,ABS(L26)+N26,L26-N26)</f>
        <v>46.427632963922406</v>
      </c>
      <c r="P26" s="110">
        <f>RTD("wdf.rtq",,D26,"LastPrice")</f>
        <v>2968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-0.4381492630500361</v>
      </c>
      <c r="V26" s="43">
        <f>_xll.dnetGBlackScholesNGreeks("vega",$Q26,$P26,$G26,$I26,$C$3,$J26,$K26,$C$4)*R26</f>
        <v>3.4042494278372715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43236</v>
      </c>
      <c r="F27" s="54">
        <f t="shared" ca="1" si="14"/>
        <v>43267</v>
      </c>
      <c r="G27" s="121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-0.59044039065349097</v>
      </c>
      <c r="M27" s="57"/>
      <c r="N27" s="51"/>
      <c r="O27" s="51">
        <f t="shared" si="13"/>
        <v>0.59044039065349097</v>
      </c>
      <c r="P27" s="94">
        <f>P26</f>
        <v>2968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-1.1232160533936053E-2</v>
      </c>
      <c r="V27" s="51">
        <f>_xll.dnetGBlackScholesNGreeks("vega",$Q27,$P27,$G27,$I27,$C$3,$J27,$K27,$C$4)*R27</f>
        <v>-0.2566534332896655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43236</v>
      </c>
      <c r="F28" s="62">
        <f t="shared" ca="1" si="15"/>
        <v>43267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45.837192573268915</v>
      </c>
      <c r="M28" s="60">
        <v>0</v>
      </c>
      <c r="N28" s="59">
        <f>M28/10000*I28*P28</f>
        <v>0</v>
      </c>
      <c r="O28" s="59">
        <f t="shared" si="13"/>
        <v>45.837192573268915</v>
      </c>
      <c r="P28" s="111">
        <f>P27</f>
        <v>2968</v>
      </c>
      <c r="Q28" s="60"/>
      <c r="R28" s="60"/>
      <c r="S28" s="56"/>
      <c r="T28" s="64">
        <f>O28/P28</f>
        <v>1.5443798036815672E-2</v>
      </c>
      <c r="U28" s="64">
        <f>U27+U26</f>
        <v>-0.44938142358397215</v>
      </c>
      <c r="V28" s="64">
        <f>V27+V26</f>
        <v>3.147595994547606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250</v>
      </c>
      <c r="E29" s="46">
        <f ca="1">TODAY()</f>
        <v>43236</v>
      </c>
      <c r="F29" s="46">
        <f ca="1">E29+H29</f>
        <v>43328</v>
      </c>
      <c r="G29" s="120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85.638187399283424</v>
      </c>
      <c r="M29" s="49"/>
      <c r="N29" s="43"/>
      <c r="O29" s="43">
        <f t="shared" si="13"/>
        <v>85.638187399283424</v>
      </c>
      <c r="P29" s="110">
        <f>RTD("wdf.rtq",,D29,"LastPrice")</f>
        <v>2968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-0.45158647047855993</v>
      </c>
      <c r="V29" s="43">
        <f>_xll.dnetGBlackScholesNGreeks("vega",$Q29,$P29,$G29,$I29,$C$3,$J29,$K29,$C$4)*R29</f>
        <v>5.8750321612307062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43236</v>
      </c>
      <c r="F30" s="54">
        <f t="shared" ca="1" si="16"/>
        <v>43328</v>
      </c>
      <c r="G30" s="121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-11.846470389664887</v>
      </c>
      <c r="M30" s="57"/>
      <c r="N30" s="51"/>
      <c r="O30" s="51">
        <f t="shared" si="13"/>
        <v>11.846470389664887</v>
      </c>
      <c r="P30" s="94">
        <f>P29</f>
        <v>2968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-9.7243616997388926E-2</v>
      </c>
      <c r="V30" s="51">
        <f>_xll.dnetGBlackScholesNGreeks("vega",$Q30,$P30,$G30,$I30,$C$3,$J30,$K30,$C$4)*R30</f>
        <v>-2.555823560899924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43236</v>
      </c>
      <c r="F31" s="62">
        <f t="shared" ca="1" si="17"/>
        <v>43328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73.791717009618537</v>
      </c>
      <c r="M31" s="60">
        <v>0</v>
      </c>
      <c r="N31" s="59">
        <f>M31/10000*I31*P31</f>
        <v>0</v>
      </c>
      <c r="O31" s="59">
        <f t="shared" si="13"/>
        <v>73.791717009618537</v>
      </c>
      <c r="P31" s="111">
        <f>P30</f>
        <v>2968</v>
      </c>
      <c r="Q31" s="60"/>
      <c r="R31" s="60"/>
      <c r="S31" s="56"/>
      <c r="T31" s="64">
        <f>O31/P31</f>
        <v>2.4862438345558808E-2</v>
      </c>
      <c r="U31" s="64">
        <f>U30+U29</f>
        <v>-0.54883008747594886</v>
      </c>
      <c r="V31" s="64">
        <f>V30+V29</f>
        <v>3.3192086003307821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2" t="s">
        <v>158</v>
      </c>
      <c r="C1" s="122"/>
      <c r="D1" s="122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43236</v>
      </c>
      <c r="L10" s="38">
        <f ca="1">pricer_sf!N11</f>
        <v>43327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43236</v>
      </c>
      <c r="L11" s="38">
        <f ca="1">pricer_sf!N12</f>
        <v>43327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43236</v>
      </c>
      <c r="L12" s="38">
        <f ca="1">pricer_sf!N13</f>
        <v>43327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43236</v>
      </c>
      <c r="L13" s="38">
        <f ca="1">pricer_sf!N14</f>
        <v>43419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43236</v>
      </c>
      <c r="L14" s="38">
        <f ca="1">pricer_sf!N15</f>
        <v>43419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43236</v>
      </c>
      <c r="L15" s="38">
        <f ca="1">pricer_sf!N16</f>
        <v>43419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5" t="s">
        <v>38</v>
      </c>
      <c r="C1" s="145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43236</v>
      </c>
      <c r="N8" s="21">
        <f ca="1">M8+O8</f>
        <v>43266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43236</v>
      </c>
      <c r="N9" s="8">
        <f ca="1">M9+O9</f>
        <v>43416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43236</v>
      </c>
      <c r="N11" s="8">
        <f t="shared" ref="N11:N16" ca="1" si="2">M11+O11</f>
        <v>43327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43236</v>
      </c>
      <c r="N12" s="8">
        <f t="shared" ca="1" si="2"/>
        <v>43327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43236</v>
      </c>
      <c r="N13" s="8">
        <f t="shared" ca="1" si="2"/>
        <v>43327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43236</v>
      </c>
      <c r="N14" s="8">
        <f t="shared" ca="1" si="2"/>
        <v>43419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43236</v>
      </c>
      <c r="N15" s="8">
        <f t="shared" ca="1" si="2"/>
        <v>43419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43236</v>
      </c>
      <c r="N16" s="8">
        <f t="shared" ca="1" si="2"/>
        <v>43419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2018-05-16T15:19:32Z</dcterms:modified>
</cp:coreProperties>
</file>