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44" i="1" l="1"/>
  <c r="I44" i="1"/>
  <c r="N44" i="1" s="1"/>
  <c r="E44" i="1"/>
  <c r="F44" i="1" s="1"/>
  <c r="R43" i="1"/>
  <c r="I43" i="1"/>
  <c r="N43" i="1" s="1"/>
  <c r="E43" i="1"/>
  <c r="F43" i="1" s="1"/>
  <c r="R42" i="1"/>
  <c r="I42" i="1"/>
  <c r="N42" i="1" s="1"/>
  <c r="E42" i="1"/>
  <c r="F42" i="1" s="1"/>
  <c r="R41" i="1"/>
  <c r="I41" i="1"/>
  <c r="N41" i="1" s="1"/>
  <c r="E41" i="1"/>
  <c r="F41" i="1" s="1"/>
  <c r="R40" i="1"/>
  <c r="I40" i="1"/>
  <c r="N40" i="1" s="1"/>
  <c r="E40" i="1"/>
  <c r="F40" i="1" s="1"/>
  <c r="R39" i="1"/>
  <c r="I39" i="1"/>
  <c r="N39" i="1" s="1"/>
  <c r="E39" i="1"/>
  <c r="F39" i="1" s="1"/>
  <c r="R38" i="1"/>
  <c r="I38" i="1"/>
  <c r="N38" i="1" s="1"/>
  <c r="E38" i="1"/>
  <c r="F38" i="1" s="1"/>
  <c r="R37" i="1"/>
  <c r="I37" i="1"/>
  <c r="N37" i="1" s="1"/>
  <c r="E37" i="1"/>
  <c r="F37" i="1" s="1"/>
  <c r="R36" i="1"/>
  <c r="I36" i="1"/>
  <c r="N36" i="1" s="1"/>
  <c r="E36" i="1"/>
  <c r="F36" i="1" s="1"/>
  <c r="R35" i="1"/>
  <c r="I35" i="1"/>
  <c r="N35" i="1" s="1"/>
  <c r="E35" i="1"/>
  <c r="F35" i="1" s="1"/>
  <c r="R34" i="1"/>
  <c r="I34" i="1"/>
  <c r="N34" i="1" s="1"/>
  <c r="E34" i="1"/>
  <c r="F34" i="1" s="1"/>
  <c r="R33" i="1"/>
  <c r="I33" i="1"/>
  <c r="N33" i="1" s="1"/>
  <c r="E33" i="1"/>
  <c r="F33" i="1" s="1"/>
  <c r="U34" i="1"/>
  <c r="L42" i="1"/>
  <c r="V40" i="1"/>
  <c r="L34" i="1"/>
  <c r="L39" i="1"/>
  <c r="L44" i="1"/>
  <c r="V34" i="1"/>
  <c r="V42" i="1"/>
  <c r="U37" i="1"/>
  <c r="L40" i="1"/>
  <c r="L37" i="1"/>
  <c r="U40" i="1"/>
  <c r="V37" i="1"/>
  <c r="L36" i="1"/>
  <c r="V44" i="1"/>
  <c r="L33" i="1"/>
  <c r="L41" i="1"/>
  <c r="L43" i="1"/>
  <c r="L38" i="1"/>
  <c r="U35" i="1"/>
  <c r="V39" i="1"/>
  <c r="U42" i="1"/>
  <c r="V36" i="1"/>
  <c r="Y42" i="1" l="1"/>
  <c r="Y35" i="1"/>
  <c r="O38" i="1"/>
  <c r="T38" i="1" s="1"/>
  <c r="O43" i="1"/>
  <c r="T43" i="1" s="1"/>
  <c r="O41" i="1"/>
  <c r="T41" i="1" s="1"/>
  <c r="O33" i="1"/>
  <c r="T33" i="1" s="1"/>
  <c r="O36" i="1"/>
  <c r="T36" i="1" s="1"/>
  <c r="Y40" i="1"/>
  <c r="O37" i="1"/>
  <c r="T37" i="1" s="1"/>
  <c r="O40" i="1"/>
  <c r="T40" i="1" s="1"/>
  <c r="Y37" i="1"/>
  <c r="O44" i="1"/>
  <c r="T44" i="1" s="1"/>
  <c r="O39" i="1"/>
  <c r="T39" i="1" s="1"/>
  <c r="O34" i="1"/>
  <c r="T34" i="1" s="1"/>
  <c r="O42" i="1"/>
  <c r="T42" i="1" s="1"/>
  <c r="Y34" i="1"/>
  <c r="U43" i="1"/>
  <c r="V35" i="1"/>
  <c r="L35" i="1"/>
  <c r="V43" i="1"/>
  <c r="U38" i="1"/>
  <c r="V33" i="1"/>
  <c r="V38" i="1"/>
  <c r="U39" i="1"/>
  <c r="U41" i="1"/>
  <c r="U33" i="1"/>
  <c r="U36" i="1"/>
  <c r="V41" i="1"/>
  <c r="U44" i="1"/>
  <c r="Y44" i="1" l="1"/>
  <c r="Y36" i="1"/>
  <c r="Y33" i="1"/>
  <c r="Y41" i="1"/>
  <c r="Y39" i="1"/>
  <c r="Y38" i="1"/>
  <c r="O35" i="1"/>
  <c r="T35" i="1" s="1"/>
  <c r="Y43" i="1"/>
  <c r="R31" i="1" l="1"/>
  <c r="I31" i="1"/>
  <c r="N31" i="1" s="1"/>
  <c r="E31" i="1"/>
  <c r="F31" i="1" s="1"/>
  <c r="V31" i="1"/>
  <c r="L31" i="1" l="1"/>
  <c r="U31" i="1"/>
  <c r="Y31" i="1" l="1"/>
  <c r="O31" i="1"/>
  <c r="T31" i="1" s="1"/>
  <c r="R29" i="1" l="1"/>
  <c r="I29" i="1"/>
  <c r="N29" i="1" s="1"/>
  <c r="E29" i="1"/>
  <c r="F29" i="1" s="1"/>
  <c r="R28" i="1"/>
  <c r="I28" i="1"/>
  <c r="N28" i="1" s="1"/>
  <c r="E28" i="1"/>
  <c r="F28" i="1" s="1"/>
  <c r="R27" i="1"/>
  <c r="I27" i="1"/>
  <c r="N27" i="1" s="1"/>
  <c r="E27" i="1"/>
  <c r="F27" i="1" s="1"/>
  <c r="L29" i="1"/>
  <c r="V27" i="1"/>
  <c r="V29" i="1"/>
  <c r="U27" i="1"/>
  <c r="L28" i="1"/>
  <c r="O28" i="1" l="1"/>
  <c r="T28" i="1" s="1"/>
  <c r="Y27" i="1"/>
  <c r="O29" i="1"/>
  <c r="T29" i="1" s="1"/>
  <c r="R25" i="1"/>
  <c r="I25" i="1"/>
  <c r="E25" i="1"/>
  <c r="F25" i="1" s="1"/>
  <c r="U28" i="1"/>
  <c r="U29" i="1"/>
  <c r="L27" i="1"/>
  <c r="V28" i="1"/>
  <c r="V25" i="1"/>
  <c r="O27" i="1" l="1"/>
  <c r="T27" i="1" s="1"/>
  <c r="Y29" i="1"/>
  <c r="Y28" i="1"/>
  <c r="N25" i="1"/>
  <c r="R23" i="1"/>
  <c r="I23" i="1"/>
  <c r="E23" i="1"/>
  <c r="F23" i="1" s="1"/>
  <c r="R22" i="1"/>
  <c r="I22" i="1"/>
  <c r="E22" i="1"/>
  <c r="F22" i="1" s="1"/>
  <c r="U25" i="1"/>
  <c r="L25" i="1"/>
  <c r="P23" i="1"/>
  <c r="P22" i="1"/>
  <c r="V23" i="1"/>
  <c r="V22" i="1"/>
  <c r="Y25" i="1" l="1"/>
  <c r="O25" i="1"/>
  <c r="T25" i="1" s="1"/>
  <c r="N23" i="1"/>
  <c r="N22" i="1"/>
  <c r="L23" i="1"/>
  <c r="L22" i="1"/>
  <c r="U23" i="1"/>
  <c r="U22" i="1"/>
  <c r="O23" i="1" l="1"/>
  <c r="T23" i="1" s="1"/>
  <c r="O22" i="1"/>
  <c r="T22" i="1" s="1"/>
  <c r="R20" i="1" l="1"/>
  <c r="I20" i="1"/>
  <c r="E20" i="1"/>
  <c r="F20" i="1" s="1"/>
  <c r="R19" i="1"/>
  <c r="I19" i="1"/>
  <c r="E19" i="1"/>
  <c r="F19" i="1" s="1"/>
  <c r="P19" i="1"/>
  <c r="P20" i="1"/>
  <c r="L20" i="1" s="1"/>
  <c r="N20" i="1" l="1"/>
  <c r="O20" i="1" s="1"/>
  <c r="T20" i="1" s="1"/>
  <c r="N19" i="1"/>
  <c r="P84" i="2"/>
  <c r="N83" i="2"/>
  <c r="I83" i="2"/>
  <c r="N81" i="2"/>
  <c r="I81" i="2"/>
  <c r="Q72" i="2"/>
  <c r="N69" i="2"/>
  <c r="I69" i="2"/>
  <c r="N67" i="2"/>
  <c r="L19" i="1"/>
  <c r="V19" i="1"/>
  <c r="V20" i="1"/>
  <c r="U19" i="1"/>
  <c r="U20" i="1"/>
  <c r="O19" i="1" l="1"/>
  <c r="T19" i="1" s="1"/>
  <c r="Y19" i="1"/>
  <c r="R17" i="1"/>
  <c r="I17" i="1"/>
  <c r="N17" i="1" s="1"/>
  <c r="E17" i="1"/>
  <c r="F17" i="1" s="1"/>
  <c r="R16" i="1"/>
  <c r="I16" i="1"/>
  <c r="E16" i="1"/>
  <c r="F16" i="1" s="1"/>
  <c r="R15" i="1"/>
  <c r="I15" i="1"/>
  <c r="E15" i="1"/>
  <c r="F15" i="1" s="1"/>
  <c r="R14" i="1"/>
  <c r="I14" i="1"/>
  <c r="E14" i="1"/>
  <c r="F14" i="1" s="1"/>
  <c r="R13" i="1"/>
  <c r="I13" i="1"/>
  <c r="E13" i="1"/>
  <c r="F13" i="1" s="1"/>
  <c r="P16" i="1"/>
  <c r="P15" i="1"/>
  <c r="P13" i="1"/>
  <c r="L17" i="1"/>
  <c r="P14" i="1"/>
  <c r="L13" i="1"/>
  <c r="O17" i="1" l="1"/>
  <c r="T17" i="1" s="1"/>
  <c r="N14" i="1"/>
  <c r="N16" i="1"/>
  <c r="N15" i="1"/>
  <c r="N13" i="1"/>
  <c r="O13" i="1" s="1"/>
  <c r="T13" i="1" s="1"/>
  <c r="L16" i="1"/>
  <c r="U17" i="1"/>
  <c r="U13" i="1"/>
  <c r="L15" i="1"/>
  <c r="U15" i="1"/>
  <c r="V14" i="1"/>
  <c r="U14" i="1"/>
  <c r="L14" i="1"/>
  <c r="U16" i="1"/>
  <c r="V16" i="1"/>
  <c r="V13" i="1"/>
  <c r="V15" i="1"/>
  <c r="V17" i="1"/>
  <c r="O16" i="1" l="1"/>
  <c r="T16" i="1" s="1"/>
  <c r="Y14" i="1"/>
  <c r="Y16" i="1"/>
  <c r="O15" i="1"/>
  <c r="T15" i="1" s="1"/>
  <c r="O14" i="1"/>
  <c r="T14" i="1" s="1"/>
  <c r="Y17" i="1"/>
  <c r="Y15" i="1"/>
  <c r="Y13" i="1"/>
  <c r="H9" i="1" l="1"/>
  <c r="I67" i="2" l="1"/>
  <c r="S55" i="2" l="1"/>
  <c r="S53" i="2"/>
  <c r="N55" i="2" l="1"/>
  <c r="N53" i="2"/>
  <c r="I53" i="2" l="1"/>
  <c r="D55" i="2" l="1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H28" i="9"/>
  <c r="I30" i="9"/>
  <c r="I31" i="9" s="1"/>
  <c r="L27" i="9"/>
  <c r="U26" i="9"/>
  <c r="U30" i="9"/>
  <c r="V30" i="9"/>
  <c r="L30" i="9"/>
  <c r="L29" i="9"/>
  <c r="U29" i="9"/>
  <c r="V27" i="9"/>
  <c r="L26" i="9"/>
  <c r="V26" i="9"/>
  <c r="U27" i="9"/>
  <c r="V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21" i="9"/>
  <c r="U19" i="9"/>
  <c r="U22" i="9"/>
  <c r="L19" i="9"/>
  <c r="L18" i="9"/>
  <c r="V18" i="9"/>
  <c r="V21" i="9"/>
  <c r="V22" i="9"/>
  <c r="L22" i="9"/>
  <c r="V19" i="9"/>
  <c r="U18" i="9"/>
  <c r="U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1" i="8"/>
  <c r="K16" i="8"/>
  <c r="K12" i="8"/>
  <c r="K13" i="8"/>
  <c r="K15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3" i="8"/>
  <c r="S12" i="8"/>
  <c r="Y15" i="8"/>
  <c r="X15" i="8"/>
  <c r="S14" i="8"/>
  <c r="X16" i="8"/>
  <c r="Y14" i="8"/>
  <c r="X13" i="8"/>
  <c r="L14" i="9"/>
  <c r="S15" i="8"/>
  <c r="X12" i="8"/>
  <c r="U14" i="9"/>
  <c r="S16" i="8"/>
  <c r="Y13" i="8"/>
  <c r="Y12" i="8"/>
  <c r="V14" i="9"/>
  <c r="Y16" i="8"/>
  <c r="X14" i="8"/>
  <c r="S11" i="8"/>
  <c r="Y11" i="8"/>
  <c r="X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U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L8" i="9"/>
  <c r="V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9" i="7"/>
  <c r="O10" i="7"/>
  <c r="T10" i="7"/>
  <c r="T9" i="7"/>
  <c r="H8" i="7"/>
  <c r="U10" i="7"/>
  <c r="K9" i="8"/>
  <c r="H8" i="8"/>
  <c r="U8" i="8" l="1"/>
  <c r="Q9" i="7"/>
  <c r="R9" i="7" s="1"/>
  <c r="S9" i="7" s="1"/>
  <c r="Q10" i="7"/>
  <c r="R10" i="7" s="1"/>
  <c r="S10" i="7" s="1"/>
  <c r="Q8" i="7"/>
  <c r="K8" i="8"/>
  <c r="S9" i="8"/>
  <c r="T8" i="7"/>
  <c r="X9" i="8"/>
  <c r="Y9" i="8"/>
  <c r="U8" i="7"/>
  <c r="O8" i="7"/>
  <c r="V9" i="8" l="1"/>
  <c r="W9" i="8" s="1"/>
  <c r="R8" i="7"/>
  <c r="S8" i="7" s="1"/>
  <c r="X8" i="8"/>
  <c r="Y8" i="8"/>
  <c r="S8" i="8"/>
  <c r="V8" i="8" l="1"/>
  <c r="W8" i="8" s="1"/>
  <c r="G12" i="9" l="1"/>
  <c r="G13" i="9" s="1"/>
  <c r="L11" i="9"/>
  <c r="V11" i="9"/>
  <c r="U11" i="9"/>
  <c r="V12" i="9"/>
  <c r="U12" i="9"/>
  <c r="L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<sst xmlns="http://schemas.openxmlformats.org/spreadsheetml/2006/main" count="1210" uniqueCount="259">
  <si>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</si>
  <si>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</si>
  <si>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</si>
  <si>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</si>
  <si>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</si>
  <si>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</si>
  <si>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</si>
  <si>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</si>
  <si>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</si>
  <si>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</si>
  <si>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</si>
  <si>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</si>
  <si>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</si>
  <si>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</si>
  <si>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</si>
  <si>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</si>
  <si>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</si>
  <si>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</si>
  <si>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</si>
  <si>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</si>
  <si>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</si>
  <si>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</si>
  <si>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</si>
  <si>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</si>
  <si>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</si>
  <si>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</si>
  <si>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</si>
  <si>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</si>
  <si>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</si>
  <si>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</si>
  <si>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</si>
  <si>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</si>
  <si>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</si>
  <si>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</si>
  <si>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</si>
  <si>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</si>
  <si>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</si>
  <si>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</si>
  <si>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</si>
  <si>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</si>
  <si>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</si>
  <si>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</si>
  <si>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</si>
  <si>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</si>
  <si>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</si>
  <si>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</si>
  <si>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</si>
  <si>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</si>
  <si>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</si>
  <si>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</si>
  <si>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</si>
  <si>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</si>
  <si>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</si>
  <si>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</si>
  <si>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</si>
  <si>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</si>
  <si>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</si>
  <si>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</si>
  <si>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</si>
  <si>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</si>
  <si>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</si>
  <si>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</si>
  <si>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</si>
  <si>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</si>
  <si>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</si>
  <si>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</si>
  <si>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</si>
  <si>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</si>
  <si>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</si>
  <si>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</si>
  <si>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</si>
  <si>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</si>
  <si>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</si>
  <si>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</si>
  <si>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</si>
  <si>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</si>
  <si>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</si>
  <si>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</si>
  <si>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</si>
  <si>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</si>
  <si>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</si>
  <si>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</si>
  <si>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</si>
  <si>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</si>
  <si>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</si>
  <si>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</si>
  <si>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</si>
  <si>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</si>
  <si>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</si>
  <si>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</si>
  <si>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</si>
  <si>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</si>
  <si>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</si>
  <si>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</si>
  <si>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</si>
  <si>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</si>
  <si>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</si>
  <si>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</si>
  <si>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</si>
  <si>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</si>
  <si>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</si>
  <si>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</si>
  <si>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</si>
  <si>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</si>
  <si>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</si>
  <si>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</si>
  <si>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</si>
  <si>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</si>
  <si>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</si>
  <si>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</si>
  <si>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</si>
  <si>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</si>
  <si>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</si>
  <si>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</si>
  <si>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</si>
  <si>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</si>
  <si>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</si>
  <si>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</si>
  <si>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</si>
  <si>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</si>
  <si>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</si>
  <si>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</si>
  <si>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</si>
  <si>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</si>
  <si>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</si>
  <si>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</si>
  <si>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</si>
  <si>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</si>
  <si>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</si>
  <si>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</si>
  <si>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</si>
  <si>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</si>
  <si>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</si>
  <si>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</si>
  <si>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</si>
  <si>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</si>
  <si>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</si>
  <si>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</si>
  <si>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</si>
  <si>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</si>
  <si>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</si>
  <si>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</si>
  <si>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</si>
  <si>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</si>
  <si>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</si>
  <si>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</si>
  <si>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</si>
  <si>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</si>
  <si>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</si>
  <si>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</si>
  <si>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</si>
  <si>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</si>
  <si>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</si>
  <si>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</si>
  <si>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</si>
  <si>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</si>
  <si>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</si>
  <si>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</si>
  <si>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</si>
  <si>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</si>
  <si>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</si>
  <si>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</si>
  <si>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</si>
  <si>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</si>
  <si>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</si>
  <si>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</si>
  <si>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</si>
  <si>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</si>
  <si>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</si>
  <si>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</si>
  <si>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</si>
  <si>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</si>
  <si>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</si>
  <si>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</si>
  <si>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</si>
  <si>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</si>
  <si>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</si>
  <si>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</si>
  <si>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</si>
  <si>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</si>
  <si>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</si>
  <si>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</si>
  <si>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</si>
  <si>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</si>
  <si>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</si>
  <si>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</si>
  <si>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</si>
  <si>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</si>
  <si>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</si>
  <si>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</si>
  <si>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</si>
  <si>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</si>
  <si>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</si>
  <si>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</si>
  <si>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</si>
  <si>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</si>
  <si>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</si>
  <si>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</si>
  <si>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</si>
  <si>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</si>
  <si>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</si>
  <si>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</si>
  <si>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</si>
  <si>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</si>
  <si>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</si>
  <si>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</si>
  <si>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</si>
  <si>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</si>
  <si>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</si>
  <si>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</si>
  <si>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</si>
  <si>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</si>
  <si>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</si>
  <si>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</si>
  <si>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</si>
  <si>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</si>
  <si>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</si>
  <si>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</si>
  <si>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</si>
  <si>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</si>
  <si>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</si>
  <si>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</si>
  <si>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</si>
  <si>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</si>
  <si>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</si>
  <si>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j1809</t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</si>
  <si>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</si>
  <si>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</si>
  <si>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</si>
  <si>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</si>
  <si>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</si>
  <si>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</si>
  <si>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</si>
  <si>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</si>
  <si>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</si>
  <si>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</si>
  <si>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al1809</t>
    <phoneticPr fontId="2" type="noConversion"/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</si>
  <si>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</si>
  <si>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</si>
  <si>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</si>
  <si>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</si>
  <si>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</si>
  <si>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i1809</t>
  </si>
  <si>
    <t>i1809</t>
    <phoneticPr fontId="2" type="noConversion"/>
  </si>
  <si>
    <t>ap810</t>
  </si>
  <si>
    <t>ap810</t>
    <phoneticPr fontId="2" type="noConversion"/>
  </si>
  <si>
    <t>cu1808</t>
    <phoneticPr fontId="2" type="noConversion"/>
  </si>
  <si>
    <t>i1905</t>
    <phoneticPr fontId="2" type="noConversion"/>
  </si>
  <si>
    <t>c</t>
    <phoneticPr fontId="2" type="noConversion"/>
  </si>
  <si>
    <t>cf901</t>
  </si>
  <si>
    <t>cf905</t>
    <phoneticPr fontId="2" type="noConversion"/>
  </si>
  <si>
    <t>ta809</t>
  </si>
  <si>
    <t>ta809</t>
    <phoneticPr fontId="2" type="noConversion"/>
  </si>
  <si>
    <t>sc1809</t>
  </si>
  <si>
    <t>pp1809</t>
  </si>
  <si>
    <t>pp1809</t>
    <phoneticPr fontId="2" type="noConversion"/>
  </si>
  <si>
    <t>rb1810</t>
  </si>
  <si>
    <t>hc1810</t>
  </si>
  <si>
    <t>hc1810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</si>
</sst>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</cellStyleXfs>
  <cellXfs count="199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6" borderId="0" xfId="0" applyNumberFormat="1" applyFont="1" applyFill="1"/>
    <xf numFmtId="2" fontId="6" fillId="9" borderId="0" xfId="0" applyNumberFormat="1" applyFont="1" applyFill="1" applyBorder="1"/>
    <xf numFmtId="0" fontId="6" fillId="9" borderId="0" xfId="0" applyFont="1" applyFill="1" applyBorder="1"/>
    <xf numFmtId="14" fontId="6" fillId="5" borderId="0" xfId="0" applyNumberFormat="1" applyFont="1" applyFill="1" applyBorder="1"/>
    <xf numFmtId="178" fontId="6" fillId="9" borderId="0" xfId="0" applyNumberFormat="1" applyFont="1" applyFill="1" applyBorder="1"/>
    <xf numFmtId="177" fontId="6" fillId="9" borderId="0" xfId="0" applyNumberFormat="1" applyFont="1" applyFill="1" applyBorder="1"/>
    <xf numFmtId="0" fontId="34" fillId="4" borderId="0" xfId="0" applyFont="1" applyFill="1" applyBorder="1"/>
    <xf numFmtId="0" fontId="6" fillId="8" borderId="0" xfId="0" applyFont="1" applyFill="1" applyBorder="1"/>
    <xf numFmtId="10" fontId="6" fillId="9" borderId="0" xfId="1" applyNumberFormat="1" applyFont="1" applyFill="1" applyBorder="1" applyAlignment="1"/>
    <xf numFmtId="0" fontId="11" fillId="6" borderId="17" xfId="0" applyFont="1" applyFill="1" applyBorder="1"/>
    <xf numFmtId="2" fontId="6" fillId="9" borderId="18" xfId="0" applyNumberFormat="1" applyFont="1" applyFill="1" applyBorder="1"/>
    <xf numFmtId="0" fontId="6" fillId="9" borderId="18" xfId="0" applyFont="1" applyFill="1" applyBorder="1"/>
    <xf numFmtId="14" fontId="6" fillId="5" borderId="18" xfId="0" applyNumberFormat="1" applyFont="1" applyFill="1" applyBorder="1"/>
    <xf numFmtId="178" fontId="6" fillId="9" borderId="18" xfId="0" applyNumberFormat="1" applyFont="1" applyFill="1" applyBorder="1"/>
    <xf numFmtId="177" fontId="6" fillId="9" borderId="18" xfId="0" applyNumberFormat="1" applyFont="1" applyFill="1" applyBorder="1"/>
    <xf numFmtId="0" fontId="34" fillId="4" borderId="18" xfId="0" applyFont="1" applyFill="1" applyBorder="1"/>
    <xf numFmtId="0" fontId="6" fillId="8" borderId="18" xfId="0" applyFont="1" applyFill="1" applyBorder="1"/>
    <xf numFmtId="10" fontId="6" fillId="9" borderId="18" xfId="1" applyNumberFormat="1" applyFont="1" applyFill="1" applyBorder="1" applyAlignment="1"/>
    <xf numFmtId="178" fontId="6" fillId="6" borderId="19" xfId="0" applyNumberFormat="1" applyFont="1" applyFill="1" applyBorder="1"/>
    <xf numFmtId="179" fontId="6" fillId="6" borderId="19" xfId="0" applyNumberFormat="1" applyFont="1" applyFill="1" applyBorder="1"/>
    <xf numFmtId="0" fontId="6" fillId="6" borderId="19" xfId="0" applyFont="1" applyFill="1" applyBorder="1"/>
    <xf numFmtId="0" fontId="11" fillId="6" borderId="20" xfId="0" applyFont="1" applyFill="1" applyBorder="1"/>
    <xf numFmtId="178" fontId="6" fillId="6" borderId="0" xfId="0" applyNumberFormat="1" applyFont="1" applyFill="1" applyBorder="1"/>
    <xf numFmtId="179" fontId="6" fillId="6" borderId="0" xfId="0" applyNumberFormat="1" applyFont="1" applyFill="1" applyBorder="1"/>
    <xf numFmtId="0" fontId="11" fillId="6" borderId="21" xfId="0" applyFont="1" applyFill="1" applyBorder="1"/>
    <xf numFmtId="2" fontId="6" fillId="9" borderId="22" xfId="0" applyNumberFormat="1" applyFont="1" applyFill="1" applyBorder="1"/>
    <xf numFmtId="0" fontId="6" fillId="9" borderId="22" xfId="0" applyFont="1" applyFill="1" applyBorder="1"/>
    <xf numFmtId="14" fontId="6" fillId="5" borderId="22" xfId="0" applyNumberFormat="1" applyFont="1" applyFill="1" applyBorder="1"/>
    <xf numFmtId="178" fontId="6" fillId="9" borderId="22" xfId="0" applyNumberFormat="1" applyFont="1" applyFill="1" applyBorder="1"/>
    <xf numFmtId="177" fontId="6" fillId="9" borderId="22" xfId="0" applyNumberFormat="1" applyFont="1" applyFill="1" applyBorder="1"/>
    <xf numFmtId="0" fontId="34" fillId="4" borderId="22" xfId="0" applyFont="1" applyFill="1" applyBorder="1"/>
    <xf numFmtId="0" fontId="6" fillId="8" borderId="22" xfId="0" applyFont="1" applyFill="1" applyBorder="1"/>
    <xf numFmtId="10" fontId="6" fillId="9" borderId="22" xfId="1" applyNumberFormat="1" applyFont="1" applyFill="1" applyBorder="1" applyAlignment="1"/>
    <xf numFmtId="178" fontId="6" fillId="6" borderId="22" xfId="0" applyNumberFormat="1" applyFont="1" applyFill="1" applyBorder="1"/>
    <xf numFmtId="179" fontId="6" fillId="6" borderId="22" xfId="0" applyNumberFormat="1" applyFont="1" applyFill="1" applyBorder="1"/>
    <xf numFmtId="0" fontId="6" fillId="6" borderId="22" xfId="0" applyFont="1" applyFill="1" applyBorder="1"/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14" fontId="6" fillId="9" borderId="19" xfId="0" applyNumberFormat="1" applyFont="1" applyFill="1" applyBorder="1" applyAlignment="1">
      <alignment horizontal="center"/>
    </xf>
    <xf numFmtId="2" fontId="6" fillId="9" borderId="19" xfId="0" applyNumberFormat="1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14" fontId="6" fillId="9" borderId="22" xfId="0" applyNumberFormat="1" applyFont="1" applyFill="1" applyBorder="1" applyAlignment="1">
      <alignment horizontal="center"/>
    </xf>
    <xf numFmtId="2" fontId="6" fillId="9" borderId="22" xfId="0" applyNumberFormat="1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14810</v>
        <stp/>
        <stp>al1809</stp>
        <stp>LastPrice</stp>
        <tr r="P15" s="1"/>
        <tr r="P16" s="1"/>
      </tp>
      <tp>
        <v>14740</v>
        <stp/>
        <stp>al1808</stp>
        <stp>LastPrice</stp>
        <tr r="P8" s="1"/>
        <tr r="P14" s="1"/>
        <tr r="P13" s="1"/>
      </tp>
      <tp>
        <v>465</v>
        <stp/>
        <stp>i1809</stp>
        <stp>LastPrice</stp>
        <tr r="P11" s="9"/>
        <tr r="P20" s="1"/>
        <tr r="P19" s="1"/>
      </tp>
      <tp>
        <v>9116</v>
        <stp/>
        <stp>ap810</stp>
        <stp>LastPrice</stp>
        <tr r="P22" s="1"/>
        <tr r="P23" s="1"/>
      </tp>
      <tp>
        <v>3005</v>
        <stp/>
        <stp>m1809</stp>
        <stp>LastPrice</stp>
        <tr r="P21" s="9"/>
        <tr r="P18" s="9"/>
        <tr r="P26" s="9"/>
        <tr r="P29" s="9"/>
      </tp>
      <tp>
        <v>3712</v>
        <stp/>
        <stp>rb1810</stp>
        <stp>LastPrice</stp>
        <tr r="P14" s="9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47"/>
  <sheetViews>
    <sheetView topLeftCell="A11" zoomScaleNormal="100" workbookViewId="0">
      <selection activeCell="V26" sqref="V2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2" t="s">
        <v>200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229</v>
      </c>
      <c r="D9" s="93">
        <v>43250</v>
      </c>
      <c r="E9" s="93">
        <v>43294</v>
      </c>
      <c r="F9" s="92">
        <v>14500</v>
      </c>
      <c r="G9" s="92">
        <v>44</v>
      </c>
      <c r="H9" s="92">
        <v>0.12054794520547946</v>
      </c>
      <c r="I9" s="92">
        <v>0</v>
      </c>
      <c r="J9" s="92">
        <v>0.13</v>
      </c>
      <c r="K9" s="92">
        <v>148.1957993354099</v>
      </c>
      <c r="L9" s="92">
        <v>30</v>
      </c>
      <c r="M9" s="92">
        <v>5.3432876712328774</v>
      </c>
      <c r="N9" s="99">
        <v>142.85251166417703</v>
      </c>
      <c r="O9" s="92">
        <v>14775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235</v>
      </c>
      <c r="D10" s="93">
        <v>43250</v>
      </c>
      <c r="E10" s="93">
        <v>43325</v>
      </c>
      <c r="F10" s="92">
        <v>14500</v>
      </c>
      <c r="G10" s="92">
        <v>75</v>
      </c>
      <c r="H10" s="92">
        <v>0.20547945205479451</v>
      </c>
      <c r="I10" s="92">
        <v>0</v>
      </c>
      <c r="J10" s="92">
        <v>0.13</v>
      </c>
      <c r="K10" s="92">
        <v>197.0015228979737</v>
      </c>
      <c r="L10" s="92">
        <v>30</v>
      </c>
      <c r="M10" s="92">
        <v>9.1541095890410951</v>
      </c>
      <c r="N10" s="99">
        <v>187.8474133089326</v>
      </c>
      <c r="O10" s="92">
        <v>14850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241</v>
      </c>
      <c r="D11" s="93">
        <v>43250</v>
      </c>
      <c r="E11" s="93">
        <v>43356</v>
      </c>
      <c r="F11" s="92">
        <v>14500</v>
      </c>
      <c r="G11" s="92">
        <v>106</v>
      </c>
      <c r="H11" s="92">
        <v>0.29041095890410956</v>
      </c>
      <c r="I11" s="92">
        <v>0</v>
      </c>
      <c r="J11" s="92">
        <v>0.13</v>
      </c>
      <c r="K11" s="92">
        <v>231.7094428625951</v>
      </c>
      <c r="L11" s="92">
        <v>30</v>
      </c>
      <c r="M11" s="92">
        <v>13.003150684931507</v>
      </c>
      <c r="N11" s="99">
        <v>218.70629217766358</v>
      </c>
      <c r="O11" s="92">
        <v>14925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230</v>
      </c>
      <c r="D13" s="93">
        <v>43250</v>
      </c>
      <c r="E13" s="93">
        <v>43280</v>
      </c>
      <c r="F13" s="92">
        <v>49500</v>
      </c>
      <c r="G13" s="92">
        <v>30</v>
      </c>
      <c r="H13" s="92">
        <v>8.2191780821917804E-2</v>
      </c>
      <c r="I13" s="92">
        <v>0</v>
      </c>
      <c r="J13" s="92">
        <v>0.12</v>
      </c>
      <c r="K13" s="92">
        <v>171.01217245503904</v>
      </c>
      <c r="L13" s="92">
        <v>30</v>
      </c>
      <c r="M13" s="92">
        <v>12.592602739726027</v>
      </c>
      <c r="N13" s="99">
        <v>158.419569715313</v>
      </c>
      <c r="O13" s="92">
        <v>51070</v>
      </c>
      <c r="P13" s="92" t="s">
        <v>85</v>
      </c>
      <c r="Q13" s="92">
        <v>1</v>
      </c>
      <c r="R13" s="92" t="s">
        <v>151</v>
      </c>
    </row>
    <row r="14" spans="2:18" x14ac:dyDescent="0.15">
      <c r="B14" s="91" t="s">
        <v>2</v>
      </c>
      <c r="C14" s="33" t="s">
        <v>181</v>
      </c>
      <c r="D14" s="33" t="s">
        <v>180</v>
      </c>
      <c r="E14" s="33" t="s">
        <v>10</v>
      </c>
      <c r="F14" s="33" t="s">
        <v>184</v>
      </c>
      <c r="G14" s="33" t="s">
        <v>11</v>
      </c>
      <c r="H14" s="33" t="s">
        <v>12</v>
      </c>
      <c r="I14" s="33" t="s">
        <v>47</v>
      </c>
      <c r="J14" s="33" t="s">
        <v>13</v>
      </c>
      <c r="K14" s="33" t="s">
        <v>14</v>
      </c>
      <c r="L14" s="33" t="s">
        <v>26</v>
      </c>
      <c r="M14" s="33" t="s">
        <v>28</v>
      </c>
      <c r="N14" s="33" t="s">
        <v>182</v>
      </c>
      <c r="O14" s="33" t="s">
        <v>8</v>
      </c>
      <c r="P14" s="33" t="s">
        <v>23</v>
      </c>
      <c r="Q14" s="33"/>
      <c r="R14" s="33" t="s">
        <v>30</v>
      </c>
    </row>
    <row r="15" spans="2:18" x14ac:dyDescent="0.15">
      <c r="B15" s="92" t="s">
        <v>160</v>
      </c>
      <c r="C15" s="92" t="s">
        <v>229</v>
      </c>
      <c r="D15" s="93">
        <v>43251</v>
      </c>
      <c r="E15" s="93">
        <v>43294</v>
      </c>
      <c r="F15" s="92">
        <v>14500</v>
      </c>
      <c r="G15" s="92">
        <v>43</v>
      </c>
      <c r="H15" s="92">
        <v>0.11780821917808219</v>
      </c>
      <c r="I15" s="92">
        <v>0</v>
      </c>
      <c r="J15" s="92">
        <v>0.13</v>
      </c>
      <c r="K15" s="92">
        <v>175.34549282843636</v>
      </c>
      <c r="L15" s="92">
        <v>30</v>
      </c>
      <c r="M15" s="92">
        <v>5.1918082191780819</v>
      </c>
      <c r="N15" s="99">
        <v>170.15368460925828</v>
      </c>
      <c r="O15" s="92">
        <v>14690</v>
      </c>
      <c r="P15" s="92" t="s">
        <v>85</v>
      </c>
      <c r="Q15" s="92">
        <v>1</v>
      </c>
      <c r="R15" s="92" t="s">
        <v>151</v>
      </c>
    </row>
    <row r="16" spans="2:18" x14ac:dyDescent="0.15">
      <c r="B16" s="92" t="s">
        <v>160</v>
      </c>
      <c r="C16" s="92" t="s">
        <v>235</v>
      </c>
      <c r="D16" s="93">
        <v>43251</v>
      </c>
      <c r="E16" s="93">
        <v>43325</v>
      </c>
      <c r="F16" s="92">
        <v>14500</v>
      </c>
      <c r="G16" s="92">
        <v>74</v>
      </c>
      <c r="H16" s="92">
        <v>0.20273972602739726</v>
      </c>
      <c r="I16" s="92">
        <v>0</v>
      </c>
      <c r="J16" s="92">
        <v>0.13</v>
      </c>
      <c r="K16" s="92">
        <v>224.45519980339668</v>
      </c>
      <c r="L16" s="92">
        <v>30</v>
      </c>
      <c r="M16" s="92">
        <v>8.9803561643835614</v>
      </c>
      <c r="N16" s="99">
        <v>215.47484363901313</v>
      </c>
      <c r="O16" s="92">
        <v>14765</v>
      </c>
      <c r="P16" s="92" t="s">
        <v>85</v>
      </c>
      <c r="Q16" s="92">
        <v>1</v>
      </c>
      <c r="R16" s="92" t="s">
        <v>151</v>
      </c>
    </row>
    <row r="17" spans="2:18" x14ac:dyDescent="0.15">
      <c r="B17" s="92" t="s">
        <v>160</v>
      </c>
      <c r="C17" s="92" t="s">
        <v>241</v>
      </c>
      <c r="D17" s="93">
        <v>43251</v>
      </c>
      <c r="E17" s="93">
        <v>43294</v>
      </c>
      <c r="F17" s="92">
        <v>14500</v>
      </c>
      <c r="G17" s="92">
        <v>43</v>
      </c>
      <c r="H17" s="92">
        <v>0.11780821917808219</v>
      </c>
      <c r="I17" s="92">
        <v>0</v>
      </c>
      <c r="J17" s="92">
        <v>0.13</v>
      </c>
      <c r="K17" s="92">
        <v>126.74305290502434</v>
      </c>
      <c r="L17" s="92">
        <v>30</v>
      </c>
      <c r="M17" s="92">
        <v>5.2430547945205479</v>
      </c>
      <c r="N17" s="99">
        <v>121.4999981105038</v>
      </c>
      <c r="O17" s="92">
        <v>14835</v>
      </c>
      <c r="P17" s="92" t="s">
        <v>85</v>
      </c>
      <c r="Q17" s="92">
        <v>1</v>
      </c>
      <c r="R17" s="92" t="s">
        <v>151</v>
      </c>
    </row>
    <row r="18" spans="2:18" x14ac:dyDescent="0.15">
      <c r="B18" s="91" t="s">
        <v>2</v>
      </c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92" t="s">
        <v>160</v>
      </c>
      <c r="C19" s="92" t="s">
        <v>225</v>
      </c>
      <c r="D19" s="93">
        <v>43251</v>
      </c>
      <c r="E19" s="93">
        <v>43312</v>
      </c>
      <c r="F19" s="92">
        <v>2090</v>
      </c>
      <c r="G19" s="92">
        <v>61</v>
      </c>
      <c r="H19" s="92">
        <v>0.16712328767123288</v>
      </c>
      <c r="I19" s="92">
        <v>0</v>
      </c>
      <c r="J19" s="92">
        <v>0.375</v>
      </c>
      <c r="K19" s="92">
        <v>-130.338401596067</v>
      </c>
      <c r="L19" s="92"/>
      <c r="M19" s="92">
        <v>0</v>
      </c>
      <c r="N19" s="99">
        <v>130.338401596067</v>
      </c>
      <c r="O19" s="92">
        <v>2083.5</v>
      </c>
      <c r="P19" s="92" t="s">
        <v>85</v>
      </c>
      <c r="Q19" s="92">
        <v>-1</v>
      </c>
      <c r="R19" s="92" t="s">
        <v>20</v>
      </c>
    </row>
    <row r="20" spans="2:18" x14ac:dyDescent="0.15">
      <c r="B20" s="92" t="s">
        <v>160</v>
      </c>
      <c r="C20" s="92" t="s">
        <v>225</v>
      </c>
      <c r="D20" s="93">
        <v>43251</v>
      </c>
      <c r="E20" s="93">
        <v>43312</v>
      </c>
      <c r="F20" s="92">
        <v>2000</v>
      </c>
      <c r="G20" s="92">
        <v>61</v>
      </c>
      <c r="H20" s="92">
        <v>0.16712328767123288</v>
      </c>
      <c r="I20" s="92">
        <v>0</v>
      </c>
      <c r="J20" s="92">
        <v>0.38</v>
      </c>
      <c r="K20" s="92">
        <v>-88.709007591763793</v>
      </c>
      <c r="L20" s="92"/>
      <c r="M20" s="92">
        <v>0</v>
      </c>
      <c r="N20" s="99">
        <v>88.709007591763793</v>
      </c>
      <c r="O20" s="92">
        <v>2083.5</v>
      </c>
      <c r="P20" s="92" t="s">
        <v>85</v>
      </c>
      <c r="Q20" s="92">
        <v>-1</v>
      </c>
      <c r="R20" s="92" t="s">
        <v>20</v>
      </c>
    </row>
    <row r="21" spans="2:18" x14ac:dyDescent="0.15">
      <c r="B21" s="91" t="s">
        <v>2</v>
      </c>
      <c r="C21" s="33" t="s">
        <v>181</v>
      </c>
      <c r="D21" s="33" t="s">
        <v>180</v>
      </c>
      <c r="E21" s="33" t="s">
        <v>10</v>
      </c>
      <c r="F21" s="33" t="s">
        <v>184</v>
      </c>
      <c r="G21" s="33" t="s">
        <v>11</v>
      </c>
      <c r="H21" s="33" t="s">
        <v>12</v>
      </c>
      <c r="I21" s="33" t="s">
        <v>47</v>
      </c>
      <c r="J21" s="33" t="s">
        <v>13</v>
      </c>
      <c r="K21" s="33" t="s">
        <v>14</v>
      </c>
      <c r="L21" s="33" t="s">
        <v>26</v>
      </c>
      <c r="M21" s="33" t="s">
        <v>28</v>
      </c>
      <c r="N21" s="33" t="s">
        <v>182</v>
      </c>
      <c r="O21" s="33" t="s">
        <v>8</v>
      </c>
      <c r="P21" s="33" t="s">
        <v>23</v>
      </c>
      <c r="Q21" s="33"/>
      <c r="R21" s="33" t="s">
        <v>30</v>
      </c>
    </row>
    <row r="22" spans="2:18" x14ac:dyDescent="0.15">
      <c r="B22" s="92" t="s">
        <v>160</v>
      </c>
      <c r="C22" s="92" t="s">
        <v>230</v>
      </c>
      <c r="D22" s="93">
        <v>43251</v>
      </c>
      <c r="E22" s="93">
        <v>43280</v>
      </c>
      <c r="F22" s="92">
        <v>53500</v>
      </c>
      <c r="G22" s="92">
        <v>29</v>
      </c>
      <c r="H22" s="92">
        <v>7.9452054794520555E-2</v>
      </c>
      <c r="I22" s="92">
        <v>0</v>
      </c>
      <c r="J22" s="92">
        <v>0.12</v>
      </c>
      <c r="K22" s="92">
        <v>115.41411183967375</v>
      </c>
      <c r="L22" s="92">
        <v>30</v>
      </c>
      <c r="M22" s="92">
        <v>12.275342465753425</v>
      </c>
      <c r="N22" s="99">
        <v>103.13876937392033</v>
      </c>
      <c r="O22" s="92">
        <v>51500</v>
      </c>
      <c r="P22" s="92" t="s">
        <v>39</v>
      </c>
      <c r="Q22" s="92">
        <v>1</v>
      </c>
      <c r="R22" s="92" t="s">
        <v>151</v>
      </c>
    </row>
    <row r="23" spans="2:18" x14ac:dyDescent="0.15">
      <c r="B23" s="91" t="s">
        <v>2</v>
      </c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92" t="s">
        <v>160</v>
      </c>
      <c r="C24" s="92" t="s">
        <v>229</v>
      </c>
      <c r="D24" s="93">
        <v>43251</v>
      </c>
      <c r="E24" s="93">
        <v>43294</v>
      </c>
      <c r="F24" s="92">
        <v>14500</v>
      </c>
      <c r="G24" s="92">
        <v>43</v>
      </c>
      <c r="H24" s="92">
        <v>0.11780821917808219</v>
      </c>
      <c r="I24" s="92">
        <v>0</v>
      </c>
      <c r="J24" s="92">
        <v>0.1275</v>
      </c>
      <c r="K24" s="92">
        <v>170.57397244306321</v>
      </c>
      <c r="L24" s="92"/>
      <c r="M24" s="92">
        <v>0</v>
      </c>
      <c r="N24" s="99">
        <v>170.57397244306321</v>
      </c>
      <c r="O24" s="92">
        <v>14690</v>
      </c>
      <c r="P24" s="92" t="s">
        <v>85</v>
      </c>
      <c r="Q24" s="92">
        <v>1</v>
      </c>
      <c r="R24" s="92" t="s">
        <v>151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242</v>
      </c>
      <c r="D27" s="93">
        <v>43255</v>
      </c>
      <c r="E27" s="93">
        <v>43285</v>
      </c>
      <c r="F27" s="92">
        <v>500</v>
      </c>
      <c r="G27" s="92">
        <v>30</v>
      </c>
      <c r="H27" s="92">
        <v>8.2191780821917804E-2</v>
      </c>
      <c r="I27" s="92">
        <v>0</v>
      </c>
      <c r="J27" s="92">
        <v>0.35</v>
      </c>
      <c r="K27" s="92">
        <v>-45.006856166576028</v>
      </c>
      <c r="L27" s="92"/>
      <c r="M27" s="92">
        <v>0</v>
      </c>
      <c r="N27" s="99">
        <v>45.006856166576028</v>
      </c>
      <c r="O27" s="92">
        <v>460.5</v>
      </c>
      <c r="P27" s="92" t="s">
        <v>85</v>
      </c>
      <c r="Q27" s="92">
        <v>-1</v>
      </c>
      <c r="R27" s="92" t="s">
        <v>20</v>
      </c>
    </row>
    <row r="28" spans="2:18" x14ac:dyDescent="0.15">
      <c r="B28" s="92" t="s">
        <v>160</v>
      </c>
      <c r="C28" s="92" t="s">
        <v>242</v>
      </c>
      <c r="D28" s="93">
        <v>43255</v>
      </c>
      <c r="E28" s="93">
        <v>43285</v>
      </c>
      <c r="F28" s="92">
        <v>500</v>
      </c>
      <c r="G28" s="92">
        <v>30</v>
      </c>
      <c r="H28" s="92">
        <v>8.2191780821917804E-2</v>
      </c>
      <c r="I28" s="92">
        <v>0</v>
      </c>
      <c r="J28" s="92">
        <v>0.35</v>
      </c>
      <c r="K28" s="92">
        <v>-5.5717343342945043</v>
      </c>
      <c r="L28" s="92"/>
      <c r="M28" s="92">
        <v>0</v>
      </c>
      <c r="N28" s="99">
        <v>5.5717343342945043</v>
      </c>
      <c r="O28" s="92">
        <v>460.5</v>
      </c>
      <c r="P28" s="92" t="s">
        <v>39</v>
      </c>
      <c r="Q28" s="92">
        <v>-1</v>
      </c>
      <c r="R28" s="92" t="s">
        <v>20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244</v>
      </c>
      <c r="D30" s="93">
        <v>43255</v>
      </c>
      <c r="E30" s="93">
        <v>43285</v>
      </c>
      <c r="F30" s="92">
        <v>9000</v>
      </c>
      <c r="G30" s="92">
        <v>30</v>
      </c>
      <c r="H30" s="92">
        <v>8.2191780821917804E-2</v>
      </c>
      <c r="I30" s="92">
        <v>0</v>
      </c>
      <c r="J30" s="92">
        <v>0.31</v>
      </c>
      <c r="K30" s="92">
        <v>-180.66464906178908</v>
      </c>
      <c r="L30" s="92"/>
      <c r="M30" s="92">
        <v>0</v>
      </c>
      <c r="N30" s="99">
        <v>180.66464906178908</v>
      </c>
      <c r="O30" s="92">
        <v>9346</v>
      </c>
      <c r="P30" s="92" t="s">
        <v>85</v>
      </c>
      <c r="Q30" s="92">
        <v>-1</v>
      </c>
      <c r="R30" s="92" t="s">
        <v>20</v>
      </c>
    </row>
    <row r="31" spans="2:18" x14ac:dyDescent="0.15">
      <c r="B31" s="92" t="s">
        <v>160</v>
      </c>
      <c r="C31" s="92" t="s">
        <v>244</v>
      </c>
      <c r="D31" s="93">
        <v>43255</v>
      </c>
      <c r="E31" s="93">
        <v>43316</v>
      </c>
      <c r="F31" s="92">
        <v>9000</v>
      </c>
      <c r="G31" s="92">
        <v>61</v>
      </c>
      <c r="H31" s="92">
        <v>0.16712328767123288</v>
      </c>
      <c r="I31" s="92">
        <v>0</v>
      </c>
      <c r="J31" s="92">
        <v>0.31</v>
      </c>
      <c r="K31" s="92">
        <v>-309.77408623978454</v>
      </c>
      <c r="L31" s="92"/>
      <c r="M31" s="92">
        <v>0</v>
      </c>
      <c r="N31" s="99">
        <v>309.77408623978454</v>
      </c>
      <c r="O31" s="92">
        <v>9346</v>
      </c>
      <c r="P31" s="92" t="s">
        <v>85</v>
      </c>
      <c r="Q31" s="92">
        <v>-1</v>
      </c>
      <c r="R31" s="92" t="s">
        <v>20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hidden="1" x14ac:dyDescent="0.15">
      <c r="B33" s="92" t="s">
        <v>160</v>
      </c>
      <c r="C33" s="92" t="s">
        <v>230</v>
      </c>
      <c r="D33" s="93">
        <v>43256</v>
      </c>
      <c r="E33" s="93">
        <v>43280</v>
      </c>
      <c r="F33" s="92">
        <v>52230</v>
      </c>
      <c r="G33" s="92">
        <v>24</v>
      </c>
      <c r="H33" s="92">
        <v>6.575342465753424E-2</v>
      </c>
      <c r="I33" s="92">
        <v>0</v>
      </c>
      <c r="J33" s="92">
        <v>0.1275</v>
      </c>
      <c r="K33" s="92">
        <v>190.50384453499828</v>
      </c>
      <c r="L33" s="92">
        <v>30</v>
      </c>
      <c r="M33" s="92">
        <v>10.592876712328767</v>
      </c>
      <c r="N33" s="99">
        <v>179.91096782266951</v>
      </c>
      <c r="O33" s="92">
        <v>53700</v>
      </c>
      <c r="P33" s="92" t="s">
        <v>85</v>
      </c>
      <c r="Q33" s="92">
        <v>1</v>
      </c>
      <c r="R33" s="92" t="s">
        <v>151</v>
      </c>
    </row>
    <row r="34" spans="2:18" x14ac:dyDescent="0.15">
      <c r="B34" s="92" t="s">
        <v>160</v>
      </c>
      <c r="C34" s="92" t="s">
        <v>249</v>
      </c>
      <c r="D34" s="93">
        <v>43256</v>
      </c>
      <c r="E34" s="93">
        <v>43286</v>
      </c>
      <c r="F34" s="92">
        <v>19950</v>
      </c>
      <c r="G34" s="92">
        <v>30</v>
      </c>
      <c r="H34" s="92">
        <v>8.2191780821917804E-2</v>
      </c>
      <c r="I34" s="92">
        <v>0</v>
      </c>
      <c r="J34" s="92">
        <v>0.28999999999999998</v>
      </c>
      <c r="K34" s="92">
        <v>-79.390863783723262</v>
      </c>
      <c r="L34" s="92"/>
      <c r="M34" s="92">
        <v>0</v>
      </c>
      <c r="N34" s="99">
        <v>79.390863783723262</v>
      </c>
      <c r="O34" s="92">
        <v>17980</v>
      </c>
      <c r="P34" s="92" t="s">
        <v>39</v>
      </c>
      <c r="Q34" s="92">
        <v>-1</v>
      </c>
      <c r="R34" s="92" t="s">
        <v>20</v>
      </c>
    </row>
    <row r="35" spans="2:18" ht="12" thickBot="1" x14ac:dyDescent="0.2">
      <c r="B35" s="182" t="s">
        <v>2</v>
      </c>
      <c r="C35" s="183" t="s">
        <v>181</v>
      </c>
      <c r="D35" s="183" t="s">
        <v>180</v>
      </c>
      <c r="E35" s="183" t="s">
        <v>10</v>
      </c>
      <c r="F35" s="183" t="s">
        <v>184</v>
      </c>
      <c r="G35" s="183" t="s">
        <v>11</v>
      </c>
      <c r="H35" s="183" t="s">
        <v>12</v>
      </c>
      <c r="I35" s="183" t="s">
        <v>47</v>
      </c>
      <c r="J35" s="183" t="s">
        <v>13</v>
      </c>
      <c r="K35" s="183" t="s">
        <v>14</v>
      </c>
      <c r="L35" s="183" t="s">
        <v>26</v>
      </c>
      <c r="M35" s="183" t="s">
        <v>28</v>
      </c>
      <c r="N35" s="183" t="s">
        <v>182</v>
      </c>
      <c r="O35" s="183" t="s">
        <v>8</v>
      </c>
      <c r="P35" s="183" t="s">
        <v>23</v>
      </c>
      <c r="Q35" s="183"/>
      <c r="R35" s="183" t="s">
        <v>30</v>
      </c>
    </row>
    <row r="36" spans="2:18" x14ac:dyDescent="0.15">
      <c r="B36" s="184" t="s">
        <v>160</v>
      </c>
      <c r="C36" s="185" t="s">
        <v>251</v>
      </c>
      <c r="D36" s="186">
        <v>43256</v>
      </c>
      <c r="E36" s="186">
        <v>43285</v>
      </c>
      <c r="F36" s="185">
        <v>100</v>
      </c>
      <c r="G36" s="185">
        <v>29</v>
      </c>
      <c r="H36" s="185">
        <v>7.9452054794520555E-2</v>
      </c>
      <c r="I36" s="185">
        <v>0</v>
      </c>
      <c r="J36" s="185">
        <v>0.09</v>
      </c>
      <c r="K36" s="185">
        <v>1.0104233752708041</v>
      </c>
      <c r="L36" s="185"/>
      <c r="M36" s="185">
        <v>0</v>
      </c>
      <c r="N36" s="187">
        <v>1.0104233752708041</v>
      </c>
      <c r="O36" s="185">
        <v>100</v>
      </c>
      <c r="P36" s="185" t="s">
        <v>39</v>
      </c>
      <c r="Q36" s="185">
        <v>1</v>
      </c>
      <c r="R36" s="188" t="s">
        <v>151</v>
      </c>
    </row>
    <row r="37" spans="2:18" ht="12" thickBot="1" x14ac:dyDescent="0.2">
      <c r="B37" s="189" t="s">
        <v>160</v>
      </c>
      <c r="C37" s="190" t="s">
        <v>251</v>
      </c>
      <c r="D37" s="191">
        <v>43256</v>
      </c>
      <c r="E37" s="191">
        <v>43313</v>
      </c>
      <c r="F37" s="190">
        <v>100</v>
      </c>
      <c r="G37" s="190">
        <v>57</v>
      </c>
      <c r="H37" s="190">
        <v>0.15616438356164383</v>
      </c>
      <c r="I37" s="190">
        <v>0</v>
      </c>
      <c r="J37" s="190">
        <v>9.5000000000000001E-2</v>
      </c>
      <c r="K37" s="190">
        <v>1.492941316345636</v>
      </c>
      <c r="L37" s="190"/>
      <c r="M37" s="190">
        <v>0</v>
      </c>
      <c r="N37" s="192">
        <v>1.492941316345636</v>
      </c>
      <c r="O37" s="190">
        <v>100</v>
      </c>
      <c r="P37" s="190" t="s">
        <v>39</v>
      </c>
      <c r="Q37" s="190">
        <v>1</v>
      </c>
      <c r="R37" s="193" t="s">
        <v>151</v>
      </c>
    </row>
    <row r="38" spans="2:18" x14ac:dyDescent="0.15">
      <c r="B38" s="184" t="s">
        <v>160</v>
      </c>
      <c r="C38" s="185" t="s">
        <v>253</v>
      </c>
      <c r="D38" s="186">
        <v>43256</v>
      </c>
      <c r="E38" s="186">
        <v>43285</v>
      </c>
      <c r="F38" s="185">
        <v>100</v>
      </c>
      <c r="G38" s="185">
        <v>29</v>
      </c>
      <c r="H38" s="185">
        <v>7.9452054794520555E-2</v>
      </c>
      <c r="I38" s="185">
        <v>0</v>
      </c>
      <c r="J38" s="185">
        <v>0.20499999999999999</v>
      </c>
      <c r="K38" s="185">
        <v>2.3012614610915776</v>
      </c>
      <c r="L38" s="185"/>
      <c r="M38" s="185">
        <v>0</v>
      </c>
      <c r="N38" s="187">
        <v>2.3012614610915776</v>
      </c>
      <c r="O38" s="185">
        <v>100</v>
      </c>
      <c r="P38" s="185" t="s">
        <v>39</v>
      </c>
      <c r="Q38" s="185">
        <v>1</v>
      </c>
      <c r="R38" s="188" t="s">
        <v>151</v>
      </c>
    </row>
    <row r="39" spans="2:18" ht="12" thickBot="1" x14ac:dyDescent="0.2">
      <c r="B39" s="189" t="s">
        <v>160</v>
      </c>
      <c r="C39" s="190" t="s">
        <v>253</v>
      </c>
      <c r="D39" s="191">
        <v>43256</v>
      </c>
      <c r="E39" s="191">
        <v>43313</v>
      </c>
      <c r="F39" s="190">
        <v>100</v>
      </c>
      <c r="G39" s="190">
        <v>57</v>
      </c>
      <c r="H39" s="190">
        <v>0.15616438356164383</v>
      </c>
      <c r="I39" s="190">
        <v>0</v>
      </c>
      <c r="J39" s="190">
        <v>0.20499999999999999</v>
      </c>
      <c r="K39" s="190">
        <v>3.2209186115487185</v>
      </c>
      <c r="L39" s="190"/>
      <c r="M39" s="190">
        <v>0</v>
      </c>
      <c r="N39" s="192">
        <v>3.2209186115487185</v>
      </c>
      <c r="O39" s="190">
        <v>100</v>
      </c>
      <c r="P39" s="190" t="s">
        <v>39</v>
      </c>
      <c r="Q39" s="190">
        <v>1</v>
      </c>
      <c r="R39" s="193" t="s">
        <v>151</v>
      </c>
    </row>
    <row r="40" spans="2:18" x14ac:dyDescent="0.15">
      <c r="B40" s="184" t="s">
        <v>160</v>
      </c>
      <c r="C40" s="185" t="s">
        <v>254</v>
      </c>
      <c r="D40" s="186">
        <v>43256</v>
      </c>
      <c r="E40" s="186">
        <v>43285</v>
      </c>
      <c r="F40" s="185">
        <v>100</v>
      </c>
      <c r="G40" s="185">
        <v>29</v>
      </c>
      <c r="H40" s="185">
        <v>7.9452054794520555E-2</v>
      </c>
      <c r="I40" s="185">
        <v>0</v>
      </c>
      <c r="J40" s="185">
        <v>0.125</v>
      </c>
      <c r="K40" s="185">
        <v>1.403330840532206</v>
      </c>
      <c r="L40" s="185"/>
      <c r="M40" s="185">
        <v>0</v>
      </c>
      <c r="N40" s="187">
        <v>1.403330840532206</v>
      </c>
      <c r="O40" s="185">
        <v>100</v>
      </c>
      <c r="P40" s="185" t="s">
        <v>39</v>
      </c>
      <c r="Q40" s="185">
        <v>1</v>
      </c>
      <c r="R40" s="188" t="s">
        <v>151</v>
      </c>
    </row>
    <row r="41" spans="2:18" x14ac:dyDescent="0.15">
      <c r="B41" s="194" t="s">
        <v>160</v>
      </c>
      <c r="C41" s="195" t="s">
        <v>254</v>
      </c>
      <c r="D41" s="196">
        <v>43256</v>
      </c>
      <c r="E41" s="196">
        <v>43285</v>
      </c>
      <c r="F41" s="195">
        <v>100</v>
      </c>
      <c r="G41" s="195">
        <v>29</v>
      </c>
      <c r="H41" s="195">
        <v>7.9452054794520555E-2</v>
      </c>
      <c r="I41" s="195">
        <v>0</v>
      </c>
      <c r="J41" s="195">
        <v>0.17499999999999999</v>
      </c>
      <c r="K41" s="195">
        <v>-1.9645656248129484</v>
      </c>
      <c r="L41" s="195"/>
      <c r="M41" s="195">
        <v>0</v>
      </c>
      <c r="N41" s="197">
        <v>1.9645656248129484</v>
      </c>
      <c r="O41" s="195">
        <v>100</v>
      </c>
      <c r="P41" s="195" t="s">
        <v>39</v>
      </c>
      <c r="Q41" s="195">
        <v>-1</v>
      </c>
      <c r="R41" s="198" t="s">
        <v>20</v>
      </c>
    </row>
    <row r="42" spans="2:18" x14ac:dyDescent="0.15">
      <c r="B42" s="194" t="s">
        <v>160</v>
      </c>
      <c r="C42" s="195" t="s">
        <v>254</v>
      </c>
      <c r="D42" s="196">
        <v>43256</v>
      </c>
      <c r="E42" s="196">
        <v>43313</v>
      </c>
      <c r="F42" s="195">
        <v>100</v>
      </c>
      <c r="G42" s="195">
        <v>57</v>
      </c>
      <c r="H42" s="195">
        <v>0.15616438356164383</v>
      </c>
      <c r="I42" s="195">
        <v>0</v>
      </c>
      <c r="J42" s="195">
        <v>0.13500000000000001</v>
      </c>
      <c r="K42" s="195">
        <v>2.1214211969258798</v>
      </c>
      <c r="L42" s="195"/>
      <c r="M42" s="195">
        <v>0</v>
      </c>
      <c r="N42" s="197">
        <v>2.1214211969258798</v>
      </c>
      <c r="O42" s="195">
        <v>100</v>
      </c>
      <c r="P42" s="195" t="s">
        <v>39</v>
      </c>
      <c r="Q42" s="195">
        <v>1</v>
      </c>
      <c r="R42" s="198" t="s">
        <v>151</v>
      </c>
    </row>
    <row r="43" spans="2:18" ht="12" thickBot="1" x14ac:dyDescent="0.2">
      <c r="B43" s="189" t="s">
        <v>160</v>
      </c>
      <c r="C43" s="190" t="s">
        <v>254</v>
      </c>
      <c r="D43" s="191">
        <v>43256</v>
      </c>
      <c r="E43" s="191">
        <v>43313</v>
      </c>
      <c r="F43" s="190">
        <v>100</v>
      </c>
      <c r="G43" s="190">
        <v>57</v>
      </c>
      <c r="H43" s="190">
        <v>0.15616438356164383</v>
      </c>
      <c r="I43" s="190">
        <v>0</v>
      </c>
      <c r="J43" s="190">
        <v>0.19</v>
      </c>
      <c r="K43" s="190">
        <v>-2.9853567090553241</v>
      </c>
      <c r="L43" s="190"/>
      <c r="M43" s="190">
        <v>0</v>
      </c>
      <c r="N43" s="192">
        <v>2.9853567090553241</v>
      </c>
      <c r="O43" s="190">
        <v>100</v>
      </c>
      <c r="P43" s="190" t="s">
        <v>39</v>
      </c>
      <c r="Q43" s="190">
        <v>-1</v>
      </c>
      <c r="R43" s="193" t="s">
        <v>20</v>
      </c>
    </row>
    <row r="44" spans="2:18" x14ac:dyDescent="0.15">
      <c r="B44" s="184" t="s">
        <v>160</v>
      </c>
      <c r="C44" s="185" t="s">
        <v>256</v>
      </c>
      <c r="D44" s="186">
        <v>43256</v>
      </c>
      <c r="E44" s="186">
        <v>43285</v>
      </c>
      <c r="F44" s="185">
        <v>100</v>
      </c>
      <c r="G44" s="185">
        <v>29</v>
      </c>
      <c r="H44" s="185">
        <v>7.9452054794520555E-2</v>
      </c>
      <c r="I44" s="185">
        <v>0</v>
      </c>
      <c r="J44" s="185">
        <v>0.215</v>
      </c>
      <c r="K44" s="185">
        <v>2.4134845640644613</v>
      </c>
      <c r="L44" s="185"/>
      <c r="M44" s="185">
        <v>0</v>
      </c>
      <c r="N44" s="187">
        <v>2.4134845640644613</v>
      </c>
      <c r="O44" s="185">
        <v>100</v>
      </c>
      <c r="P44" s="185" t="s">
        <v>39</v>
      </c>
      <c r="Q44" s="185">
        <v>1</v>
      </c>
      <c r="R44" s="188" t="s">
        <v>151</v>
      </c>
    </row>
    <row r="45" spans="2:18" ht="12" thickBot="1" x14ac:dyDescent="0.2">
      <c r="B45" s="189" t="s">
        <v>160</v>
      </c>
      <c r="C45" s="190" t="s">
        <v>256</v>
      </c>
      <c r="D45" s="191">
        <v>43256</v>
      </c>
      <c r="E45" s="191">
        <v>43285</v>
      </c>
      <c r="F45" s="190">
        <v>100</v>
      </c>
      <c r="G45" s="190">
        <v>29</v>
      </c>
      <c r="H45" s="190">
        <v>7.9452054794520555E-2</v>
      </c>
      <c r="I45" s="190">
        <v>0</v>
      </c>
      <c r="J45" s="190">
        <v>0.28499999999999998</v>
      </c>
      <c r="K45" s="190">
        <v>-3.1988996284107571</v>
      </c>
      <c r="L45" s="190"/>
      <c r="M45" s="190">
        <v>0</v>
      </c>
      <c r="N45" s="192">
        <v>3.1988996284107571</v>
      </c>
      <c r="O45" s="190">
        <v>100</v>
      </c>
      <c r="P45" s="190" t="s">
        <v>39</v>
      </c>
      <c r="Q45" s="190">
        <v>-1</v>
      </c>
      <c r="R45" s="193" t="s">
        <v>20</v>
      </c>
    </row>
    <row r="46" spans="2:18" x14ac:dyDescent="0.15">
      <c r="B46" s="184" t="s">
        <v>160</v>
      </c>
      <c r="C46" s="185" t="s">
        <v>257</v>
      </c>
      <c r="D46" s="186">
        <v>43256</v>
      </c>
      <c r="E46" s="186">
        <v>43285</v>
      </c>
      <c r="F46" s="185">
        <v>100</v>
      </c>
      <c r="G46" s="185">
        <v>29</v>
      </c>
      <c r="H46" s="185">
        <v>7.9452054794520555E-2</v>
      </c>
      <c r="I46" s="185">
        <v>0</v>
      </c>
      <c r="J46" s="185">
        <v>0.20499999999999999</v>
      </c>
      <c r="K46" s="185">
        <v>2.3012614610915776</v>
      </c>
      <c r="L46" s="185"/>
      <c r="M46" s="185">
        <v>0</v>
      </c>
      <c r="N46" s="187">
        <v>2.3012614610915776</v>
      </c>
      <c r="O46" s="185">
        <v>100</v>
      </c>
      <c r="P46" s="185" t="s">
        <v>39</v>
      </c>
      <c r="Q46" s="185">
        <v>1</v>
      </c>
      <c r="R46" s="188" t="s">
        <v>151</v>
      </c>
    </row>
    <row r="47" spans="2:18" ht="12" thickBot="1" x14ac:dyDescent="0.2">
      <c r="B47" s="189" t="s">
        <v>160</v>
      </c>
      <c r="C47" s="190" t="s">
        <v>257</v>
      </c>
      <c r="D47" s="191">
        <v>43256</v>
      </c>
      <c r="E47" s="191">
        <v>43285</v>
      </c>
      <c r="F47" s="190">
        <v>100</v>
      </c>
      <c r="G47" s="190">
        <v>29</v>
      </c>
      <c r="H47" s="190">
        <v>7.9452054794520555E-2</v>
      </c>
      <c r="I47" s="190">
        <v>0</v>
      </c>
      <c r="J47" s="190">
        <v>0.27500000000000002</v>
      </c>
      <c r="K47" s="190">
        <v>-3.0867147477978421</v>
      </c>
      <c r="L47" s="190"/>
      <c r="M47" s="190">
        <v>0</v>
      </c>
      <c r="N47" s="192">
        <v>3.0867147477978421</v>
      </c>
      <c r="O47" s="190">
        <v>100</v>
      </c>
      <c r="P47" s="190" t="s">
        <v>39</v>
      </c>
      <c r="Q47" s="190">
        <v>-1</v>
      </c>
      <c r="R47" s="193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5" t="s">
        <v>37</v>
      </c>
      <c r="C1" s="14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43256</v>
      </c>
      <c r="K8" s="21">
        <f ca="1">J8+L8</f>
        <v>43286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43256</v>
      </c>
      <c r="K9" s="8">
        <f ca="1">J9+L9</f>
        <v>43286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43256</v>
      </c>
      <c r="K10" s="8">
        <f ca="1">J10+L10</f>
        <v>43286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7" activePane="bottomLeft" state="frozen"/>
      <selection pane="bottomLeft" activeCell="K97" sqref="K9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6" t="s">
        <v>118</v>
      </c>
      <c r="C1" s="136"/>
    </row>
    <row r="2" spans="2:20" ht="11.25" thickTop="1" x14ac:dyDescent="0.15"/>
    <row r="3" spans="2:20" ht="11.25" thickBot="1" x14ac:dyDescent="0.2">
      <c r="B3" s="137" t="s">
        <v>119</v>
      </c>
      <c r="C3" s="137"/>
      <c r="D3" s="137"/>
      <c r="E3" s="137"/>
      <c r="G3" s="141" t="s">
        <v>120</v>
      </c>
      <c r="H3" s="141"/>
      <c r="I3" s="141"/>
      <c r="J3" s="141"/>
      <c r="L3" s="137" t="s">
        <v>165</v>
      </c>
      <c r="M3" s="137"/>
      <c r="N3" s="137"/>
      <c r="O3" s="137"/>
      <c r="Q3" s="141" t="s">
        <v>166</v>
      </c>
      <c r="R3" s="141"/>
      <c r="S3" s="141"/>
      <c r="T3" s="141"/>
    </row>
    <row r="4" spans="2:20" ht="12" thickTop="1" thickBot="1" x14ac:dyDescent="0.2">
      <c r="B4" s="138" t="s">
        <v>121</v>
      </c>
      <c r="C4" s="138"/>
      <c r="D4" s="138"/>
      <c r="E4" s="138"/>
      <c r="G4" s="138" t="s">
        <v>34</v>
      </c>
      <c r="H4" s="138"/>
      <c r="I4" s="138"/>
      <c r="J4" s="138"/>
      <c r="L4" s="138" t="s">
        <v>121</v>
      </c>
      <c r="M4" s="138"/>
      <c r="N4" s="138"/>
      <c r="O4" s="138"/>
      <c r="Q4" s="138" t="s">
        <v>34</v>
      </c>
      <c r="R4" s="138"/>
      <c r="S4" s="138"/>
      <c r="T4" s="138"/>
    </row>
    <row r="5" spans="2:20" ht="15" customHeight="1" thickTop="1" x14ac:dyDescent="0.15">
      <c r="B5" s="135" t="s">
        <v>122</v>
      </c>
      <c r="C5" s="135"/>
      <c r="D5" s="139"/>
      <c r="E5" s="140"/>
      <c r="G5" s="135" t="s">
        <v>123</v>
      </c>
      <c r="H5" s="135"/>
      <c r="I5" s="103"/>
      <c r="J5" s="104"/>
      <c r="L5" s="101" t="s">
        <v>122</v>
      </c>
      <c r="M5" s="102"/>
      <c r="N5" s="103"/>
      <c r="O5" s="104"/>
      <c r="Q5" s="135" t="s">
        <v>123</v>
      </c>
      <c r="R5" s="135"/>
      <c r="S5" s="103"/>
      <c r="T5" s="104"/>
    </row>
    <row r="6" spans="2:20" x14ac:dyDescent="0.15">
      <c r="B6" s="135" t="s">
        <v>124</v>
      </c>
      <c r="C6" s="135"/>
      <c r="D6" s="133" t="s">
        <v>125</v>
      </c>
      <c r="E6" s="134"/>
      <c r="G6" s="135" t="s">
        <v>126</v>
      </c>
      <c r="H6" s="135"/>
      <c r="I6" s="133"/>
      <c r="J6" s="134"/>
      <c r="L6" s="135" t="s">
        <v>124</v>
      </c>
      <c r="M6" s="135"/>
      <c r="N6" s="133" t="s">
        <v>125</v>
      </c>
      <c r="O6" s="134"/>
      <c r="Q6" s="135" t="s">
        <v>126</v>
      </c>
      <c r="R6" s="135"/>
      <c r="S6" s="133"/>
      <c r="T6" s="134"/>
    </row>
    <row r="7" spans="2:20" ht="2.25" customHeight="1" x14ac:dyDescent="0.15">
      <c r="B7" s="135" t="s">
        <v>127</v>
      </c>
      <c r="C7" s="135"/>
      <c r="D7" s="133" t="s">
        <v>125</v>
      </c>
      <c r="E7" s="134"/>
      <c r="G7" s="135" t="s">
        <v>128</v>
      </c>
      <c r="H7" s="135"/>
      <c r="I7" s="133"/>
      <c r="J7" s="134"/>
      <c r="L7" s="135" t="s">
        <v>127</v>
      </c>
      <c r="M7" s="135"/>
      <c r="N7" s="133" t="s">
        <v>125</v>
      </c>
      <c r="O7" s="134"/>
      <c r="Q7" s="135" t="s">
        <v>128</v>
      </c>
      <c r="R7" s="135"/>
      <c r="S7" s="133"/>
      <c r="T7" s="134"/>
    </row>
    <row r="8" spans="2:20" hidden="1" x14ac:dyDescent="0.15">
      <c r="B8" s="135" t="s">
        <v>129</v>
      </c>
      <c r="C8" s="135"/>
      <c r="D8" s="133">
        <f>D13*D15</f>
        <v>305000</v>
      </c>
      <c r="E8" s="134"/>
      <c r="G8" s="135" t="s">
        <v>130</v>
      </c>
      <c r="H8" s="135"/>
      <c r="I8" s="133"/>
      <c r="J8" s="134"/>
      <c r="L8" s="135" t="s">
        <v>129</v>
      </c>
      <c r="M8" s="135"/>
      <c r="N8" s="133">
        <f>N14*N16</f>
        <v>305000</v>
      </c>
      <c r="O8" s="134"/>
      <c r="Q8" s="135" t="s">
        <v>130</v>
      </c>
      <c r="R8" s="135"/>
      <c r="S8" s="133"/>
      <c r="T8" s="134"/>
    </row>
    <row r="9" spans="2:20" hidden="1" x14ac:dyDescent="0.15">
      <c r="B9" s="135" t="s">
        <v>131</v>
      </c>
      <c r="C9" s="135"/>
      <c r="D9" s="133" t="s">
        <v>132</v>
      </c>
      <c r="E9" s="134"/>
      <c r="G9" s="135" t="s">
        <v>133</v>
      </c>
      <c r="H9" s="135"/>
      <c r="I9" s="133"/>
      <c r="J9" s="134"/>
      <c r="L9" s="135" t="s">
        <v>131</v>
      </c>
      <c r="M9" s="135"/>
      <c r="N9" s="133" t="s">
        <v>132</v>
      </c>
      <c r="O9" s="134"/>
      <c r="Q9" s="135" t="s">
        <v>133</v>
      </c>
      <c r="R9" s="135"/>
      <c r="S9" s="133"/>
      <c r="T9" s="134"/>
    </row>
    <row r="10" spans="2:20" hidden="1" x14ac:dyDescent="0.15">
      <c r="B10" s="135" t="s">
        <v>134</v>
      </c>
      <c r="C10" s="135"/>
      <c r="D10" s="133">
        <v>43084</v>
      </c>
      <c r="E10" s="134"/>
      <c r="G10" s="105" t="s">
        <v>135</v>
      </c>
      <c r="H10" s="105"/>
      <c r="I10" s="133"/>
      <c r="J10" s="134"/>
      <c r="L10" s="135" t="s">
        <v>134</v>
      </c>
      <c r="M10" s="135"/>
      <c r="N10" s="133">
        <v>43084</v>
      </c>
      <c r="O10" s="134"/>
      <c r="Q10" s="105" t="s">
        <v>135</v>
      </c>
      <c r="R10" s="105"/>
      <c r="S10" s="133"/>
      <c r="T10" s="134"/>
    </row>
    <row r="11" spans="2:20" hidden="1" x14ac:dyDescent="0.15">
      <c r="B11" s="135" t="s">
        <v>136</v>
      </c>
      <c r="C11" s="135"/>
      <c r="D11" s="133">
        <v>3935</v>
      </c>
      <c r="E11" s="134"/>
      <c r="G11" s="135" t="s">
        <v>137</v>
      </c>
      <c r="H11" s="135"/>
      <c r="I11" s="133"/>
      <c r="J11" s="134"/>
      <c r="L11" s="135" t="s">
        <v>136</v>
      </c>
      <c r="M11" s="135"/>
      <c r="N11" s="133">
        <v>3935</v>
      </c>
      <c r="O11" s="134"/>
      <c r="Q11" s="135" t="s">
        <v>137</v>
      </c>
      <c r="R11" s="135"/>
      <c r="S11" s="133"/>
      <c r="T11" s="134"/>
    </row>
    <row r="12" spans="2:20" hidden="1" x14ac:dyDescent="0.15">
      <c r="B12" s="135" t="s">
        <v>138</v>
      </c>
      <c r="C12" s="135"/>
      <c r="D12" s="133">
        <v>3800</v>
      </c>
      <c r="E12" s="134"/>
      <c r="G12" s="135" t="s">
        <v>139</v>
      </c>
      <c r="H12" s="135"/>
      <c r="I12" s="133"/>
      <c r="J12" s="134"/>
      <c r="L12" s="135" t="s">
        <v>163</v>
      </c>
      <c r="M12" s="135"/>
      <c r="N12" s="133">
        <v>3800</v>
      </c>
      <c r="O12" s="134"/>
      <c r="Q12" s="135" t="s">
        <v>167</v>
      </c>
      <c r="R12" s="135"/>
      <c r="S12" s="133"/>
      <c r="T12" s="134"/>
    </row>
    <row r="13" spans="2:20" hidden="1" x14ac:dyDescent="0.15">
      <c r="B13" s="135" t="s">
        <v>140</v>
      </c>
      <c r="C13" s="135"/>
      <c r="D13" s="133">
        <v>61</v>
      </c>
      <c r="E13" s="134"/>
      <c r="G13" s="135" t="s">
        <v>141</v>
      </c>
      <c r="H13" s="135"/>
      <c r="I13" s="133"/>
      <c r="J13" s="134"/>
      <c r="L13" s="135" t="s">
        <v>164</v>
      </c>
      <c r="M13" s="135"/>
      <c r="N13" s="133">
        <v>3800</v>
      </c>
      <c r="O13" s="134"/>
      <c r="Q13" s="135" t="s">
        <v>168</v>
      </c>
      <c r="R13" s="135"/>
      <c r="S13" s="133"/>
      <c r="T13" s="134"/>
    </row>
    <row r="14" spans="2:20" hidden="1" x14ac:dyDescent="0.15">
      <c r="B14" s="135" t="s">
        <v>142</v>
      </c>
      <c r="C14" s="135"/>
      <c r="D14" s="133" t="s">
        <v>143</v>
      </c>
      <c r="E14" s="134"/>
      <c r="G14" s="135" t="s">
        <v>144</v>
      </c>
      <c r="H14" s="135"/>
      <c r="I14" s="106"/>
      <c r="J14" s="107"/>
      <c r="L14" s="135" t="s">
        <v>140</v>
      </c>
      <c r="M14" s="135"/>
      <c r="N14" s="133">
        <v>61</v>
      </c>
      <c r="O14" s="134"/>
      <c r="Q14" s="135" t="s">
        <v>141</v>
      </c>
      <c r="R14" s="135"/>
      <c r="S14" s="133"/>
      <c r="T14" s="134"/>
    </row>
    <row r="15" spans="2:20" hidden="1" x14ac:dyDescent="0.15">
      <c r="B15" s="135" t="s">
        <v>145</v>
      </c>
      <c r="C15" s="135"/>
      <c r="D15" s="133">
        <v>5000</v>
      </c>
      <c r="E15" s="134"/>
      <c r="G15" s="135" t="s">
        <v>146</v>
      </c>
      <c r="H15" s="135"/>
      <c r="I15" s="133"/>
      <c r="J15" s="134"/>
      <c r="L15" s="135" t="s">
        <v>142</v>
      </c>
      <c r="M15" s="135"/>
      <c r="N15" s="133" t="s">
        <v>143</v>
      </c>
      <c r="O15" s="134"/>
      <c r="Q15" s="135" t="s">
        <v>144</v>
      </c>
      <c r="R15" s="135"/>
      <c r="S15" s="106"/>
      <c r="T15" s="107"/>
    </row>
    <row r="16" spans="2:20" ht="11.25" hidden="1" thickBot="1" x14ac:dyDescent="0.2">
      <c r="B16" s="130" t="s">
        <v>147</v>
      </c>
      <c r="C16" s="130"/>
      <c r="D16" s="131" t="s">
        <v>148</v>
      </c>
      <c r="E16" s="132"/>
      <c r="G16" s="130" t="s">
        <v>149</v>
      </c>
      <c r="H16" s="130"/>
      <c r="I16" s="131"/>
      <c r="J16" s="132"/>
      <c r="L16" s="135" t="s">
        <v>145</v>
      </c>
      <c r="M16" s="135"/>
      <c r="N16" s="133">
        <v>5000</v>
      </c>
      <c r="O16" s="134"/>
      <c r="Q16" s="135" t="s">
        <v>146</v>
      </c>
      <c r="R16" s="135"/>
      <c r="S16" s="133"/>
      <c r="T16" s="134"/>
    </row>
    <row r="17" spans="2:25" ht="12" hidden="1" thickTop="1" thickBot="1" x14ac:dyDescent="0.2">
      <c r="L17" s="130" t="s">
        <v>147</v>
      </c>
      <c r="M17" s="130"/>
      <c r="N17" s="131" t="s">
        <v>148</v>
      </c>
      <c r="O17" s="132"/>
      <c r="Q17" s="130" t="s">
        <v>149</v>
      </c>
      <c r="R17" s="130"/>
      <c r="S17" s="131"/>
      <c r="T17" s="132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8" t="s">
        <v>220</v>
      </c>
      <c r="C22" s="128"/>
      <c r="D22" s="128"/>
      <c r="E22" s="128"/>
      <c r="G22" s="128" t="s">
        <v>188</v>
      </c>
      <c r="H22" s="128"/>
      <c r="I22" s="128"/>
      <c r="J22" s="128"/>
      <c r="L22" s="138" t="s">
        <v>188</v>
      </c>
      <c r="M22" s="138"/>
      <c r="N22" s="138"/>
      <c r="O22" s="138"/>
      <c r="Q22" s="128" t="s">
        <v>187</v>
      </c>
      <c r="R22" s="128"/>
      <c r="S22" s="128"/>
      <c r="T22" s="128"/>
      <c r="V22" s="138" t="s">
        <v>188</v>
      </c>
      <c r="W22" s="138"/>
      <c r="X22" s="138"/>
      <c r="Y22" s="138"/>
    </row>
    <row r="23" spans="2:25" ht="12" thickTop="1" x14ac:dyDescent="0.15">
      <c r="B23" s="121" t="s">
        <v>122</v>
      </c>
      <c r="C23" s="121"/>
      <c r="D23" s="127">
        <v>43209</v>
      </c>
      <c r="E23" s="129"/>
      <c r="G23" s="121" t="s">
        <v>122</v>
      </c>
      <c r="H23" s="121"/>
      <c r="I23" s="127">
        <f ca="1">TODAY()</f>
        <v>43256</v>
      </c>
      <c r="J23" s="129"/>
      <c r="L23" s="121" t="s">
        <v>122</v>
      </c>
      <c r="M23" s="121"/>
      <c r="N23" s="127">
        <f ca="1">TODAY()</f>
        <v>43256</v>
      </c>
      <c r="O23" s="129"/>
      <c r="Q23" s="121" t="s">
        <v>122</v>
      </c>
      <c r="R23" s="121"/>
      <c r="S23" s="127">
        <f ca="1">TODAY()-1</f>
        <v>43255</v>
      </c>
      <c r="T23" s="129"/>
      <c r="V23" s="121" t="s">
        <v>122</v>
      </c>
      <c r="W23" s="121"/>
      <c r="X23" s="127">
        <f ca="1">TODAY()-1</f>
        <v>43255</v>
      </c>
      <c r="Y23" s="129"/>
    </row>
    <row r="24" spans="2:25" ht="11.25" x14ac:dyDescent="0.15">
      <c r="B24" s="121" t="s">
        <v>124</v>
      </c>
      <c r="C24" s="121"/>
      <c r="D24" s="122" t="s">
        <v>185</v>
      </c>
      <c r="E24" s="123"/>
      <c r="G24" s="121" t="s">
        <v>124</v>
      </c>
      <c r="H24" s="121"/>
      <c r="I24" s="122" t="s">
        <v>185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221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194</v>
      </c>
      <c r="O25" s="123"/>
      <c r="Q25" s="121" t="s">
        <v>127</v>
      </c>
      <c r="R25" s="121"/>
      <c r="S25" s="122" t="s">
        <v>186</v>
      </c>
      <c r="T25" s="123"/>
      <c r="V25" s="121" t="s">
        <v>127</v>
      </c>
      <c r="W25" s="121"/>
      <c r="X25" s="122" t="s">
        <v>186</v>
      </c>
      <c r="Y25" s="123"/>
    </row>
    <row r="26" spans="2:25" ht="11.25" x14ac:dyDescent="0.15">
      <c r="B26" s="121" t="s">
        <v>129</v>
      </c>
      <c r="C26" s="121"/>
      <c r="D26" s="122">
        <f>D31*D33</f>
        <v>290000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190</v>
      </c>
      <c r="E27" s="123"/>
      <c r="F27" s="100">
        <f>1160*250</f>
        <v>290000</v>
      </c>
      <c r="G27" s="121" t="s">
        <v>131</v>
      </c>
      <c r="H27" s="121"/>
      <c r="I27" s="122" t="s">
        <v>196</v>
      </c>
      <c r="J27" s="123"/>
      <c r="L27" s="121" t="s">
        <v>131</v>
      </c>
      <c r="M27" s="121"/>
      <c r="N27" s="122" t="s">
        <v>189</v>
      </c>
      <c r="O27" s="123"/>
      <c r="Q27" s="121" t="s">
        <v>131</v>
      </c>
      <c r="R27" s="121"/>
      <c r="S27" s="122" t="s">
        <v>190</v>
      </c>
      <c r="T27" s="123"/>
      <c r="V27" s="121" t="s">
        <v>131</v>
      </c>
      <c r="W27" s="121"/>
      <c r="X27" s="122" t="s">
        <v>189</v>
      </c>
      <c r="Y27" s="123"/>
    </row>
    <row r="28" spans="2:25" ht="11.25" x14ac:dyDescent="0.15">
      <c r="B28" s="121" t="s">
        <v>134</v>
      </c>
      <c r="C28" s="121"/>
      <c r="D28" s="127">
        <v>43222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108500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110000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1160</v>
      </c>
      <c r="E31" s="123"/>
      <c r="G31" s="121" t="s">
        <v>197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208</v>
      </c>
      <c r="E32" s="123"/>
      <c r="G32" s="121" t="s">
        <v>198</v>
      </c>
      <c r="H32" s="121"/>
      <c r="I32" s="122" t="s">
        <v>195</v>
      </c>
      <c r="J32" s="123"/>
      <c r="L32" s="121" t="s">
        <v>142</v>
      </c>
      <c r="M32" s="121"/>
      <c r="N32" s="122" t="s">
        <v>193</v>
      </c>
      <c r="O32" s="123"/>
      <c r="Q32" s="121" t="s">
        <v>142</v>
      </c>
      <c r="R32" s="121"/>
      <c r="S32" s="122" t="s">
        <v>191</v>
      </c>
      <c r="T32" s="123"/>
      <c r="V32" s="121" t="s">
        <v>142</v>
      </c>
      <c r="W32" s="121"/>
      <c r="X32" s="122" t="s">
        <v>191</v>
      </c>
      <c r="Y32" s="123"/>
    </row>
    <row r="33" spans="2:25" ht="11.25" x14ac:dyDescent="0.15">
      <c r="B33" s="121" t="s">
        <v>145</v>
      </c>
      <c r="C33" s="121"/>
      <c r="D33" s="122">
        <v>250</v>
      </c>
      <c r="E33" s="123"/>
      <c r="G33" s="121" t="s">
        <v>199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28" t="s">
        <v>226</v>
      </c>
      <c r="C36" s="128"/>
      <c r="D36" s="128"/>
      <c r="E36" s="128"/>
      <c r="G36" s="128" t="s">
        <v>227</v>
      </c>
      <c r="H36" s="128"/>
      <c r="I36" s="128"/>
      <c r="J36" s="128"/>
      <c r="L36" s="128" t="s">
        <v>205</v>
      </c>
      <c r="M36" s="128"/>
      <c r="N36" s="128"/>
      <c r="O36" s="128"/>
      <c r="Q36" s="128" t="s">
        <v>121</v>
      </c>
      <c r="R36" s="128"/>
      <c r="S36" s="128"/>
      <c r="T36" s="128"/>
    </row>
    <row r="37" spans="2:25" ht="12" thickTop="1" x14ac:dyDescent="0.15">
      <c r="B37" s="121" t="s">
        <v>122</v>
      </c>
      <c r="C37" s="121"/>
      <c r="D37" s="127">
        <v>43229</v>
      </c>
      <c r="E37" s="129"/>
      <c r="G37" s="121" t="s">
        <v>122</v>
      </c>
      <c r="H37" s="121"/>
      <c r="I37" s="127">
        <v>43229</v>
      </c>
      <c r="J37" s="129"/>
      <c r="L37" s="121" t="s">
        <v>122</v>
      </c>
      <c r="M37" s="121"/>
      <c r="N37" s="127">
        <v>43214</v>
      </c>
      <c r="O37" s="129"/>
      <c r="Q37" s="121" t="s">
        <v>122</v>
      </c>
      <c r="R37" s="121"/>
      <c r="S37" s="127">
        <v>43209</v>
      </c>
      <c r="T37" s="129"/>
    </row>
    <row r="38" spans="2:25" ht="11.25" x14ac:dyDescent="0.15">
      <c r="B38" s="121" t="s">
        <v>124</v>
      </c>
      <c r="C38" s="121"/>
      <c r="D38" s="122" t="s">
        <v>186</v>
      </c>
      <c r="E38" s="123"/>
      <c r="G38" s="121" t="s">
        <v>124</v>
      </c>
      <c r="H38" s="121"/>
      <c r="I38" s="122" t="s">
        <v>186</v>
      </c>
      <c r="J38" s="123"/>
      <c r="L38" s="121" t="s">
        <v>124</v>
      </c>
      <c r="M38" s="121"/>
      <c r="N38" s="122" t="s">
        <v>203</v>
      </c>
      <c r="O38" s="123"/>
      <c r="Q38" s="121" t="s">
        <v>124</v>
      </c>
      <c r="R38" s="121"/>
      <c r="S38" s="122" t="s">
        <v>217</v>
      </c>
      <c r="T38" s="123"/>
    </row>
    <row r="39" spans="2:25" ht="11.25" x14ac:dyDescent="0.15">
      <c r="B39" s="121" t="s">
        <v>127</v>
      </c>
      <c r="C39" s="121"/>
      <c r="D39" s="122" t="s">
        <v>222</v>
      </c>
      <c r="E39" s="123"/>
      <c r="G39" s="121" t="s">
        <v>127</v>
      </c>
      <c r="H39" s="121"/>
      <c r="I39" s="122" t="s">
        <v>203</v>
      </c>
      <c r="J39" s="123"/>
      <c r="L39" s="121" t="s">
        <v>127</v>
      </c>
      <c r="M39" s="121"/>
      <c r="N39" s="122" t="s">
        <v>4</v>
      </c>
      <c r="O39" s="123"/>
      <c r="Q39" s="121" t="s">
        <v>127</v>
      </c>
      <c r="R39" s="121"/>
      <c r="S39" s="122" t="s">
        <v>203</v>
      </c>
      <c r="T39" s="123"/>
    </row>
    <row r="40" spans="2:25" ht="11.25" x14ac:dyDescent="0.15">
      <c r="B40" s="121" t="s">
        <v>179</v>
      </c>
      <c r="C40" s="121"/>
      <c r="D40" s="122">
        <f>D47*D45</f>
        <v>410500.00000000006</v>
      </c>
      <c r="E40" s="123"/>
      <c r="G40" s="121" t="s">
        <v>179</v>
      </c>
      <c r="H40" s="121"/>
      <c r="I40" s="122">
        <f>I45*I47</f>
        <v>410500.00000000006</v>
      </c>
      <c r="J40" s="123"/>
      <c r="L40" s="121" t="s">
        <v>129</v>
      </c>
      <c r="M40" s="121"/>
      <c r="N40" s="122">
        <f>N45*N47</f>
        <v>2117500</v>
      </c>
      <c r="O40" s="123"/>
      <c r="Q40" s="121" t="s">
        <v>179</v>
      </c>
      <c r="R40" s="121"/>
      <c r="S40" s="122">
        <f>S45*S47</f>
        <v>1045200</v>
      </c>
      <c r="T40" s="123"/>
    </row>
    <row r="41" spans="2:25" ht="11.25" x14ac:dyDescent="0.15">
      <c r="B41" s="121" t="s">
        <v>131</v>
      </c>
      <c r="C41" s="121"/>
      <c r="D41" s="122" t="s">
        <v>223</v>
      </c>
      <c r="E41" s="123"/>
      <c r="G41" s="121" t="s">
        <v>131</v>
      </c>
      <c r="H41" s="121"/>
      <c r="I41" s="122" t="s">
        <v>218</v>
      </c>
      <c r="J41" s="123"/>
      <c r="L41" s="121" t="s">
        <v>131</v>
      </c>
      <c r="M41" s="121"/>
      <c r="N41" s="122" t="s">
        <v>207</v>
      </c>
      <c r="O41" s="123"/>
      <c r="Q41" s="121" t="s">
        <v>131</v>
      </c>
      <c r="R41" s="121"/>
      <c r="S41" s="122" t="s">
        <v>218</v>
      </c>
      <c r="T41" s="123"/>
    </row>
    <row r="42" spans="2:25" ht="11.25" x14ac:dyDescent="0.15">
      <c r="B42" s="121" t="s">
        <v>134</v>
      </c>
      <c r="C42" s="121"/>
      <c r="D42" s="127">
        <f>D37+98</f>
        <v>43327</v>
      </c>
      <c r="E42" s="123"/>
      <c r="G42" s="121" t="s">
        <v>134</v>
      </c>
      <c r="H42" s="121"/>
      <c r="I42" s="127">
        <f>I37+98</f>
        <v>43327</v>
      </c>
      <c r="J42" s="123"/>
      <c r="L42" s="121" t="s">
        <v>134</v>
      </c>
      <c r="M42" s="121"/>
      <c r="N42" s="127">
        <v>43266</v>
      </c>
      <c r="O42" s="123"/>
      <c r="Q42" s="121" t="s">
        <v>134</v>
      </c>
      <c r="R42" s="121"/>
      <c r="S42" s="127">
        <v>43266</v>
      </c>
      <c r="T42" s="123"/>
    </row>
    <row r="43" spans="2:25" ht="11.25" x14ac:dyDescent="0.15">
      <c r="B43" s="121" t="s">
        <v>136</v>
      </c>
      <c r="C43" s="121"/>
      <c r="D43" s="122">
        <v>470.5</v>
      </c>
      <c r="E43" s="123"/>
      <c r="G43" s="121" t="s">
        <v>136</v>
      </c>
      <c r="H43" s="121"/>
      <c r="I43" s="122">
        <v>470.5</v>
      </c>
      <c r="J43" s="123"/>
      <c r="L43" s="121" t="s">
        <v>136</v>
      </c>
      <c r="M43" s="142"/>
      <c r="N43" s="122">
        <v>14535</v>
      </c>
      <c r="O43" s="123"/>
      <c r="Q43" s="121" t="s">
        <v>136</v>
      </c>
      <c r="R43" s="121"/>
      <c r="S43" s="122">
        <v>15250</v>
      </c>
      <c r="T43" s="123"/>
    </row>
    <row r="44" spans="2:25" ht="11.25" x14ac:dyDescent="0.15">
      <c r="B44" s="121" t="s">
        <v>138</v>
      </c>
      <c r="C44" s="121"/>
      <c r="D44" s="122">
        <v>470.5</v>
      </c>
      <c r="E44" s="123"/>
      <c r="F44" s="100">
        <f>D44*1.55/100</f>
        <v>7.2927499999999998</v>
      </c>
      <c r="G44" s="121" t="s">
        <v>138</v>
      </c>
      <c r="H44" s="121"/>
      <c r="I44" s="122">
        <v>470.5</v>
      </c>
      <c r="J44" s="123"/>
      <c r="L44" s="121" t="s">
        <v>138</v>
      </c>
      <c r="M44" s="121"/>
      <c r="N44" s="122">
        <v>14500</v>
      </c>
      <c r="O44" s="123"/>
      <c r="Q44" s="121" t="s">
        <v>138</v>
      </c>
      <c r="R44" s="121"/>
      <c r="S44" s="122">
        <v>14500</v>
      </c>
      <c r="T44" s="123"/>
    </row>
    <row r="45" spans="2:25" ht="11.25" x14ac:dyDescent="0.15">
      <c r="B45" s="121" t="s">
        <v>140</v>
      </c>
      <c r="C45" s="121"/>
      <c r="D45" s="122">
        <v>32.840000000000003</v>
      </c>
      <c r="E45" s="123"/>
      <c r="G45" s="121" t="s">
        <v>140</v>
      </c>
      <c r="H45" s="121"/>
      <c r="I45" s="122">
        <v>32.840000000000003</v>
      </c>
      <c r="J45" s="123"/>
      <c r="L45" s="121" t="s">
        <v>140</v>
      </c>
      <c r="M45" s="121"/>
      <c r="N45" s="122">
        <v>423.5</v>
      </c>
      <c r="O45" s="123"/>
      <c r="Q45" s="121" t="s">
        <v>197</v>
      </c>
      <c r="R45" s="121"/>
      <c r="S45" s="122">
        <v>209.04</v>
      </c>
      <c r="T45" s="123"/>
    </row>
    <row r="46" spans="2:25" ht="11.25" x14ac:dyDescent="0.15">
      <c r="B46" s="121" t="s">
        <v>198</v>
      </c>
      <c r="C46" s="121"/>
      <c r="D46" s="122" t="s">
        <v>201</v>
      </c>
      <c r="E46" s="123"/>
      <c r="G46" s="121" t="s">
        <v>142</v>
      </c>
      <c r="H46" s="121"/>
      <c r="I46" s="122" t="s">
        <v>201</v>
      </c>
      <c r="J46" s="123"/>
      <c r="L46" s="121" t="s">
        <v>142</v>
      </c>
      <c r="M46" s="121"/>
      <c r="N46" s="122" t="s">
        <v>209</v>
      </c>
      <c r="O46" s="123"/>
      <c r="Q46" s="121" t="s">
        <v>142</v>
      </c>
      <c r="R46" s="121"/>
      <c r="S46" s="122" t="s">
        <v>219</v>
      </c>
      <c r="T46" s="123"/>
    </row>
    <row r="47" spans="2:25" ht="11.25" x14ac:dyDescent="0.15">
      <c r="B47" s="121" t="s">
        <v>145</v>
      </c>
      <c r="C47" s="121"/>
      <c r="D47" s="122">
        <v>12500</v>
      </c>
      <c r="E47" s="123"/>
      <c r="G47" s="121" t="s">
        <v>145</v>
      </c>
      <c r="H47" s="121"/>
      <c r="I47" s="122">
        <v>12500</v>
      </c>
      <c r="J47" s="123"/>
      <c r="L47" s="121" t="s">
        <v>145</v>
      </c>
      <c r="M47" s="121"/>
      <c r="N47" s="122">
        <v>5000</v>
      </c>
      <c r="O47" s="123"/>
      <c r="Q47" s="121" t="s">
        <v>145</v>
      </c>
      <c r="R47" s="121"/>
      <c r="S47" s="122">
        <v>5000</v>
      </c>
      <c r="T47" s="123"/>
    </row>
    <row r="48" spans="2:25" ht="12" thickBot="1" x14ac:dyDescent="0.2">
      <c r="B48" s="124" t="s">
        <v>147</v>
      </c>
      <c r="C48" s="124"/>
      <c r="D48" s="125" t="s">
        <v>224</v>
      </c>
      <c r="E48" s="126"/>
      <c r="G48" s="124" t="s">
        <v>147</v>
      </c>
      <c r="H48" s="124"/>
      <c r="I48" s="125" t="s">
        <v>206</v>
      </c>
      <c r="J48" s="126"/>
      <c r="L48" s="124" t="s">
        <v>147</v>
      </c>
      <c r="M48" s="124"/>
      <c r="N48" s="125" t="s">
        <v>204</v>
      </c>
      <c r="O48" s="126"/>
      <c r="Q48" s="124" t="s">
        <v>147</v>
      </c>
      <c r="R48" s="124"/>
      <c r="S48" s="125" t="s">
        <v>206</v>
      </c>
      <c r="T48" s="126"/>
    </row>
    <row r="49" spans="2:20" ht="12.75" thickTop="1" thickBot="1" x14ac:dyDescent="0.2">
      <c r="B49" s="128" t="s">
        <v>121</v>
      </c>
      <c r="C49" s="128"/>
      <c r="D49" s="128"/>
      <c r="E49" s="128"/>
      <c r="G49" s="128" t="s">
        <v>205</v>
      </c>
      <c r="H49" s="128"/>
      <c r="I49" s="128"/>
      <c r="J49" s="128"/>
      <c r="L49" s="128" t="s">
        <v>188</v>
      </c>
      <c r="M49" s="128"/>
      <c r="N49" s="128"/>
      <c r="O49" s="128"/>
      <c r="Q49" s="128" t="s">
        <v>234</v>
      </c>
      <c r="R49" s="128"/>
      <c r="S49" s="128"/>
      <c r="T49" s="128"/>
    </row>
    <row r="50" spans="2:20" ht="12" thickTop="1" x14ac:dyDescent="0.15">
      <c r="B50" s="121" t="s">
        <v>122</v>
      </c>
      <c r="C50" s="121"/>
      <c r="D50" s="127">
        <v>43235</v>
      </c>
      <c r="E50" s="129"/>
      <c r="G50" s="121" t="s">
        <v>122</v>
      </c>
      <c r="H50" s="121"/>
      <c r="I50" s="127">
        <v>43236</v>
      </c>
      <c r="J50" s="129"/>
      <c r="L50" s="121" t="s">
        <v>122</v>
      </c>
      <c r="M50" s="121"/>
      <c r="N50" s="127">
        <v>43237</v>
      </c>
      <c r="O50" s="129"/>
      <c r="Q50" s="121" t="s">
        <v>122</v>
      </c>
      <c r="R50" s="121"/>
      <c r="S50" s="127">
        <v>43237</v>
      </c>
      <c r="T50" s="129"/>
    </row>
    <row r="51" spans="2:20" ht="11.25" x14ac:dyDescent="0.15">
      <c r="B51" s="121" t="s">
        <v>124</v>
      </c>
      <c r="C51" s="121"/>
      <c r="D51" s="122" t="s">
        <v>222</v>
      </c>
      <c r="E51" s="123"/>
      <c r="G51" s="121" t="s">
        <v>124</v>
      </c>
      <c r="H51" s="121"/>
      <c r="I51" s="122" t="s">
        <v>203</v>
      </c>
      <c r="J51" s="123"/>
      <c r="L51" s="121" t="s">
        <v>124</v>
      </c>
      <c r="M51" s="121"/>
      <c r="N51" s="122" t="s">
        <v>4</v>
      </c>
      <c r="O51" s="123"/>
      <c r="Q51" s="121" t="s">
        <v>124</v>
      </c>
      <c r="R51" s="121"/>
      <c r="S51" s="122" t="s">
        <v>4</v>
      </c>
      <c r="T51" s="123"/>
    </row>
    <row r="52" spans="2:20" ht="11.25" x14ac:dyDescent="0.15">
      <c r="B52" s="121" t="s">
        <v>127</v>
      </c>
      <c r="C52" s="121"/>
      <c r="D52" s="122" t="s">
        <v>232</v>
      </c>
      <c r="E52" s="123"/>
      <c r="G52" s="121" t="s">
        <v>127</v>
      </c>
      <c r="H52" s="121"/>
      <c r="I52" s="122" t="s">
        <v>4</v>
      </c>
      <c r="J52" s="123"/>
      <c r="L52" s="121" t="s">
        <v>127</v>
      </c>
      <c r="M52" s="121"/>
      <c r="N52" s="122" t="s">
        <v>36</v>
      </c>
      <c r="O52" s="123"/>
      <c r="Q52" s="121" t="s">
        <v>127</v>
      </c>
      <c r="R52" s="121"/>
      <c r="S52" s="122" t="s">
        <v>36</v>
      </c>
      <c r="T52" s="123"/>
    </row>
    <row r="53" spans="2:20" ht="11.25" x14ac:dyDescent="0.15">
      <c r="B53" s="121" t="s">
        <v>179</v>
      </c>
      <c r="C53" s="121"/>
      <c r="D53" s="122">
        <f>D58*D60</f>
        <v>280000</v>
      </c>
      <c r="E53" s="123"/>
      <c r="G53" s="121" t="s">
        <v>129</v>
      </c>
      <c r="H53" s="121"/>
      <c r="I53" s="122">
        <f>I58*I60</f>
        <v>936000</v>
      </c>
      <c r="J53" s="123"/>
      <c r="L53" s="121" t="s">
        <v>179</v>
      </c>
      <c r="M53" s="121"/>
      <c r="N53" s="122">
        <f>N58*N60</f>
        <v>1272000</v>
      </c>
      <c r="O53" s="123"/>
      <c r="Q53" s="121" t="s">
        <v>179</v>
      </c>
      <c r="R53" s="121"/>
      <c r="S53" s="122">
        <f>S58*S60</f>
        <v>1230000</v>
      </c>
      <c r="T53" s="123"/>
    </row>
    <row r="54" spans="2:20" ht="11.25" x14ac:dyDescent="0.15">
      <c r="B54" s="121" t="s">
        <v>131</v>
      </c>
      <c r="C54" s="121"/>
      <c r="D54" s="122" t="s">
        <v>189</v>
      </c>
      <c r="E54" s="123"/>
      <c r="G54" s="121" t="s">
        <v>131</v>
      </c>
      <c r="H54" s="121"/>
      <c r="I54" s="122" t="s">
        <v>207</v>
      </c>
      <c r="J54" s="123"/>
      <c r="L54" s="121" t="s">
        <v>131</v>
      </c>
      <c r="M54" s="121"/>
      <c r="N54" s="122" t="s">
        <v>132</v>
      </c>
      <c r="O54" s="123"/>
      <c r="Q54" s="121" t="s">
        <v>131</v>
      </c>
      <c r="R54" s="121"/>
      <c r="S54" s="122" t="s">
        <v>132</v>
      </c>
      <c r="T54" s="123"/>
    </row>
    <row r="55" spans="2:20" ht="11.25" x14ac:dyDescent="0.15">
      <c r="B55" s="121" t="s">
        <v>134</v>
      </c>
      <c r="C55" s="121"/>
      <c r="D55" s="127">
        <f>D50+87</f>
        <v>43322</v>
      </c>
      <c r="E55" s="123"/>
      <c r="G55" s="121" t="s">
        <v>134</v>
      </c>
      <c r="H55" s="121"/>
      <c r="I55" s="127">
        <v>43294</v>
      </c>
      <c r="J55" s="123"/>
      <c r="L55" s="121" t="s">
        <v>134</v>
      </c>
      <c r="M55" s="121"/>
      <c r="N55" s="127">
        <f>N50+85</f>
        <v>43322</v>
      </c>
      <c r="O55" s="123"/>
      <c r="Q55" s="121" t="s">
        <v>134</v>
      </c>
      <c r="R55" s="121"/>
      <c r="S55" s="127">
        <f>S50+85</f>
        <v>43322</v>
      </c>
      <c r="T55" s="123"/>
    </row>
    <row r="56" spans="2:20" ht="11.25" x14ac:dyDescent="0.15">
      <c r="B56" s="121" t="s">
        <v>136</v>
      </c>
      <c r="C56" s="121"/>
      <c r="D56" s="122">
        <v>14825</v>
      </c>
      <c r="E56" s="123"/>
      <c r="G56" s="121" t="s">
        <v>136</v>
      </c>
      <c r="H56" s="142"/>
      <c r="I56" s="122">
        <v>14730</v>
      </c>
      <c r="J56" s="123"/>
      <c r="L56" s="121" t="s">
        <v>136</v>
      </c>
      <c r="M56" s="121"/>
      <c r="N56" s="122">
        <v>482</v>
      </c>
      <c r="O56" s="123"/>
      <c r="Q56" s="121" t="s">
        <v>136</v>
      </c>
      <c r="R56" s="121"/>
      <c r="S56" s="122">
        <v>482.5</v>
      </c>
      <c r="T56" s="123"/>
    </row>
    <row r="57" spans="2:20" ht="11.25" x14ac:dyDescent="0.15">
      <c r="B57" s="121" t="s">
        <v>138</v>
      </c>
      <c r="C57" s="121"/>
      <c r="D57" s="122">
        <v>14100</v>
      </c>
      <c r="E57" s="123"/>
      <c r="G57" s="121" t="s">
        <v>138</v>
      </c>
      <c r="H57" s="121"/>
      <c r="I57" s="122">
        <v>14500</v>
      </c>
      <c r="J57" s="123"/>
      <c r="L57" s="121" t="s">
        <v>138</v>
      </c>
      <c r="M57" s="121"/>
      <c r="N57" s="122">
        <v>480</v>
      </c>
      <c r="O57" s="123"/>
      <c r="Q57" s="121" t="s">
        <v>138</v>
      </c>
      <c r="R57" s="121"/>
      <c r="S57" s="122">
        <v>430</v>
      </c>
      <c r="T57" s="123"/>
    </row>
    <row r="58" spans="2:20" ht="11.25" x14ac:dyDescent="0.15">
      <c r="B58" s="121" t="s">
        <v>140</v>
      </c>
      <c r="C58" s="121"/>
      <c r="D58" s="122">
        <v>140</v>
      </c>
      <c r="E58" s="123"/>
      <c r="G58" s="121" t="s">
        <v>140</v>
      </c>
      <c r="H58" s="121"/>
      <c r="I58" s="122">
        <v>312</v>
      </c>
      <c r="J58" s="123"/>
      <c r="L58" s="121" t="s">
        <v>140</v>
      </c>
      <c r="M58" s="121"/>
      <c r="N58" s="122">
        <v>31.8</v>
      </c>
      <c r="O58" s="123"/>
      <c r="Q58" s="121" t="s">
        <v>140</v>
      </c>
      <c r="R58" s="121"/>
      <c r="S58" s="122">
        <v>12.3</v>
      </c>
      <c r="T58" s="123"/>
    </row>
    <row r="59" spans="2:20" ht="11.25" x14ac:dyDescent="0.15">
      <c r="B59" s="121" t="s">
        <v>142</v>
      </c>
      <c r="C59" s="121"/>
      <c r="D59" s="122" t="s">
        <v>231</v>
      </c>
      <c r="E59" s="123"/>
      <c r="G59" s="121" t="s">
        <v>142</v>
      </c>
      <c r="H59" s="121"/>
      <c r="I59" s="122" t="s">
        <v>233</v>
      </c>
      <c r="J59" s="123"/>
      <c r="L59" s="121" t="s">
        <v>142</v>
      </c>
      <c r="M59" s="121"/>
      <c r="N59" s="122" t="s">
        <v>201</v>
      </c>
      <c r="O59" s="123"/>
      <c r="Q59" s="121" t="s">
        <v>142</v>
      </c>
      <c r="R59" s="121"/>
      <c r="S59" s="122" t="s">
        <v>201</v>
      </c>
      <c r="T59" s="123"/>
    </row>
    <row r="60" spans="2:20" ht="11.25" x14ac:dyDescent="0.15">
      <c r="B60" s="121" t="s">
        <v>145</v>
      </c>
      <c r="C60" s="121"/>
      <c r="D60" s="122">
        <v>2000</v>
      </c>
      <c r="E60" s="123"/>
      <c r="G60" s="121" t="s">
        <v>145</v>
      </c>
      <c r="H60" s="121"/>
      <c r="I60" s="122">
        <v>3000</v>
      </c>
      <c r="J60" s="123"/>
      <c r="L60" s="121" t="s">
        <v>145</v>
      </c>
      <c r="M60" s="121"/>
      <c r="N60" s="122">
        <v>40000</v>
      </c>
      <c r="O60" s="123"/>
      <c r="Q60" s="121" t="s">
        <v>145</v>
      </c>
      <c r="R60" s="121"/>
      <c r="S60" s="122">
        <v>100000</v>
      </c>
      <c r="T60" s="123"/>
    </row>
    <row r="61" spans="2:20" ht="12" thickBot="1" x14ac:dyDescent="0.2">
      <c r="B61" s="124" t="s">
        <v>147</v>
      </c>
      <c r="C61" s="124"/>
      <c r="D61" s="125" t="s">
        <v>206</v>
      </c>
      <c r="E61" s="126"/>
      <c r="G61" s="124" t="s">
        <v>147</v>
      </c>
      <c r="H61" s="124"/>
      <c r="I61" s="125" t="s">
        <v>204</v>
      </c>
      <c r="J61" s="126"/>
      <c r="L61" s="124" t="s">
        <v>147</v>
      </c>
      <c r="M61" s="124"/>
      <c r="N61" s="125" t="s">
        <v>206</v>
      </c>
      <c r="O61" s="126"/>
      <c r="Q61" s="124" t="s">
        <v>147</v>
      </c>
      <c r="R61" s="124"/>
      <c r="S61" s="125" t="s">
        <v>206</v>
      </c>
      <c r="T61" s="126"/>
    </row>
    <row r="62" spans="2:20" ht="11.25" thickTop="1" x14ac:dyDescent="0.15"/>
    <row r="63" spans="2:20" ht="12" thickBot="1" x14ac:dyDescent="0.2">
      <c r="G63" s="128" t="s">
        <v>239</v>
      </c>
      <c r="H63" s="128"/>
      <c r="I63" s="128"/>
      <c r="J63" s="128"/>
      <c r="L63" s="128" t="s">
        <v>240</v>
      </c>
      <c r="M63" s="128"/>
      <c r="N63" s="128"/>
      <c r="O63" s="128"/>
    </row>
    <row r="64" spans="2:20" ht="12" thickTop="1" x14ac:dyDescent="0.15">
      <c r="G64" s="121" t="s">
        <v>122</v>
      </c>
      <c r="H64" s="121"/>
      <c r="I64" s="127">
        <v>43248</v>
      </c>
      <c r="J64" s="129"/>
      <c r="L64" s="121" t="s">
        <v>122</v>
      </c>
      <c r="M64" s="121"/>
      <c r="N64" s="127">
        <v>43248</v>
      </c>
      <c r="O64" s="129"/>
    </row>
    <row r="65" spans="7:17" ht="11.25" x14ac:dyDescent="0.15">
      <c r="G65" s="121" t="s">
        <v>124</v>
      </c>
      <c r="H65" s="121"/>
      <c r="I65" s="122" t="s">
        <v>237</v>
      </c>
      <c r="J65" s="123"/>
      <c r="L65" s="121" t="s">
        <v>124</v>
      </c>
      <c r="M65" s="121"/>
      <c r="N65" s="122" t="s">
        <v>237</v>
      </c>
      <c r="O65" s="123"/>
    </row>
    <row r="66" spans="7:17" ht="11.25" x14ac:dyDescent="0.15">
      <c r="G66" s="121" t="s">
        <v>127</v>
      </c>
      <c r="H66" s="121"/>
      <c r="I66" s="122" t="s">
        <v>36</v>
      </c>
      <c r="J66" s="123"/>
      <c r="L66" s="121" t="s">
        <v>127</v>
      </c>
      <c r="M66" s="121"/>
      <c r="N66" s="122" t="s">
        <v>36</v>
      </c>
      <c r="O66" s="123"/>
    </row>
    <row r="67" spans="7:17" ht="11.25" x14ac:dyDescent="0.15">
      <c r="G67" s="121" t="s">
        <v>179</v>
      </c>
      <c r="H67" s="121"/>
      <c r="I67" s="122">
        <f>I72*I74</f>
        <v>244200.00000000003</v>
      </c>
      <c r="J67" s="123"/>
      <c r="L67" s="121" t="s">
        <v>179</v>
      </c>
      <c r="M67" s="121"/>
      <c r="N67" s="122">
        <f>N72*N74</f>
        <v>244200.00000000003</v>
      </c>
      <c r="O67" s="123"/>
    </row>
    <row r="68" spans="7:17" ht="11.25" x14ac:dyDescent="0.15">
      <c r="G68" s="121" t="s">
        <v>131</v>
      </c>
      <c r="H68" s="121"/>
      <c r="I68" s="122" t="s">
        <v>132</v>
      </c>
      <c r="J68" s="123"/>
      <c r="L68" s="121" t="s">
        <v>131</v>
      </c>
      <c r="M68" s="121"/>
      <c r="N68" s="122" t="s">
        <v>238</v>
      </c>
      <c r="O68" s="123"/>
    </row>
    <row r="69" spans="7:17" ht="11.25" x14ac:dyDescent="0.15">
      <c r="G69" s="121" t="s">
        <v>134</v>
      </c>
      <c r="H69" s="121"/>
      <c r="I69" s="127">
        <f>I64+79</f>
        <v>43327</v>
      </c>
      <c r="J69" s="123"/>
      <c r="L69" s="121" t="s">
        <v>134</v>
      </c>
      <c r="M69" s="121"/>
      <c r="N69" s="127">
        <f>N64+79</f>
        <v>43327</v>
      </c>
      <c r="O69" s="123"/>
    </row>
    <row r="70" spans="7:17" ht="11.25" x14ac:dyDescent="0.15">
      <c r="G70" s="121" t="s">
        <v>136</v>
      </c>
      <c r="H70" s="121"/>
      <c r="I70" s="122">
        <v>456.5</v>
      </c>
      <c r="J70" s="123"/>
      <c r="L70" s="121" t="s">
        <v>136</v>
      </c>
      <c r="M70" s="121"/>
      <c r="N70" s="122">
        <v>456.5</v>
      </c>
      <c r="O70" s="123"/>
    </row>
    <row r="71" spans="7:17" ht="11.25" x14ac:dyDescent="0.15">
      <c r="G71" s="121" t="s">
        <v>138</v>
      </c>
      <c r="H71" s="121"/>
      <c r="I71" s="122">
        <v>456.5</v>
      </c>
      <c r="J71" s="123"/>
      <c r="L71" s="121" t="s">
        <v>138</v>
      </c>
      <c r="M71" s="121"/>
      <c r="N71" s="122">
        <v>456.5</v>
      </c>
      <c r="O71" s="123"/>
    </row>
    <row r="72" spans="7:17" ht="11.25" x14ac:dyDescent="0.15">
      <c r="G72" s="121" t="s">
        <v>140</v>
      </c>
      <c r="H72" s="121"/>
      <c r="I72" s="122">
        <v>24.42</v>
      </c>
      <c r="J72" s="123"/>
      <c r="L72" s="121" t="s">
        <v>140</v>
      </c>
      <c r="M72" s="121"/>
      <c r="N72" s="122">
        <v>24.42</v>
      </c>
      <c r="O72" s="123"/>
      <c r="Q72" s="100">
        <f>N72/N71</f>
        <v>5.349397590361446E-2</v>
      </c>
    </row>
    <row r="73" spans="7:17" ht="11.25" x14ac:dyDescent="0.15">
      <c r="G73" s="121" t="s">
        <v>142</v>
      </c>
      <c r="H73" s="121"/>
      <c r="I73" s="122" t="s">
        <v>201</v>
      </c>
      <c r="J73" s="123"/>
      <c r="L73" s="121" t="s">
        <v>142</v>
      </c>
      <c r="M73" s="121"/>
      <c r="N73" s="122" t="s">
        <v>201</v>
      </c>
      <c r="O73" s="123"/>
    </row>
    <row r="74" spans="7:17" ht="11.25" x14ac:dyDescent="0.15">
      <c r="G74" s="121" t="s">
        <v>145</v>
      </c>
      <c r="H74" s="121"/>
      <c r="I74" s="122">
        <v>10000</v>
      </c>
      <c r="J74" s="123"/>
      <c r="L74" s="121" t="s">
        <v>145</v>
      </c>
      <c r="M74" s="121"/>
      <c r="N74" s="122">
        <v>10000</v>
      </c>
      <c r="O74" s="123"/>
    </row>
    <row r="75" spans="7:17" ht="12" thickBot="1" x14ac:dyDescent="0.2">
      <c r="G75" s="124" t="s">
        <v>147</v>
      </c>
      <c r="H75" s="124"/>
      <c r="I75" s="125" t="s">
        <v>206</v>
      </c>
      <c r="J75" s="126"/>
      <c r="L75" s="124" t="s">
        <v>147</v>
      </c>
      <c r="M75" s="124"/>
      <c r="N75" s="125" t="s">
        <v>206</v>
      </c>
      <c r="O75" s="126"/>
    </row>
    <row r="76" spans="7:17" ht="11.25" thickTop="1" x14ac:dyDescent="0.15"/>
    <row r="77" spans="7:17" ht="12" thickBot="1" x14ac:dyDescent="0.2">
      <c r="G77" s="128" t="s">
        <v>239</v>
      </c>
      <c r="H77" s="128"/>
      <c r="I77" s="128"/>
      <c r="J77" s="128"/>
      <c r="L77" s="128" t="s">
        <v>240</v>
      </c>
      <c r="M77" s="128"/>
      <c r="N77" s="128"/>
      <c r="O77" s="128"/>
    </row>
    <row r="78" spans="7:17" ht="12" thickTop="1" x14ac:dyDescent="0.15">
      <c r="G78" s="121" t="s">
        <v>122</v>
      </c>
      <c r="H78" s="121"/>
      <c r="I78" s="127">
        <v>43248</v>
      </c>
      <c r="J78" s="129"/>
      <c r="L78" s="121" t="s">
        <v>122</v>
      </c>
      <c r="M78" s="121"/>
      <c r="N78" s="127">
        <v>43248</v>
      </c>
      <c r="O78" s="129"/>
    </row>
    <row r="79" spans="7:17" ht="11.25" x14ac:dyDescent="0.15">
      <c r="G79" s="121" t="s">
        <v>124</v>
      </c>
      <c r="H79" s="121"/>
      <c r="I79" s="122" t="s">
        <v>237</v>
      </c>
      <c r="J79" s="123"/>
      <c r="L79" s="121" t="s">
        <v>124</v>
      </c>
      <c r="M79" s="121"/>
      <c r="N79" s="122" t="s">
        <v>237</v>
      </c>
      <c r="O79" s="123"/>
    </row>
    <row r="80" spans="7:17" ht="11.25" x14ac:dyDescent="0.15">
      <c r="G80" s="121" t="s">
        <v>127</v>
      </c>
      <c r="H80" s="121"/>
      <c r="I80" s="122" t="s">
        <v>36</v>
      </c>
      <c r="J80" s="123"/>
      <c r="L80" s="121" t="s">
        <v>127</v>
      </c>
      <c r="M80" s="121"/>
      <c r="N80" s="122" t="s">
        <v>36</v>
      </c>
      <c r="O80" s="123"/>
    </row>
    <row r="81" spans="7:16" ht="11.25" x14ac:dyDescent="0.15">
      <c r="G81" s="121" t="s">
        <v>179</v>
      </c>
      <c r="H81" s="121"/>
      <c r="I81" s="122">
        <f>I86*I88</f>
        <v>244200.00000000003</v>
      </c>
      <c r="J81" s="123"/>
      <c r="L81" s="121" t="s">
        <v>179</v>
      </c>
      <c r="M81" s="121"/>
      <c r="N81" s="122">
        <f>N86*N88</f>
        <v>244200.00000000003</v>
      </c>
      <c r="O81" s="123"/>
    </row>
    <row r="82" spans="7:16" ht="11.25" x14ac:dyDescent="0.15">
      <c r="G82" s="121" t="s">
        <v>131</v>
      </c>
      <c r="H82" s="121"/>
      <c r="I82" s="122" t="s">
        <v>132</v>
      </c>
      <c r="J82" s="123"/>
      <c r="L82" s="121" t="s">
        <v>131</v>
      </c>
      <c r="M82" s="121"/>
      <c r="N82" s="122" t="s">
        <v>238</v>
      </c>
      <c r="O82" s="123"/>
    </row>
    <row r="83" spans="7:16" ht="11.25" x14ac:dyDescent="0.15">
      <c r="G83" s="121" t="s">
        <v>134</v>
      </c>
      <c r="H83" s="121"/>
      <c r="I83" s="127">
        <f>I78+31</f>
        <v>43279</v>
      </c>
      <c r="J83" s="123"/>
      <c r="L83" s="121" t="s">
        <v>134</v>
      </c>
      <c r="M83" s="121"/>
      <c r="N83" s="127">
        <f>N78+31</f>
        <v>43279</v>
      </c>
      <c r="O83" s="123"/>
    </row>
    <row r="84" spans="7:16" ht="11.25" x14ac:dyDescent="0.15">
      <c r="G84" s="121" t="s">
        <v>136</v>
      </c>
      <c r="H84" s="121"/>
      <c r="I84" s="122">
        <v>456.5</v>
      </c>
      <c r="J84" s="123"/>
      <c r="L84" s="121" t="s">
        <v>136</v>
      </c>
      <c r="M84" s="121"/>
      <c r="N84" s="122">
        <v>456.5</v>
      </c>
      <c r="O84" s="123"/>
      <c r="P84" s="100">
        <f>N84*3.5/100</f>
        <v>15.977499999999999</v>
      </c>
    </row>
    <row r="85" spans="7:16" ht="11.25" x14ac:dyDescent="0.15">
      <c r="G85" s="121" t="s">
        <v>138</v>
      </c>
      <c r="H85" s="121"/>
      <c r="I85" s="122">
        <v>456.5</v>
      </c>
      <c r="J85" s="123"/>
      <c r="L85" s="121" t="s">
        <v>138</v>
      </c>
      <c r="M85" s="121"/>
      <c r="N85" s="122">
        <v>456.5</v>
      </c>
      <c r="O85" s="123"/>
    </row>
    <row r="86" spans="7:16" ht="11.25" x14ac:dyDescent="0.15">
      <c r="G86" s="121" t="s">
        <v>140</v>
      </c>
      <c r="H86" s="121"/>
      <c r="I86" s="122">
        <v>24.42</v>
      </c>
      <c r="J86" s="123"/>
      <c r="L86" s="121" t="s">
        <v>140</v>
      </c>
      <c r="M86" s="121"/>
      <c r="N86" s="122">
        <v>24.42</v>
      </c>
      <c r="O86" s="123"/>
    </row>
    <row r="87" spans="7:16" ht="11.25" x14ac:dyDescent="0.15">
      <c r="G87" s="121" t="s">
        <v>142</v>
      </c>
      <c r="H87" s="121"/>
      <c r="I87" s="122" t="s">
        <v>201</v>
      </c>
      <c r="J87" s="123"/>
      <c r="L87" s="121" t="s">
        <v>142</v>
      </c>
      <c r="M87" s="121"/>
      <c r="N87" s="122" t="s">
        <v>201</v>
      </c>
      <c r="O87" s="123"/>
    </row>
    <row r="88" spans="7:16" ht="11.25" x14ac:dyDescent="0.15">
      <c r="G88" s="121" t="s">
        <v>145</v>
      </c>
      <c r="H88" s="121"/>
      <c r="I88" s="122">
        <v>10000</v>
      </c>
      <c r="J88" s="123"/>
      <c r="L88" s="121" t="s">
        <v>145</v>
      </c>
      <c r="M88" s="121"/>
      <c r="N88" s="122">
        <v>10000</v>
      </c>
      <c r="O88" s="123"/>
    </row>
    <row r="89" spans="7:16" ht="12" thickBot="1" x14ac:dyDescent="0.2">
      <c r="G89" s="124" t="s">
        <v>147</v>
      </c>
      <c r="H89" s="124"/>
      <c r="I89" s="125" t="s">
        <v>206</v>
      </c>
      <c r="J89" s="126"/>
      <c r="L89" s="124" t="s">
        <v>147</v>
      </c>
      <c r="M89" s="124"/>
      <c r="N89" s="125" t="s">
        <v>206</v>
      </c>
      <c r="O89" s="126"/>
    </row>
    <row r="90" spans="7:16" ht="11.25" thickTop="1" x14ac:dyDescent="0.15"/>
  </sheetData>
  <mergeCells count="526"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4"/>
  <sheetViews>
    <sheetView tabSelected="1" topLeftCell="D8" zoomScaleNormal="100" workbookViewId="0">
      <selection activeCell="G33" sqref="G3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3" t="s">
        <v>37</v>
      </c>
      <c r="C1" s="14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192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202</v>
      </c>
      <c r="E8" s="8">
        <f t="shared" ref="E8:E9" ca="1" si="0">TODAY()</f>
        <v>43256</v>
      </c>
      <c r="F8" s="8">
        <f t="shared" ref="F8" ca="1" si="1">E8+H8</f>
        <v>43347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-4.0725807620219854</v>
      </c>
      <c r="M8" s="15"/>
      <c r="N8" s="13">
        <f t="shared" ref="N8" si="2">M8/10000*I8*P8</f>
        <v>0</v>
      </c>
      <c r="O8" s="13">
        <f>IF(L8&lt;=0,ABS(L8)+N8,L8-N8)</f>
        <v>4.0725807620219854</v>
      </c>
      <c r="P8" s="11">
        <f>RTD("wdf.rtq",,D8,"LastPrice")</f>
        <v>14740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2.762944886039339E-4</v>
      </c>
      <c r="U8" s="13">
        <f>_xll.dnetGBlackScholesNGreeks("delta",$Q8,$P8,$G8,$I8,$C$3,$J8,$K8,$C$4)*R8</f>
        <v>7.729035579018273E-3</v>
      </c>
      <c r="V8" s="13">
        <f>_xll.dnetGBlackScholesNGreeks("vega",$Q8,$P8,$G8,$I8,$C$3,$J8,$K8,$C$4)*R8</f>
        <v>-1.5727513506203223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202</v>
      </c>
      <c r="E9" s="8">
        <f t="shared" ca="1" si="0"/>
        <v>43256</v>
      </c>
      <c r="F9" s="8">
        <f t="shared" ref="F9" ca="1" si="5">E9+H9</f>
        <v>43803.5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3" spans="1:25" ht="10.5" customHeight="1" x14ac:dyDescent="0.15">
      <c r="A13" s="34"/>
      <c r="B13" s="13" t="s">
        <v>172</v>
      </c>
      <c r="C13" s="10" t="s">
        <v>160</v>
      </c>
      <c r="D13" s="10" t="s">
        <v>202</v>
      </c>
      <c r="E13" s="8">
        <f t="shared" ref="E13:E44" ca="1" si="9">TODAY()</f>
        <v>43256</v>
      </c>
      <c r="F13" s="8">
        <f t="shared" ref="F13:F17" ca="1" si="10">E13+H13</f>
        <v>43313</v>
      </c>
      <c r="G13" s="11">
        <v>3300</v>
      </c>
      <c r="H13" s="10">
        <v>57</v>
      </c>
      <c r="I13" s="12">
        <f t="shared" ref="I13:I17" si="11">H13/365</f>
        <v>0.15616438356164383</v>
      </c>
      <c r="J13" s="12">
        <v>0</v>
      </c>
      <c r="K13" s="116">
        <v>0.18</v>
      </c>
      <c r="L13" s="13">
        <f>_xll.dnetGBlackScholesNGreeks("price",$Q13,$P13,$G13,$I13,$C$3,$J13,$K13,$C$4)*R13</f>
        <v>3.2721285064954938E-97</v>
      </c>
      <c r="M13" s="15"/>
      <c r="N13" s="13">
        <f t="shared" ref="N13:N17" si="12">M13/10000*I13*P13</f>
        <v>0</v>
      </c>
      <c r="O13" s="13">
        <f t="shared" ref="O13:O17" si="13">IF(L13&lt;=0,ABS(L13)+N13,L13-N13)</f>
        <v>3.2721285064954938E-97</v>
      </c>
      <c r="P13" s="11">
        <f>RTD("wdf.rtq",,D13,"LastPrice")</f>
        <v>14740</v>
      </c>
      <c r="Q13" s="10" t="s">
        <v>85</v>
      </c>
      <c r="R13" s="10">
        <f t="shared" ref="R13:R17" si="14">IF(S13="中金买入",1,-1)</f>
        <v>1</v>
      </c>
      <c r="S13" s="10" t="s">
        <v>151</v>
      </c>
      <c r="T13" s="14">
        <f t="shared" ref="T13:T17" si="15">O13/P13</f>
        <v>2.2198972228599009E-101</v>
      </c>
      <c r="U13" s="13">
        <f>_xll.dnetGBlackScholesNGreeks("delta",$Q13,$P13,$G13,$I13,$C$3,$J13,$K13,$C$4)*R13</f>
        <v>-6.5847161079511259E-99</v>
      </c>
      <c r="V13" s="13">
        <f>_xll.dnetGBlackScholesNGreeks("vega",$Q13,$P13,$G13,$I13,$C$3,$J13,$K13,$C$4)*R13</f>
        <v>1.3697543872362737E-87</v>
      </c>
      <c r="W13" s="114"/>
      <c r="X13" s="115">
        <v>400</v>
      </c>
      <c r="Y13" s="6">
        <f>X13*U13</f>
        <v>-2.6338864431804503E-96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202</v>
      </c>
      <c r="E14" s="8">
        <f t="shared" ca="1" si="9"/>
        <v>43256</v>
      </c>
      <c r="F14" s="8">
        <f t="shared" ca="1" si="10"/>
        <v>43313</v>
      </c>
      <c r="G14" s="11">
        <v>3350</v>
      </c>
      <c r="H14" s="10">
        <v>57</v>
      </c>
      <c r="I14" s="12">
        <f t="shared" si="11"/>
        <v>0.15616438356164383</v>
      </c>
      <c r="J14" s="12">
        <v>0</v>
      </c>
      <c r="K14" s="116">
        <v>0.18</v>
      </c>
      <c r="L14" s="13">
        <f>_xll.dnetGBlackScholesNGreeks("price",$Q14,$P14,$G14,$I14,$C$3,$J14,$K14,$C$4)*R14</f>
        <v>2.8112658871603756E-95</v>
      </c>
      <c r="M14" s="15"/>
      <c r="N14" s="13">
        <f t="shared" si="12"/>
        <v>0</v>
      </c>
      <c r="O14" s="13">
        <f t="shared" si="13"/>
        <v>2.8112658871603756E-95</v>
      </c>
      <c r="P14" s="11">
        <f>RTD("wdf.rtq",,D14,"LastPrice")</f>
        <v>14740</v>
      </c>
      <c r="Q14" s="10" t="s">
        <v>85</v>
      </c>
      <c r="R14" s="10">
        <f t="shared" si="14"/>
        <v>1</v>
      </c>
      <c r="S14" s="10" t="s">
        <v>151</v>
      </c>
      <c r="T14" s="14">
        <f t="shared" si="15"/>
        <v>1.9072360157126022E-99</v>
      </c>
      <c r="U14" s="13">
        <f>_xll.dnetGBlackScholesNGreeks("delta",$Q14,$P14,$G14,$I14,$C$3,$J14,$K14,$C$4)*R14</f>
        <v>-5.6008613463010514E-97</v>
      </c>
      <c r="V14" s="13">
        <f>_xll.dnetGBlackScholesNGreeks("vega",$Q14,$P14,$G14,$I14,$C$3,$J14,$K14,$C$4)*R14</f>
        <v>7.4766379076179944E-86</v>
      </c>
      <c r="W14" s="114"/>
      <c r="X14" s="115">
        <v>400</v>
      </c>
      <c r="Y14" s="6">
        <f>X14*U14</f>
        <v>-2.2403445385204206E-94</v>
      </c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236</v>
      </c>
      <c r="E15" s="8">
        <f t="shared" ca="1" si="9"/>
        <v>43256</v>
      </c>
      <c r="F15" s="8">
        <f t="shared" ca="1" si="10"/>
        <v>43313</v>
      </c>
      <c r="G15" s="11">
        <v>3400</v>
      </c>
      <c r="H15" s="10">
        <v>57</v>
      </c>
      <c r="I15" s="12">
        <f t="shared" si="11"/>
        <v>0.15616438356164383</v>
      </c>
      <c r="J15" s="12">
        <v>0</v>
      </c>
      <c r="K15" s="116">
        <v>0.18</v>
      </c>
      <c r="L15" s="13">
        <f>_xll.dnetGBlackScholesNGreeks("price",$Q15,$P15,$G15,$I15,$C$3,$J15,$K15,$C$4)*R15</f>
        <v>5.4478770860269681E-94</v>
      </c>
      <c r="M15" s="15"/>
      <c r="N15" s="13">
        <f t="shared" si="12"/>
        <v>0</v>
      </c>
      <c r="O15" s="13">
        <f t="shared" si="13"/>
        <v>5.4478770860269681E-94</v>
      </c>
      <c r="P15" s="11">
        <f>RTD("wdf.rtq",,D15,"LastPrice")</f>
        <v>14810</v>
      </c>
      <c r="Q15" s="10" t="s">
        <v>85</v>
      </c>
      <c r="R15" s="10">
        <f t="shared" si="14"/>
        <v>1</v>
      </c>
      <c r="S15" s="10" t="s">
        <v>151</v>
      </c>
      <c r="T15" s="14">
        <f t="shared" si="15"/>
        <v>3.6785125496468388E-98</v>
      </c>
      <c r="U15" s="13">
        <f>_xll.dnetGBlackScholesNGreeks("delta",$Q15,$P15,$G15,$I15,$C$3,$J15,$K15,$C$4)*R15</f>
        <v>-1.0729528011128535E-95</v>
      </c>
      <c r="V15" s="13">
        <f>_xll.dnetGBlackScholesNGreeks("vega",$Q15,$P15,$G15,$I15,$C$3,$J15,$K15,$C$4)*R15</f>
        <v>1.0718248592608244E-84</v>
      </c>
      <c r="W15" s="114"/>
      <c r="X15" s="115">
        <v>400</v>
      </c>
      <c r="Y15" s="6">
        <f>X15*U15</f>
        <v>-4.2918112044514141E-93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236</v>
      </c>
      <c r="E16" s="8">
        <f t="shared" ca="1" si="9"/>
        <v>43256</v>
      </c>
      <c r="F16" s="8">
        <f t="shared" ca="1" si="10"/>
        <v>43313</v>
      </c>
      <c r="G16" s="11">
        <v>3450</v>
      </c>
      <c r="H16" s="10">
        <v>57</v>
      </c>
      <c r="I16" s="12">
        <f t="shared" si="11"/>
        <v>0.15616438356164383</v>
      </c>
      <c r="J16" s="12">
        <v>0</v>
      </c>
      <c r="K16" s="116">
        <v>0.18</v>
      </c>
      <c r="L16" s="13">
        <f>_xll.dnetGBlackScholesNGreeks("price",$Q16,$P16,$G16,$I16,$C$3,$J16,$K16,$C$4)*R16</f>
        <v>3.826251047279633E-92</v>
      </c>
      <c r="M16" s="15"/>
      <c r="N16" s="13">
        <f t="shared" si="12"/>
        <v>0</v>
      </c>
      <c r="O16" s="13">
        <f t="shared" si="13"/>
        <v>3.826251047279633E-92</v>
      </c>
      <c r="P16" s="11">
        <f>RTD("wdf.rtq",,D16,"LastPrice")</f>
        <v>14810</v>
      </c>
      <c r="Q16" s="10" t="s">
        <v>85</v>
      </c>
      <c r="R16" s="10">
        <f t="shared" si="14"/>
        <v>1</v>
      </c>
      <c r="S16" s="10" t="s">
        <v>151</v>
      </c>
      <c r="T16" s="14">
        <f t="shared" si="15"/>
        <v>2.5835591136256805E-96</v>
      </c>
      <c r="U16" s="13">
        <f>_xll.dnetGBlackScholesNGreeks("delta",$Q16,$P16,$G16,$I16,$C$3,$J16,$K16,$C$4)*R16</f>
        <v>-7.4615564398814889E-94</v>
      </c>
      <c r="V16" s="13">
        <f>_xll.dnetGBlackScholesNGreeks("vega",$Q16,$P16,$G16,$I16,$C$3,$J16,$K16,$C$4)*R16</f>
        <v>4.882152843257111E-83</v>
      </c>
      <c r="W16" s="114"/>
      <c r="X16" s="115">
        <v>400</v>
      </c>
      <c r="Y16" s="6">
        <f>X16*U16</f>
        <v>-2.9846225759525956E-91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236</v>
      </c>
      <c r="E17" s="8">
        <f t="shared" ca="1" si="9"/>
        <v>43256</v>
      </c>
      <c r="F17" s="8">
        <f t="shared" ca="1" si="10"/>
        <v>43313</v>
      </c>
      <c r="G17" s="11">
        <v>3500</v>
      </c>
      <c r="H17" s="10">
        <v>57</v>
      </c>
      <c r="I17" s="12">
        <f t="shared" si="11"/>
        <v>0.15616438356164383</v>
      </c>
      <c r="J17" s="12">
        <v>0</v>
      </c>
      <c r="K17" s="116">
        <v>0.18</v>
      </c>
      <c r="L17" s="13">
        <f>_xll.dnetGBlackScholesNGreeks("price",$Q17,$P17,$G17,$I17,$C$3,$J17,$K17,$C$4)*R17</f>
        <v>2.5275324401046921E-88</v>
      </c>
      <c r="M17" s="15"/>
      <c r="N17" s="13">
        <f t="shared" si="12"/>
        <v>0</v>
      </c>
      <c r="O17" s="13">
        <f t="shared" si="13"/>
        <v>2.5275324401046921E-88</v>
      </c>
      <c r="P17" s="11">
        <v>14570</v>
      </c>
      <c r="Q17" s="10" t="s">
        <v>85</v>
      </c>
      <c r="R17" s="10">
        <f t="shared" si="14"/>
        <v>1</v>
      </c>
      <c r="S17" s="10" t="s">
        <v>151</v>
      </c>
      <c r="T17" s="14">
        <f t="shared" si="15"/>
        <v>1.7347511599894934E-92</v>
      </c>
      <c r="U17" s="13">
        <f>_xll.dnetGBlackScholesNGreeks("delta",$Q17,$P17,$G17,$I17,$C$3,$J17,$K17,$C$4)*R17</f>
        <v>-4.9052749761641461E-90</v>
      </c>
      <c r="V17" s="13">
        <f>_xll.dnetGBlackScholesNGreeks("vega",$Q17,$P17,$G17,$I17,$C$3,$J17,$K17,$C$4)*R17</f>
        <v>1.3147545182399271E-79</v>
      </c>
      <c r="W17" s="114"/>
      <c r="X17" s="115">
        <v>400</v>
      </c>
      <c r="Y17" s="6">
        <f>X17*U17</f>
        <v>-1.9621099904656584E-87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243</v>
      </c>
      <c r="E19" s="8">
        <f t="shared" ca="1" si="9"/>
        <v>43256</v>
      </c>
      <c r="F19" s="8">
        <f t="shared" ref="F19" ca="1" si="16">E19+H19</f>
        <v>43286</v>
      </c>
      <c r="G19" s="11">
        <v>500</v>
      </c>
      <c r="H19" s="10">
        <v>30</v>
      </c>
      <c r="I19" s="12">
        <f t="shared" ref="I19" si="17">H19/365</f>
        <v>8.2191780821917804E-2</v>
      </c>
      <c r="J19" s="12">
        <v>0</v>
      </c>
      <c r="K19" s="116">
        <v>0.35</v>
      </c>
      <c r="L19" s="13">
        <f>_xll.dnetGBlackScholesNGreeks("price",$Q19,$P19,$G19,$I19,$C$3,$J19,$K19,$C$4)*R19</f>
        <v>-41.571832763472173</v>
      </c>
      <c r="M19" s="15"/>
      <c r="N19" s="13">
        <f t="shared" ref="N19" si="18">M19/10000*I19*P19</f>
        <v>0</v>
      </c>
      <c r="O19" s="13">
        <f t="shared" ref="O19" si="19">IF(L19&lt;=0,ABS(L19)+N19,L19-N19)</f>
        <v>41.571832763472173</v>
      </c>
      <c r="P19" s="11">
        <f>RTD("wdf.rtq",,D19,"LastPrice")</f>
        <v>465</v>
      </c>
      <c r="Q19" s="10" t="s">
        <v>85</v>
      </c>
      <c r="R19" s="10">
        <f t="shared" ref="R19" si="20">IF(S19="中金买入",1,-1)</f>
        <v>-1</v>
      </c>
      <c r="S19" s="10" t="s">
        <v>20</v>
      </c>
      <c r="T19" s="14">
        <f t="shared" ref="T19" si="21">O19/P19</f>
        <v>8.9401790889187469E-2</v>
      </c>
      <c r="U19" s="13">
        <f>_xll.dnetGBlackScholesNGreeks("delta",$Q19,$P19,$G19,$I19,$C$3,$J19,$K19,$C$4)*R19</f>
        <v>0.74831539594129026</v>
      </c>
      <c r="V19" s="13">
        <f>_xll.dnetGBlackScholesNGreeks("vega",$Q19,$P19,$G19,$I19,$C$3,$J19,$K19,$C$4)*R19</f>
        <v>-0.42326815804059947</v>
      </c>
      <c r="W19" s="114"/>
      <c r="X19" s="115">
        <v>400</v>
      </c>
      <c r="Y19" s="6">
        <f>X19*U19</f>
        <v>299.3261583765161</v>
      </c>
    </row>
    <row r="20" spans="1:25" x14ac:dyDescent="0.15">
      <c r="B20" s="13" t="s">
        <v>172</v>
      </c>
      <c r="C20" s="10" t="s">
        <v>160</v>
      </c>
      <c r="D20" s="10" t="s">
        <v>243</v>
      </c>
      <c r="E20" s="8">
        <f t="shared" ca="1" si="9"/>
        <v>43256</v>
      </c>
      <c r="F20" s="8">
        <f t="shared" ref="F20" ca="1" si="22">E20+H20</f>
        <v>43286</v>
      </c>
      <c r="G20" s="11">
        <v>500</v>
      </c>
      <c r="H20" s="10">
        <v>30</v>
      </c>
      <c r="I20" s="12">
        <f t="shared" ref="I20" si="23">H20/365</f>
        <v>8.2191780821917804E-2</v>
      </c>
      <c r="J20" s="12">
        <v>0</v>
      </c>
      <c r="K20" s="116">
        <v>0.35</v>
      </c>
      <c r="L20" s="13">
        <f>_xll.dnetGBlackScholesNGreeks("price",$Q20,$P20,$G20,$I20,$C$3,$J20,$K20,$C$4)*R20</f>
        <v>-6.629319747526452</v>
      </c>
      <c r="M20" s="15"/>
      <c r="N20" s="13">
        <f t="shared" ref="N20" si="24">M20/10000*I20*P20</f>
        <v>0</v>
      </c>
      <c r="O20" s="13">
        <f t="shared" ref="O20" si="25">IF(L20&lt;=0,ABS(L20)+N20,L20-N20)</f>
        <v>6.629319747526452</v>
      </c>
      <c r="P20" s="11">
        <f>RTD("wdf.rtq",,D20,"LastPrice")</f>
        <v>465</v>
      </c>
      <c r="Q20" s="10" t="s">
        <v>39</v>
      </c>
      <c r="R20" s="10">
        <f t="shared" ref="R20" si="26">IF(S20="中金买入",1,-1)</f>
        <v>-1</v>
      </c>
      <c r="S20" s="10" t="s">
        <v>20</v>
      </c>
      <c r="T20" s="14">
        <f t="shared" ref="T20" si="27">O20/P20</f>
        <v>1.4256601607583767E-2</v>
      </c>
      <c r="U20" s="13">
        <f>_xll.dnetGBlackScholesNGreeks("delta",$Q20,$P20,$G20,$I20,$C$3,$J20,$K20,$C$4)*R20</f>
        <v>-0.25004211880101934</v>
      </c>
      <c r="V20" s="13">
        <f>_xll.dnetGBlackScholesNGreeks("vega",$Q20,$P20,$G20,$I20,$C$3,$J20,$K20,$C$4)*R20</f>
        <v>-0.42326815804057816</v>
      </c>
    </row>
    <row r="22" spans="1:25" x14ac:dyDescent="0.15">
      <c r="B22" s="13" t="s">
        <v>172</v>
      </c>
      <c r="C22" s="10" t="s">
        <v>160</v>
      </c>
      <c r="D22" s="10" t="s">
        <v>245</v>
      </c>
      <c r="E22" s="8">
        <f t="shared" ca="1" si="9"/>
        <v>43256</v>
      </c>
      <c r="F22" s="8">
        <f t="shared" ref="F22" ca="1" si="28">E22+H22</f>
        <v>43286</v>
      </c>
      <c r="G22" s="11">
        <v>9000</v>
      </c>
      <c r="H22" s="10">
        <v>30</v>
      </c>
      <c r="I22" s="12">
        <f t="shared" ref="I22" si="29">H22/365</f>
        <v>8.2191780821917804E-2</v>
      </c>
      <c r="J22" s="12">
        <v>0</v>
      </c>
      <c r="K22" s="116">
        <v>0.31</v>
      </c>
      <c r="L22" s="13">
        <f>_xll.dnetGBlackScholesNGreeks("price",$Q22,$P22,$G22,$I22,$C$3,$J22,$K22,$C$4)*R22</f>
        <v>-265.93962750107357</v>
      </c>
      <c r="M22" s="15"/>
      <c r="N22" s="13">
        <f t="shared" ref="N22" si="30">M22/10000*I22*P22</f>
        <v>0</v>
      </c>
      <c r="O22" s="13">
        <f t="shared" ref="O22" si="31">IF(L22&lt;=0,ABS(L22)+N22,L22-N22)</f>
        <v>265.93962750107357</v>
      </c>
      <c r="P22" s="11">
        <f>RTD("wdf.rtq",,D22,"LastPrice")</f>
        <v>9116</v>
      </c>
      <c r="Q22" s="10" t="s">
        <v>85</v>
      </c>
      <c r="R22" s="10">
        <f t="shared" ref="R22" si="32">IF(S22="中金买入",1,-1)</f>
        <v>-1</v>
      </c>
      <c r="S22" s="10" t="s">
        <v>20</v>
      </c>
      <c r="T22" s="14">
        <f t="shared" ref="T22" si="33">O22/P22</f>
        <v>2.9172841981249843E-2</v>
      </c>
      <c r="U22" s="13">
        <f>_xll.dnetGBlackScholesNGreeks("delta",$Q22,$P22,$G22,$I22,$C$3,$J22,$K22,$C$4)*R22</f>
        <v>0.42453045236925391</v>
      </c>
      <c r="V22" s="13">
        <f>_xll.dnetGBlackScholesNGreeks("vega",$Q22,$P22,$G22,$I22,$C$3,$J22,$K22,$C$4)*R22</f>
        <v>-10.225658984172696</v>
      </c>
    </row>
    <row r="23" spans="1:25" x14ac:dyDescent="0.15">
      <c r="B23" s="13" t="s">
        <v>172</v>
      </c>
      <c r="C23" s="10" t="s">
        <v>160</v>
      </c>
      <c r="D23" s="10" t="s">
        <v>245</v>
      </c>
      <c r="E23" s="8">
        <f t="shared" ca="1" si="9"/>
        <v>43256</v>
      </c>
      <c r="F23" s="8">
        <f t="shared" ref="F23" ca="1" si="34">E23+H23</f>
        <v>43317</v>
      </c>
      <c r="G23" s="11">
        <v>9000</v>
      </c>
      <c r="H23" s="10">
        <v>61</v>
      </c>
      <c r="I23" s="12">
        <f t="shared" ref="I23" si="35">H23/365</f>
        <v>0.16712328767123288</v>
      </c>
      <c r="J23" s="12">
        <v>0</v>
      </c>
      <c r="K23" s="116">
        <v>0.31</v>
      </c>
      <c r="L23" s="13">
        <f>_xll.dnetGBlackScholesNGreeks("price",$Q23,$P23,$G23,$I23,$C$3,$J23,$K23,$C$4)*R23</f>
        <v>-400.63866836158741</v>
      </c>
      <c r="M23" s="15"/>
      <c r="N23" s="13">
        <f t="shared" ref="N23" si="36">M23/10000*I23*P23</f>
        <v>0</v>
      </c>
      <c r="O23" s="13">
        <f t="shared" ref="O23" si="37">IF(L23&lt;=0,ABS(L23)+N23,L23-N23)</f>
        <v>400.63866836158741</v>
      </c>
      <c r="P23" s="11">
        <f>RTD("wdf.rtq",,D23,"LastPrice")</f>
        <v>9116</v>
      </c>
      <c r="Q23" s="10" t="s">
        <v>85</v>
      </c>
      <c r="R23" s="10">
        <f t="shared" ref="R23" si="38">IF(S23="中金买入",1,-1)</f>
        <v>-1</v>
      </c>
      <c r="S23" s="10" t="s">
        <v>20</v>
      </c>
      <c r="T23" s="14">
        <f t="shared" ref="T23" si="39">O23/P23</f>
        <v>4.3948954405615116E-2</v>
      </c>
      <c r="U23" s="13">
        <f>_xll.dnetGBlackScholesNGreeks("delta",$Q23,$P23,$G23,$I23,$C$3,$J23,$K23,$C$4)*R23</f>
        <v>0.43325025435478892</v>
      </c>
      <c r="V23" s="13">
        <f>_xll.dnetGBlackScholesNGreeks("vega",$Q23,$P23,$G23,$I23,$C$3,$J23,$K23,$C$4)*R23</f>
        <v>-14.618688001821511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246</v>
      </c>
      <c r="E25" s="8">
        <f t="shared" ca="1" si="9"/>
        <v>43256</v>
      </c>
      <c r="F25" s="8">
        <f t="shared" ref="F25" ca="1" si="40">E25+H25</f>
        <v>43280</v>
      </c>
      <c r="G25" s="11">
        <v>52230</v>
      </c>
      <c r="H25" s="10">
        <v>24</v>
      </c>
      <c r="I25" s="12">
        <f t="shared" ref="I25" si="41">H25/365</f>
        <v>6.575342465753424E-2</v>
      </c>
      <c r="J25" s="12">
        <v>0</v>
      </c>
      <c r="K25" s="116">
        <v>0.1275</v>
      </c>
      <c r="L25" s="13">
        <f>_xll.dnetGBlackScholesNGreeks("price",$Q25,$P25,$G25,$I25,$C$3,$J25,$K25,$C$4)*R25</f>
        <v>190.50384453499828</v>
      </c>
      <c r="M25" s="15">
        <v>30</v>
      </c>
      <c r="N25" s="13">
        <f t="shared" ref="N25" si="42">M25/10000*I25*P25</f>
        <v>10.592876712328767</v>
      </c>
      <c r="O25" s="13">
        <f t="shared" ref="O25" si="43">IF(L25&lt;=0,ABS(L25)+N25,L25-N25)</f>
        <v>179.91096782266951</v>
      </c>
      <c r="P25" s="11">
        <v>53700</v>
      </c>
      <c r="Q25" s="10" t="s">
        <v>85</v>
      </c>
      <c r="R25" s="10">
        <f t="shared" ref="R25" si="44">IF(S25="中金买入",1,-1)</f>
        <v>1</v>
      </c>
      <c r="S25" s="10" t="s">
        <v>151</v>
      </c>
      <c r="T25" s="14">
        <f t="shared" ref="T25" si="45">O25/P25</f>
        <v>3.3502973523774583E-3</v>
      </c>
      <c r="U25" s="13">
        <f>_xll.dnetGBlackScholesNGreeks("delta",$Q25,$P25,$G25,$I25,$C$3,$J25,$K25,$C$4)*R25</f>
        <v>-0.19318112281325739</v>
      </c>
      <c r="V25" s="13">
        <f>_xll.dnetGBlackScholesNGreeks("vega",$Q25,$P25,$G25,$I25,$C$3,$J25,$K25,$C$4)*R25</f>
        <v>37.665912727388786</v>
      </c>
      <c r="W25" s="114"/>
      <c r="X25" s="115">
        <v>400</v>
      </c>
      <c r="Y25" s="6">
        <f>X25*U25</f>
        <v>-77.272449125302956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247</v>
      </c>
      <c r="E27" s="8">
        <f t="shared" ca="1" si="9"/>
        <v>43256</v>
      </c>
      <c r="F27" s="8">
        <f t="shared" ref="F27:F29" ca="1" si="46">E27+H27</f>
        <v>43563</v>
      </c>
      <c r="G27" s="11">
        <v>350</v>
      </c>
      <c r="H27" s="10">
        <v>307</v>
      </c>
      <c r="I27" s="12">
        <f t="shared" ref="I27:I29" si="47">H27/365</f>
        <v>0.84109589041095889</v>
      </c>
      <c r="J27" s="12">
        <v>0</v>
      </c>
      <c r="K27" s="116">
        <v>0.2</v>
      </c>
      <c r="L27" s="13">
        <f>_xll.dnetGBlackScholesNGreeks("price",$Q27,$P27,$G27,$I27,$C$3,$J27,$K27,$C$4)*R27</f>
        <v>2.1633534347839287</v>
      </c>
      <c r="M27" s="15"/>
      <c r="N27" s="13">
        <f t="shared" ref="N27:N29" si="48">M27/10000*I27*P27</f>
        <v>0</v>
      </c>
      <c r="O27" s="13">
        <f t="shared" ref="O27:O29" si="49">IF(L27&lt;=0,ABS(L27)+N27,L27-N27)</f>
        <v>2.1633534347839287</v>
      </c>
      <c r="P27" s="11">
        <v>460</v>
      </c>
      <c r="Q27" s="10" t="s">
        <v>85</v>
      </c>
      <c r="R27" s="10">
        <f t="shared" ref="R27:R29" si="50">IF(S27="中金买入",1,-1)</f>
        <v>1</v>
      </c>
      <c r="S27" s="10" t="s">
        <v>151</v>
      </c>
      <c r="T27" s="14">
        <f t="shared" ref="T27:T29" si="51">O27/P27</f>
        <v>4.70294224953028E-3</v>
      </c>
      <c r="U27" s="13">
        <f>_xll.dnetGBlackScholesNGreeks("delta",$Q27,$P27,$G27,$I27,$C$3,$J27,$K27,$C$4)*R27</f>
        <v>-5.5913136676899455E-2</v>
      </c>
      <c r="V27" s="13">
        <f>_xll.dnetGBlackScholesNGreeks("vega",$Q27,$P27,$G27,$I27,$C$3,$J27,$K27,$C$4)*R27</f>
        <v>0.47339859374906013</v>
      </c>
      <c r="W27" s="114"/>
      <c r="X27" s="115">
        <v>400</v>
      </c>
      <c r="Y27" s="6">
        <f>X27*U27</f>
        <v>-22.365254670759782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247</v>
      </c>
      <c r="E28" s="8">
        <f t="shared" ca="1" si="9"/>
        <v>43256</v>
      </c>
      <c r="F28" s="8">
        <f t="shared" ca="1" si="46"/>
        <v>43563</v>
      </c>
      <c r="G28" s="11">
        <v>460</v>
      </c>
      <c r="H28" s="10">
        <v>307</v>
      </c>
      <c r="I28" s="12">
        <f t="shared" si="47"/>
        <v>0.84109589041095889</v>
      </c>
      <c r="J28" s="12">
        <v>0</v>
      </c>
      <c r="K28" s="116">
        <v>0.2</v>
      </c>
      <c r="L28" s="13">
        <f>_xll.dnetGBlackScholesNGreeks("price",$Q28,$P28,$G28,$I28,$C$3,$J28,$K28,$C$4)*R28</f>
        <v>-33.052667774565123</v>
      </c>
      <c r="M28" s="15"/>
      <c r="N28" s="13">
        <f t="shared" si="48"/>
        <v>0</v>
      </c>
      <c r="O28" s="13">
        <f t="shared" si="49"/>
        <v>33.052667774565123</v>
      </c>
      <c r="P28" s="11">
        <v>460</v>
      </c>
      <c r="Q28" s="10" t="s">
        <v>85</v>
      </c>
      <c r="R28" s="10">
        <f t="shared" si="50"/>
        <v>-1</v>
      </c>
      <c r="S28" s="10" t="s">
        <v>20</v>
      </c>
      <c r="T28" s="14">
        <f t="shared" si="51"/>
        <v>7.1853625596880702E-2</v>
      </c>
      <c r="U28" s="13">
        <f>_xll.dnetGBlackScholesNGreeks("delta",$Q28,$P28,$G28,$I28,$C$3,$J28,$K28,$C$4)*R28</f>
        <v>0.45573257775544107</v>
      </c>
      <c r="V28" s="13">
        <f>_xll.dnetGBlackScholesNGreeks("vega",$Q28,$P28,$G28,$I28,$C$3,$J28,$K28,$C$4)*R28</f>
        <v>-1.6479994453830926</v>
      </c>
      <c r="W28" s="114"/>
      <c r="X28" s="115">
        <v>400</v>
      </c>
      <c r="Y28" s="6">
        <f>X28*U28</f>
        <v>182.29303110217643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247</v>
      </c>
      <c r="E29" s="8">
        <f t="shared" ca="1" si="9"/>
        <v>43256</v>
      </c>
      <c r="F29" s="8">
        <f t="shared" ca="1" si="46"/>
        <v>43563</v>
      </c>
      <c r="G29" s="11">
        <v>490</v>
      </c>
      <c r="H29" s="10">
        <v>307</v>
      </c>
      <c r="I29" s="12">
        <f t="shared" si="47"/>
        <v>0.84109589041095889</v>
      </c>
      <c r="J29" s="12">
        <v>0</v>
      </c>
      <c r="K29" s="116">
        <v>0.2</v>
      </c>
      <c r="L29" s="13">
        <f>_xll.dnetGBlackScholesNGreeks("price",$Q29,$P29,$G29,$I29,$C$3,$J29,$K29,$C$4)*R29</f>
        <v>21.37911798395055</v>
      </c>
      <c r="M29" s="15"/>
      <c r="N29" s="13">
        <f t="shared" si="48"/>
        <v>0</v>
      </c>
      <c r="O29" s="13">
        <f t="shared" si="49"/>
        <v>21.37911798395055</v>
      </c>
      <c r="P29" s="11">
        <v>460</v>
      </c>
      <c r="Q29" s="10" t="s">
        <v>248</v>
      </c>
      <c r="R29" s="10">
        <f t="shared" si="50"/>
        <v>1</v>
      </c>
      <c r="S29" s="10" t="s">
        <v>151</v>
      </c>
      <c r="T29" s="14">
        <f t="shared" si="51"/>
        <v>4.647634344337076E-2</v>
      </c>
      <c r="U29" s="13">
        <f>_xll.dnetGBlackScholesNGreeks("delta",$Q29,$P29,$G29,$I29,$C$3,$J29,$K29,$C$4)*R29</f>
        <v>0.39356072357037419</v>
      </c>
      <c r="V29" s="13">
        <f>_xll.dnetGBlackScholesNGreeks("vega",$Q29,$P29,$G29,$I29,$C$3,$J29,$K29,$C$4)*R29</f>
        <v>1.6026955359131847</v>
      </c>
      <c r="W29" s="114"/>
      <c r="X29" s="115">
        <v>400</v>
      </c>
      <c r="Y29" s="6">
        <f>X29*U29</f>
        <v>157.42428942814968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250</v>
      </c>
      <c r="E31" s="8">
        <f t="shared" ca="1" si="9"/>
        <v>43256</v>
      </c>
      <c r="F31" s="8">
        <f t="shared" ref="F31" ca="1" si="52">E31+H31</f>
        <v>43286</v>
      </c>
      <c r="G31" s="11">
        <v>20600</v>
      </c>
      <c r="H31" s="10">
        <v>30</v>
      </c>
      <c r="I31" s="12">
        <f t="shared" ref="I31" si="53">H31/365</f>
        <v>8.2191780821917804E-2</v>
      </c>
      <c r="J31" s="12">
        <v>0</v>
      </c>
      <c r="K31" s="116">
        <v>0.29249999999999998</v>
      </c>
      <c r="L31" s="13">
        <f>_xll.dnetGBlackScholesNGreeks("price",$Q31,$P31,$G31,$I31,$C$3,$J31,$K31,$C$4)*R31</f>
        <v>-78.847663319336334</v>
      </c>
      <c r="M31" s="15"/>
      <c r="N31" s="13">
        <f t="shared" ref="N31" si="54">M31/10000*I31*P31</f>
        <v>0</v>
      </c>
      <c r="O31" s="13">
        <f t="shared" ref="O31" si="55">IF(L31&lt;=0,ABS(L31)+N31,L31-N31)</f>
        <v>78.847663319336334</v>
      </c>
      <c r="P31" s="11">
        <v>18515</v>
      </c>
      <c r="Q31" s="10" t="s">
        <v>248</v>
      </c>
      <c r="R31" s="10">
        <f t="shared" ref="R31" si="56">IF(S31="中金买入",1,-1)</f>
        <v>-1</v>
      </c>
      <c r="S31" s="10" t="s">
        <v>20</v>
      </c>
      <c r="T31" s="14">
        <f t="shared" ref="T31" si="57">O31/P31</f>
        <v>4.2585829500046629E-3</v>
      </c>
      <c r="U31" s="13">
        <f>_xll.dnetGBlackScholesNGreeks("delta",$Q31,$P31,$G31,$I31,$C$3,$J31,$K31,$C$4)*R31</f>
        <v>-0.10905850401741191</v>
      </c>
      <c r="V31" s="13">
        <f>_xll.dnetGBlackScholesNGreeks("vega",$Q31,$P31,$G31,$I31,$C$3,$J31,$K31,$C$4)*R31</f>
        <v>-9.9107501026288674</v>
      </c>
      <c r="W31" s="114"/>
      <c r="X31" s="115">
        <v>400</v>
      </c>
      <c r="Y31" s="6">
        <f>X31*U31</f>
        <v>-43.623401606964762</v>
      </c>
    </row>
    <row r="32" spans="1:25" ht="12" thickBot="1" x14ac:dyDescent="0.2">
      <c r="L32" s="146"/>
    </row>
    <row r="33" spans="1:25" s="166" customFormat="1" ht="10.5" customHeight="1" x14ac:dyDescent="0.15">
      <c r="A33" s="155"/>
      <c r="B33" s="156" t="s">
        <v>172</v>
      </c>
      <c r="C33" s="157" t="s">
        <v>160</v>
      </c>
      <c r="D33" s="157" t="s">
        <v>252</v>
      </c>
      <c r="E33" s="158">
        <f t="shared" ca="1" si="9"/>
        <v>43256</v>
      </c>
      <c r="F33" s="158">
        <f t="shared" ref="F33:F38" ca="1" si="58">E33+H33</f>
        <v>43285</v>
      </c>
      <c r="G33" s="159">
        <v>100</v>
      </c>
      <c r="H33" s="157">
        <v>29</v>
      </c>
      <c r="I33" s="160">
        <f t="shared" ref="I33:I38" si="59">H33/365</f>
        <v>7.9452054794520555E-2</v>
      </c>
      <c r="J33" s="160">
        <v>0</v>
      </c>
      <c r="K33" s="161">
        <v>0.12</v>
      </c>
      <c r="L33" s="156">
        <f>_xll.dnetGBlackScholesNGreeks("price",$Q33,$P33,$G33,$I33,$C$3,$J33,$K33,$C$4)*R33</f>
        <v>1.3472030700832036</v>
      </c>
      <c r="M33" s="162"/>
      <c r="N33" s="156">
        <f t="shared" ref="N33:N38" si="60">M33/10000*I33*P33</f>
        <v>0</v>
      </c>
      <c r="O33" s="156">
        <f t="shared" ref="O33:O38" si="61">IF(L33&lt;=0,ABS(L33)+N33,L33-N33)</f>
        <v>1.3472030700832036</v>
      </c>
      <c r="P33" s="159">
        <v>100</v>
      </c>
      <c r="Q33" s="157" t="s">
        <v>248</v>
      </c>
      <c r="R33" s="157">
        <f t="shared" ref="R33:R38" si="62">IF(S33="中金买入",1,-1)</f>
        <v>1</v>
      </c>
      <c r="S33" s="157" t="s">
        <v>151</v>
      </c>
      <c r="T33" s="163">
        <f t="shared" ref="T33:T38" si="63">O33/P33</f>
        <v>1.3472030700832036E-2</v>
      </c>
      <c r="U33" s="156">
        <f>_xll.dnetGBlackScholesNGreeks("delta",$Q33,$P33,$G33,$I33,$C$3,$J33,$K33,$C$4)*R33</f>
        <v>0.50594209629686304</v>
      </c>
      <c r="V33" s="156">
        <f>_xll.dnetGBlackScholesNGreeks("vega",$Q33,$P33,$G33,$I33,$C$3,$J33,$K33,$C$4)*R33</f>
        <v>0.11225618195812359</v>
      </c>
      <c r="W33" s="164"/>
      <c r="X33" s="165">
        <v>400</v>
      </c>
      <c r="Y33" s="166">
        <f>X33*U33</f>
        <v>202.37683851874522</v>
      </c>
    </row>
    <row r="34" spans="1:25" s="181" customFormat="1" ht="10.5" customHeight="1" thickBot="1" x14ac:dyDescent="0.2">
      <c r="A34" s="170"/>
      <c r="B34" s="171" t="s">
        <v>172</v>
      </c>
      <c r="C34" s="172" t="s">
        <v>160</v>
      </c>
      <c r="D34" s="172" t="s">
        <v>252</v>
      </c>
      <c r="E34" s="173">
        <f t="shared" ca="1" si="9"/>
        <v>43256</v>
      </c>
      <c r="F34" s="173">
        <f t="shared" ca="1" si="58"/>
        <v>43313</v>
      </c>
      <c r="G34" s="174">
        <v>100</v>
      </c>
      <c r="H34" s="172">
        <v>57</v>
      </c>
      <c r="I34" s="175">
        <f t="shared" si="59"/>
        <v>0.15616438356164383</v>
      </c>
      <c r="J34" s="175">
        <v>0</v>
      </c>
      <c r="K34" s="176">
        <v>9.5000000000000001E-2</v>
      </c>
      <c r="L34" s="171">
        <f>_xll.dnetGBlackScholesNGreeks("price",$Q34,$P34,$G34,$I34,$C$3,$J34,$K34,$C$4)*R34</f>
        <v>1.492941316345636</v>
      </c>
      <c r="M34" s="177"/>
      <c r="N34" s="171">
        <f t="shared" si="60"/>
        <v>0</v>
      </c>
      <c r="O34" s="171">
        <f t="shared" si="61"/>
        <v>1.492941316345636</v>
      </c>
      <c r="P34" s="174">
        <v>100</v>
      </c>
      <c r="Q34" s="172" t="s">
        <v>248</v>
      </c>
      <c r="R34" s="172">
        <f t="shared" si="62"/>
        <v>1</v>
      </c>
      <c r="S34" s="172" t="s">
        <v>151</v>
      </c>
      <c r="T34" s="178">
        <f t="shared" si="63"/>
        <v>1.492941316345636E-2</v>
      </c>
      <c r="U34" s="171">
        <f>_xll.dnetGBlackScholesNGreeks("delta",$Q34,$P34,$G34,$I34,$C$3,$J34,$K34,$C$4)*R34</f>
        <v>0.50590547246116557</v>
      </c>
      <c r="V34" s="171">
        <f>_xll.dnetGBlackScholesNGreeks("vega",$Q34,$P34,$G34,$I34,$C$3,$J34,$K34,$C$4)*R34</f>
        <v>0.1571331589150553</v>
      </c>
      <c r="W34" s="179"/>
      <c r="X34" s="180">
        <v>400</v>
      </c>
      <c r="Y34" s="181">
        <f>X34*U34</f>
        <v>202.36218898446623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213</v>
      </c>
      <c r="E35" s="8">
        <f t="shared" ca="1" si="9"/>
        <v>43256</v>
      </c>
      <c r="F35" s="8">
        <f t="shared" ca="1" si="58"/>
        <v>43285</v>
      </c>
      <c r="G35" s="11">
        <v>100</v>
      </c>
      <c r="H35" s="10">
        <v>29</v>
      </c>
      <c r="I35" s="12">
        <f t="shared" si="59"/>
        <v>7.9452054794520555E-2</v>
      </c>
      <c r="J35" s="12">
        <v>0</v>
      </c>
      <c r="K35" s="116">
        <v>0.21</v>
      </c>
      <c r="L35" s="13">
        <f>_xll.dnetGBlackScholesNGreeks("price",$Q35,$P35,$G35,$I35,$C$3,$J35,$K35,$C$4)*R35</f>
        <v>2.3573735977138597</v>
      </c>
      <c r="M35" s="15"/>
      <c r="N35" s="13">
        <f t="shared" si="60"/>
        <v>0</v>
      </c>
      <c r="O35" s="13">
        <f t="shared" si="61"/>
        <v>2.3573735977138597</v>
      </c>
      <c r="P35" s="11">
        <v>100</v>
      </c>
      <c r="Q35" s="10" t="s">
        <v>248</v>
      </c>
      <c r="R35" s="10">
        <f t="shared" si="62"/>
        <v>1</v>
      </c>
      <c r="S35" s="10" t="s">
        <v>151</v>
      </c>
      <c r="T35" s="14">
        <f t="shared" si="63"/>
        <v>2.3573735977138598E-2</v>
      </c>
      <c r="U35" s="13">
        <f>_xll.dnetGBlackScholesNGreeks("delta",$Q35,$P35,$G35,$I35,$C$3,$J35,$K35,$C$4)*R35</f>
        <v>0.51099296155463492</v>
      </c>
      <c r="V35" s="13">
        <f>_xll.dnetGBlackScholesNGreeks("vega",$Q35,$P35,$G35,$I35,$C$3,$J35,$K35,$C$4)*R35</f>
        <v>0.11222307513368079</v>
      </c>
      <c r="W35" s="114"/>
      <c r="X35" s="115">
        <v>400</v>
      </c>
      <c r="Y35" s="6">
        <f>X35*U35</f>
        <v>204.39718462185397</v>
      </c>
    </row>
    <row r="36" spans="1:25" ht="10.5" customHeight="1" thickBot="1" x14ac:dyDescent="0.2">
      <c r="A36" s="34"/>
      <c r="B36" s="147" t="s">
        <v>172</v>
      </c>
      <c r="C36" s="148" t="s">
        <v>160</v>
      </c>
      <c r="D36" s="148" t="s">
        <v>213</v>
      </c>
      <c r="E36" s="149">
        <f t="shared" ca="1" si="9"/>
        <v>43256</v>
      </c>
      <c r="F36" s="149">
        <f t="shared" ca="1" si="58"/>
        <v>43313</v>
      </c>
      <c r="G36" s="150">
        <v>100</v>
      </c>
      <c r="H36" s="148">
        <v>57</v>
      </c>
      <c r="I36" s="151">
        <f t="shared" si="59"/>
        <v>0.15616438356164383</v>
      </c>
      <c r="J36" s="151">
        <v>0</v>
      </c>
      <c r="K36" s="152">
        <v>0.20499999999999999</v>
      </c>
      <c r="L36" s="147">
        <f>_xll.dnetGBlackScholesNGreeks("price",$Q36,$P36,$G36,$I36,$C$3,$J36,$K36,$C$4)*R36</f>
        <v>3.2209186115487185</v>
      </c>
      <c r="M36" s="153"/>
      <c r="N36" s="147">
        <f t="shared" si="60"/>
        <v>0</v>
      </c>
      <c r="O36" s="147">
        <f t="shared" si="61"/>
        <v>3.2209186115487185</v>
      </c>
      <c r="P36" s="150">
        <v>100</v>
      </c>
      <c r="Q36" s="148" t="s">
        <v>248</v>
      </c>
      <c r="R36" s="148">
        <f t="shared" si="62"/>
        <v>1</v>
      </c>
      <c r="S36" s="148" t="s">
        <v>151</v>
      </c>
      <c r="T36" s="154">
        <f t="shared" si="63"/>
        <v>3.2209186115487183E-2</v>
      </c>
      <c r="U36" s="147">
        <f>_xll.dnetGBlackScholesNGreeks("delta",$Q36,$P36,$G36,$I36,$C$3,$J36,$K36,$C$4)*R36</f>
        <v>0.51454537315365201</v>
      </c>
      <c r="V36" s="147">
        <f>_xll.dnetGBlackScholesNGreeks("vega",$Q36,$P36,$G36,$I36,$C$3,$J36,$K36,$C$4)*R36</f>
        <v>0.15703196990514812</v>
      </c>
      <c r="W36" s="114"/>
      <c r="X36" s="115">
        <v>400</v>
      </c>
      <c r="Y36" s="6">
        <f>X36*U36</f>
        <v>205.8181492614608</v>
      </c>
    </row>
    <row r="37" spans="1:25" s="166" customFormat="1" ht="10.5" customHeight="1" x14ac:dyDescent="0.15">
      <c r="A37" s="155"/>
      <c r="B37" s="156" t="s">
        <v>172</v>
      </c>
      <c r="C37" s="157" t="s">
        <v>160</v>
      </c>
      <c r="D37" s="157" t="s">
        <v>255</v>
      </c>
      <c r="E37" s="158">
        <f t="shared" ca="1" si="9"/>
        <v>43256</v>
      </c>
      <c r="F37" s="158">
        <f t="shared" ca="1" si="58"/>
        <v>43285</v>
      </c>
      <c r="G37" s="159">
        <v>100</v>
      </c>
      <c r="H37" s="157">
        <v>29</v>
      </c>
      <c r="I37" s="160">
        <f t="shared" si="59"/>
        <v>7.9452054794520555E-2</v>
      </c>
      <c r="J37" s="160">
        <v>0</v>
      </c>
      <c r="K37" s="161">
        <v>0.125</v>
      </c>
      <c r="L37" s="156">
        <f>_xll.dnetGBlackScholesNGreeks("price",$Q37,$P37,$G37,$I37,$C$3,$J37,$K37,$C$4)*R37</f>
        <v>1.403330840532206</v>
      </c>
      <c r="M37" s="162"/>
      <c r="N37" s="156">
        <f t="shared" si="60"/>
        <v>0</v>
      </c>
      <c r="O37" s="156">
        <f t="shared" si="61"/>
        <v>1.403330840532206</v>
      </c>
      <c r="P37" s="159">
        <v>100</v>
      </c>
      <c r="Q37" s="157" t="s">
        <v>248</v>
      </c>
      <c r="R37" s="157">
        <f t="shared" si="62"/>
        <v>1</v>
      </c>
      <c r="S37" s="157" t="s">
        <v>151</v>
      </c>
      <c r="T37" s="163">
        <f t="shared" si="63"/>
        <v>1.403330840532206E-2</v>
      </c>
      <c r="U37" s="156">
        <f>_xll.dnetGBlackScholesNGreeks("delta",$Q37,$P37,$G37,$I37,$C$3,$J37,$K37,$C$4)*R37</f>
        <v>0.50622273632612291</v>
      </c>
      <c r="V37" s="156">
        <f>_xll.dnetGBlackScholesNGreeks("vega",$Q37,$P37,$G37,$I37,$C$3,$J37,$K37,$C$4)*R37</f>
        <v>0.11225481624785871</v>
      </c>
      <c r="W37" s="164"/>
      <c r="X37" s="165">
        <v>400</v>
      </c>
      <c r="Y37" s="166">
        <f>X37*U37</f>
        <v>202.48909453044917</v>
      </c>
    </row>
    <row r="38" spans="1:25" s="95" customFormat="1" ht="10.5" customHeight="1" x14ac:dyDescent="0.15">
      <c r="A38" s="167"/>
      <c r="B38" s="13" t="s">
        <v>172</v>
      </c>
      <c r="C38" s="10" t="s">
        <v>160</v>
      </c>
      <c r="D38" s="10" t="s">
        <v>255</v>
      </c>
      <c r="E38" s="8">
        <f t="shared" ca="1" si="9"/>
        <v>43256</v>
      </c>
      <c r="F38" s="8">
        <f t="shared" ca="1" si="58"/>
        <v>43285</v>
      </c>
      <c r="G38" s="11">
        <v>100</v>
      </c>
      <c r="H38" s="10">
        <v>29</v>
      </c>
      <c r="I38" s="12">
        <f t="shared" si="59"/>
        <v>7.9452054794520555E-2</v>
      </c>
      <c r="J38" s="12">
        <v>0</v>
      </c>
      <c r="K38" s="116">
        <v>0.17499999999999999</v>
      </c>
      <c r="L38" s="13">
        <f>_xll.dnetGBlackScholesNGreeks("price",$Q38,$P38,$G38,$I38,$C$3,$J38,$K38,$C$4)*R38</f>
        <v>-1.9645656248129484</v>
      </c>
      <c r="M38" s="15"/>
      <c r="N38" s="13">
        <f t="shared" si="60"/>
        <v>0</v>
      </c>
      <c r="O38" s="13">
        <f t="shared" si="61"/>
        <v>1.9645656248129484</v>
      </c>
      <c r="P38" s="11">
        <v>100</v>
      </c>
      <c r="Q38" s="10" t="s">
        <v>248</v>
      </c>
      <c r="R38" s="10">
        <f t="shared" si="62"/>
        <v>-1</v>
      </c>
      <c r="S38" s="10" t="s">
        <v>20</v>
      </c>
      <c r="T38" s="14">
        <f t="shared" si="63"/>
        <v>1.9645656248129483E-2</v>
      </c>
      <c r="U38" s="13">
        <f>_xll.dnetGBlackScholesNGreeks("delta",$Q38,$P38,$G38,$I38,$C$3,$J38,$K38,$C$4)*R38</f>
        <v>-0.50902891832436126</v>
      </c>
      <c r="V38" s="13">
        <f>_xll.dnetGBlackScholesNGreeks("vega",$Q38,$P38,$G38,$I38,$C$3,$J38,$K38,$C$4)*R38</f>
        <v>-0.11223809461234069</v>
      </c>
      <c r="W38" s="168"/>
      <c r="X38" s="169">
        <v>400</v>
      </c>
      <c r="Y38" s="95">
        <f>X38*U38</f>
        <v>-203.6115673297445</v>
      </c>
    </row>
    <row r="39" spans="1:25" s="95" customFormat="1" ht="10.5" customHeight="1" x14ac:dyDescent="0.15">
      <c r="A39" s="167"/>
      <c r="B39" s="13" t="s">
        <v>172</v>
      </c>
      <c r="C39" s="10" t="s">
        <v>160</v>
      </c>
      <c r="D39" s="10" t="s">
        <v>255</v>
      </c>
      <c r="E39" s="8">
        <f t="shared" ca="1" si="9"/>
        <v>43256</v>
      </c>
      <c r="F39" s="8">
        <f t="shared" ref="F39:F40" ca="1" si="64">E39+H39</f>
        <v>43313</v>
      </c>
      <c r="G39" s="11">
        <v>100</v>
      </c>
      <c r="H39" s="10">
        <v>57</v>
      </c>
      <c r="I39" s="12">
        <f t="shared" ref="I39:I40" si="65">H39/365</f>
        <v>0.15616438356164383</v>
      </c>
      <c r="J39" s="12">
        <v>0</v>
      </c>
      <c r="K39" s="116">
        <v>0.13500000000000001</v>
      </c>
      <c r="L39" s="13">
        <f>_xll.dnetGBlackScholesNGreeks("price",$Q39,$P39,$G39,$I39,$C$3,$J39,$K39,$C$4)*R39</f>
        <v>2.1214211969258798</v>
      </c>
      <c r="M39" s="15"/>
      <c r="N39" s="13">
        <f t="shared" ref="N39:N40" si="66">M39/10000*I39*P39</f>
        <v>0</v>
      </c>
      <c r="O39" s="13">
        <f t="shared" ref="O39:O40" si="67">IF(L39&lt;=0,ABS(L39)+N39,L39-N39)</f>
        <v>2.1214211969258798</v>
      </c>
      <c r="P39" s="11">
        <v>100</v>
      </c>
      <c r="Q39" s="10" t="s">
        <v>248</v>
      </c>
      <c r="R39" s="10">
        <f t="shared" ref="R39:R40" si="68">IF(S39="中金买入",1,-1)</f>
        <v>1</v>
      </c>
      <c r="S39" s="10" t="s">
        <v>151</v>
      </c>
      <c r="T39" s="14">
        <f t="shared" ref="T39:T40" si="69">O39/P39</f>
        <v>2.1214211969258798E-2</v>
      </c>
      <c r="U39" s="13">
        <f>_xll.dnetGBlackScholesNGreeks("delta",$Q39,$P39,$G39,$I39,$C$3,$J39,$K39,$C$4)*R39</f>
        <v>0.50904787971326471</v>
      </c>
      <c r="V39" s="13">
        <f>_xll.dnetGBlackScholesNGreeks("vega",$Q39,$P39,$G39,$I39,$C$3,$J39,$K39,$C$4)*R39</f>
        <v>0.15710494209223924</v>
      </c>
      <c r="W39" s="168"/>
      <c r="X39" s="169">
        <v>400</v>
      </c>
      <c r="Y39" s="95">
        <f>X39*U39</f>
        <v>203.61915188530588</v>
      </c>
    </row>
    <row r="40" spans="1:25" s="181" customFormat="1" ht="10.5" customHeight="1" thickBot="1" x14ac:dyDescent="0.2">
      <c r="A40" s="170"/>
      <c r="B40" s="171" t="s">
        <v>172</v>
      </c>
      <c r="C40" s="172" t="s">
        <v>160</v>
      </c>
      <c r="D40" s="172" t="s">
        <v>255</v>
      </c>
      <c r="E40" s="173">
        <f t="shared" ca="1" si="9"/>
        <v>43256</v>
      </c>
      <c r="F40" s="173">
        <f t="shared" ca="1" si="64"/>
        <v>43313</v>
      </c>
      <c r="G40" s="174">
        <v>100</v>
      </c>
      <c r="H40" s="172">
        <v>57</v>
      </c>
      <c r="I40" s="175">
        <f t="shared" si="65"/>
        <v>0.15616438356164383</v>
      </c>
      <c r="J40" s="175">
        <v>0</v>
      </c>
      <c r="K40" s="176">
        <v>0.19</v>
      </c>
      <c r="L40" s="171">
        <f>_xll.dnetGBlackScholesNGreeks("price",$Q40,$P40,$G40,$I40,$C$3,$J40,$K40,$C$4)*R40</f>
        <v>-2.9853567090553241</v>
      </c>
      <c r="M40" s="177"/>
      <c r="N40" s="171">
        <f t="shared" si="66"/>
        <v>0</v>
      </c>
      <c r="O40" s="171">
        <f t="shared" si="67"/>
        <v>2.9853567090553241</v>
      </c>
      <c r="P40" s="174">
        <v>100</v>
      </c>
      <c r="Q40" s="172" t="s">
        <v>248</v>
      </c>
      <c r="R40" s="172">
        <f t="shared" si="68"/>
        <v>-1</v>
      </c>
      <c r="S40" s="172" t="s">
        <v>20</v>
      </c>
      <c r="T40" s="178">
        <f t="shared" si="69"/>
        <v>2.9853567090553243E-2</v>
      </c>
      <c r="U40" s="171">
        <f>_xll.dnetGBlackScholesNGreeks("delta",$Q40,$P40,$G40,$I40,$C$3,$J40,$K40,$C$4)*R40</f>
        <v>-0.51336756267161832</v>
      </c>
      <c r="V40" s="171">
        <f>_xll.dnetGBlackScholesNGreeks("vega",$Q40,$P40,$G40,$I40,$C$3,$J40,$K40,$C$4)*R40</f>
        <v>-0.15705013313119309</v>
      </c>
      <c r="W40" s="179"/>
      <c r="X40" s="180">
        <v>400</v>
      </c>
      <c r="Y40" s="181">
        <f>X40*U40</f>
        <v>-205.34702506864733</v>
      </c>
    </row>
    <row r="41" spans="1:25" s="166" customFormat="1" ht="10.5" customHeight="1" x14ac:dyDescent="0.15">
      <c r="A41" s="155"/>
      <c r="B41" s="156" t="s">
        <v>172</v>
      </c>
      <c r="C41" s="157" t="s">
        <v>160</v>
      </c>
      <c r="D41" s="157" t="s">
        <v>210</v>
      </c>
      <c r="E41" s="158">
        <f t="shared" ca="1" si="9"/>
        <v>43256</v>
      </c>
      <c r="F41" s="158">
        <f t="shared" ref="F41:F44" ca="1" si="70">E41+H41</f>
        <v>43285</v>
      </c>
      <c r="G41" s="159">
        <v>100</v>
      </c>
      <c r="H41" s="157">
        <v>29</v>
      </c>
      <c r="I41" s="160">
        <f t="shared" ref="I41:I44" si="71">H41/365</f>
        <v>7.9452054794520555E-2</v>
      </c>
      <c r="J41" s="160">
        <v>0</v>
      </c>
      <c r="K41" s="161">
        <v>0.215</v>
      </c>
      <c r="L41" s="156">
        <f>_xll.dnetGBlackScholesNGreeks("price",$Q41,$P41,$G41,$I41,$C$3,$J41,$K41,$C$4)*R41</f>
        <v>2.4134845640644613</v>
      </c>
      <c r="M41" s="162"/>
      <c r="N41" s="156">
        <f t="shared" ref="N41:N44" si="72">M41/10000*I41*P41</f>
        <v>0</v>
      </c>
      <c r="O41" s="156">
        <f t="shared" ref="O41:O44" si="73">IF(L41&lt;=0,ABS(L41)+N41,L41-N41)</f>
        <v>2.4134845640644613</v>
      </c>
      <c r="P41" s="159">
        <v>100</v>
      </c>
      <c r="Q41" s="157" t="s">
        <v>248</v>
      </c>
      <c r="R41" s="157">
        <f t="shared" ref="R41:R44" si="74">IF(S41="中金买入",1,-1)</f>
        <v>1</v>
      </c>
      <c r="S41" s="157" t="s">
        <v>151</v>
      </c>
      <c r="T41" s="163">
        <f t="shared" ref="T41:T44" si="75">O41/P41</f>
        <v>2.4134845640644612E-2</v>
      </c>
      <c r="U41" s="156">
        <f>_xll.dnetGBlackScholesNGreeks("delta",$Q41,$P41,$G41,$I41,$C$3,$J41,$K41,$C$4)*R41</f>
        <v>0.5112735167777771</v>
      </c>
      <c r="V41" s="156">
        <f>_xll.dnetGBlackScholesNGreeks("vega",$Q41,$P41,$G41,$I41,$C$3,$J41,$K41,$C$4)*R41</f>
        <v>0.11222070675373175</v>
      </c>
      <c r="W41" s="164"/>
      <c r="X41" s="165">
        <v>400</v>
      </c>
      <c r="Y41" s="166">
        <f>X41*U41</f>
        <v>204.50940671111084</v>
      </c>
    </row>
    <row r="42" spans="1:25" s="181" customFormat="1" ht="10.5" customHeight="1" thickBot="1" x14ac:dyDescent="0.2">
      <c r="A42" s="170"/>
      <c r="B42" s="171" t="s">
        <v>172</v>
      </c>
      <c r="C42" s="172" t="s">
        <v>160</v>
      </c>
      <c r="D42" s="172" t="s">
        <v>210</v>
      </c>
      <c r="E42" s="173">
        <f t="shared" ca="1" si="9"/>
        <v>43256</v>
      </c>
      <c r="F42" s="173">
        <f t="shared" ca="1" si="70"/>
        <v>43285</v>
      </c>
      <c r="G42" s="174">
        <v>100</v>
      </c>
      <c r="H42" s="172">
        <v>29</v>
      </c>
      <c r="I42" s="175">
        <f t="shared" si="71"/>
        <v>7.9452054794520555E-2</v>
      </c>
      <c r="J42" s="175">
        <v>0</v>
      </c>
      <c r="K42" s="176">
        <v>0.28499999999999998</v>
      </c>
      <c r="L42" s="171">
        <f>_xll.dnetGBlackScholesNGreeks("price",$Q42,$P42,$G42,$I42,$C$3,$J42,$K42,$C$4)*R42</f>
        <v>-3.1988996284107571</v>
      </c>
      <c r="M42" s="177"/>
      <c r="N42" s="171">
        <f t="shared" si="72"/>
        <v>0</v>
      </c>
      <c r="O42" s="171">
        <f t="shared" si="73"/>
        <v>3.1988996284107571</v>
      </c>
      <c r="P42" s="174">
        <v>100</v>
      </c>
      <c r="Q42" s="172" t="s">
        <v>248</v>
      </c>
      <c r="R42" s="172">
        <f t="shared" si="74"/>
        <v>-1</v>
      </c>
      <c r="S42" s="172" t="s">
        <v>20</v>
      </c>
      <c r="T42" s="178">
        <f t="shared" si="75"/>
        <v>3.198899628410757E-2</v>
      </c>
      <c r="U42" s="171">
        <f>_xll.dnetGBlackScholesNGreeks("delta",$Q42,$P42,$G42,$I42,$C$3,$J42,$K42,$C$4)*R42</f>
        <v>-0.51520059613743285</v>
      </c>
      <c r="V42" s="171">
        <f>_xll.dnetGBlackScholesNGreeks("vega",$Q42,$P42,$G42,$I42,$C$3,$J42,$K42,$C$4)*R42</f>
        <v>-0.11218170533332739</v>
      </c>
      <c r="W42" s="179"/>
      <c r="X42" s="180">
        <v>400</v>
      </c>
      <c r="Y42" s="181">
        <f>X42*U42</f>
        <v>-206.08023845497314</v>
      </c>
    </row>
    <row r="43" spans="1:25" s="166" customFormat="1" ht="10.5" customHeight="1" x14ac:dyDescent="0.15">
      <c r="A43" s="155"/>
      <c r="B43" s="156" t="s">
        <v>172</v>
      </c>
      <c r="C43" s="157" t="s">
        <v>160</v>
      </c>
      <c r="D43" s="157" t="s">
        <v>258</v>
      </c>
      <c r="E43" s="158">
        <f t="shared" ca="1" si="9"/>
        <v>43256</v>
      </c>
      <c r="F43" s="158">
        <f t="shared" ca="1" si="70"/>
        <v>43285</v>
      </c>
      <c r="G43" s="159">
        <v>100</v>
      </c>
      <c r="H43" s="157">
        <v>29</v>
      </c>
      <c r="I43" s="160">
        <f t="shared" si="71"/>
        <v>7.9452054794520555E-2</v>
      </c>
      <c r="J43" s="160">
        <v>0</v>
      </c>
      <c r="K43" s="161">
        <v>0.20499999999999999</v>
      </c>
      <c r="L43" s="156">
        <f>_xll.dnetGBlackScholesNGreeks("price",$Q43,$P43,$G43,$I43,$C$3,$J43,$K43,$C$4)*R43</f>
        <v>2.3012614610915776</v>
      </c>
      <c r="M43" s="162"/>
      <c r="N43" s="156">
        <f t="shared" si="72"/>
        <v>0</v>
      </c>
      <c r="O43" s="156">
        <f t="shared" si="73"/>
        <v>2.3012614610915776</v>
      </c>
      <c r="P43" s="159">
        <v>100</v>
      </c>
      <c r="Q43" s="157" t="s">
        <v>248</v>
      </c>
      <c r="R43" s="157">
        <f t="shared" si="74"/>
        <v>1</v>
      </c>
      <c r="S43" s="157" t="s">
        <v>151</v>
      </c>
      <c r="T43" s="163">
        <f t="shared" si="75"/>
        <v>2.3012614610915777E-2</v>
      </c>
      <c r="U43" s="156">
        <f>_xll.dnetGBlackScholesNGreeks("delta",$Q43,$P43,$G43,$I43,$C$3,$J43,$K43,$C$4)*R43</f>
        <v>0.51071240046134392</v>
      </c>
      <c r="V43" s="156">
        <f>_xll.dnetGBlackScholesNGreeks("vega",$Q43,$P43,$G43,$I43,$C$3,$J43,$K43,$C$4)*R43</f>
        <v>0.11222538783527369</v>
      </c>
      <c r="W43" s="164"/>
      <c r="X43" s="165">
        <v>400</v>
      </c>
      <c r="Y43" s="166">
        <f>X43*U43</f>
        <v>204.28496018453757</v>
      </c>
    </row>
    <row r="44" spans="1:25" s="181" customFormat="1" ht="10.5" customHeight="1" thickBot="1" x14ac:dyDescent="0.2">
      <c r="A44" s="170"/>
      <c r="B44" s="171" t="s">
        <v>172</v>
      </c>
      <c r="C44" s="172" t="s">
        <v>160</v>
      </c>
      <c r="D44" s="172" t="s">
        <v>258</v>
      </c>
      <c r="E44" s="173">
        <f t="shared" ca="1" si="9"/>
        <v>43256</v>
      </c>
      <c r="F44" s="173">
        <f t="shared" ca="1" si="70"/>
        <v>43285</v>
      </c>
      <c r="G44" s="174">
        <v>100</v>
      </c>
      <c r="H44" s="172">
        <v>29</v>
      </c>
      <c r="I44" s="175">
        <f t="shared" si="71"/>
        <v>7.9452054794520555E-2</v>
      </c>
      <c r="J44" s="175">
        <v>0</v>
      </c>
      <c r="K44" s="176">
        <v>0.27500000000000002</v>
      </c>
      <c r="L44" s="171">
        <f>_xll.dnetGBlackScholesNGreeks("price",$Q44,$P44,$G44,$I44,$C$3,$J44,$K44,$C$4)*R44</f>
        <v>-3.0867147477978421</v>
      </c>
      <c r="M44" s="177"/>
      <c r="N44" s="171">
        <f t="shared" si="72"/>
        <v>0</v>
      </c>
      <c r="O44" s="171">
        <f t="shared" si="73"/>
        <v>3.0867147477978421</v>
      </c>
      <c r="P44" s="174">
        <v>100</v>
      </c>
      <c r="Q44" s="172" t="s">
        <v>248</v>
      </c>
      <c r="R44" s="172">
        <f t="shared" si="74"/>
        <v>-1</v>
      </c>
      <c r="S44" s="172" t="s">
        <v>20</v>
      </c>
      <c r="T44" s="178">
        <f t="shared" si="75"/>
        <v>3.0867147477978422E-2</v>
      </c>
      <c r="U44" s="171">
        <f>_xll.dnetGBlackScholesNGreeks("delta",$Q44,$P44,$G44,$I44,$C$3,$J44,$K44,$C$4)*R44</f>
        <v>-0.51463967128384525</v>
      </c>
      <c r="V44" s="171">
        <f>_xll.dnetGBlackScholesNGreeks("vega",$Q44,$P44,$G44,$I44,$C$3,$J44,$K44,$C$4)*R44</f>
        <v>-0.11218794464959458</v>
      </c>
      <c r="W44" s="179"/>
      <c r="X44" s="180">
        <v>400</v>
      </c>
      <c r="Y44" s="181">
        <f>X44*U44</f>
        <v>-205.8558685135381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S13:S17 S19:S20 S22:S23 S25 S27:S29 S31 S33:S44</xm:sqref>
        </x14:dataValidation>
        <x14:dataValidation type="list" allowBlank="1" showInputMessage="1" showErrorMessage="1">
          <x14:formula1>
            <xm:f>configs!$C$1:$C$2</xm:f>
          </x14:formula1>
          <xm:sqref>Q8:Q9 Q13:Q17 Q19:Q20 Q22:Q23 Q25 Q27:Q29 Q31 Q33:Q44</xm:sqref>
        </x14:dataValidation>
        <x14:dataValidation type="list" allowBlank="1" showInputMessage="1">
          <x14:formula1>
            <xm:f>configs!$A$1:$A$36</xm:f>
          </x14:formula1>
          <xm:sqref>C8:C9 C13:C17 C19:C20 C22:C23 C25 C27:C29 C31 C33:C44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29" sqref="N2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4" t="s">
        <v>37</v>
      </c>
      <c r="C1" s="14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43256</v>
      </c>
      <c r="F8" s="46">
        <f ca="1">E8+H8</f>
        <v>43286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43256</v>
      </c>
      <c r="F9" s="54">
        <f ca="1">F8</f>
        <v>43286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43256</v>
      </c>
      <c r="F10" s="62">
        <f ca="1">F9</f>
        <v>43286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201</v>
      </c>
      <c r="E11" s="46">
        <f ca="1">TODAY()</f>
        <v>43256</v>
      </c>
      <c r="F11" s="46">
        <f ca="1">E11+H11</f>
        <v>43271</v>
      </c>
      <c r="G11" s="113">
        <f>P11-20</f>
        <v>445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-3.7976707861370187</v>
      </c>
      <c r="M11" s="49"/>
      <c r="N11" s="43"/>
      <c r="O11" s="43">
        <f t="shared" ref="O11:O13" si="1">IF(L11&lt;=0,ABS(L11)+N11,L11-N11)</f>
        <v>3.7976707861370187</v>
      </c>
      <c r="P11" s="110">
        <f>RTD("wdf.rtq",,D11,"LastPrice")</f>
        <v>465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0.22545206596760181</v>
      </c>
      <c r="V11" s="43">
        <f>_xll.dnetGBlackScholesNGreeks("vega",$Q11,$P11,$G11,$I11,$C$3,$J11,$K11,$C$4)*R11</f>
        <v>-0.28286629039953226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201</v>
      </c>
      <c r="E12" s="54">
        <f t="shared" ref="E12:F12" ca="1" si="2">E11</f>
        <v>43256</v>
      </c>
      <c r="F12" s="54">
        <f t="shared" ca="1" si="2"/>
        <v>43271</v>
      </c>
      <c r="G12" s="52">
        <f>G11+50</f>
        <v>495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2.0770696298898912</v>
      </c>
      <c r="M12" s="57"/>
      <c r="N12" s="51"/>
      <c r="O12" s="51">
        <f t="shared" si="1"/>
        <v>2.0770696298898912</v>
      </c>
      <c r="P12" s="94">
        <f>P11</f>
        <v>465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0.15042733371544159</v>
      </c>
      <c r="V12" s="51">
        <f>_xll.dnetGBlackScholesNGreeks("vega",$Q12,$P12,$G12,$I12,$C$3,$J12,$K12,$C$4)*R12</f>
        <v>0.22005235026643533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43256</v>
      </c>
      <c r="F13" s="62">
        <f t="shared" ca="1" si="3"/>
        <v>43271</v>
      </c>
      <c r="G13" s="60" t="str">
        <f>G11 &amp; "|" &amp; G12</f>
        <v>445|495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-1.7206011562471275</v>
      </c>
      <c r="M13" s="60">
        <v>0</v>
      </c>
      <c r="N13" s="59">
        <f>M13/10000*I13*P13</f>
        <v>0</v>
      </c>
      <c r="O13" s="59">
        <f t="shared" si="1"/>
        <v>1.7206011562471275</v>
      </c>
      <c r="P13" s="111">
        <f>P12</f>
        <v>465</v>
      </c>
      <c r="Q13" s="60"/>
      <c r="R13" s="60"/>
      <c r="S13" s="56" t="s">
        <v>151</v>
      </c>
      <c r="T13" s="64">
        <f>O13/P13</f>
        <v>3.7002175403164032E-3</v>
      </c>
      <c r="U13" s="64">
        <f>U12+U11</f>
        <v>0.3758793996830434</v>
      </c>
      <c r="V13" s="64">
        <f>V12+V11</f>
        <v>-6.2813940133096935E-2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210</v>
      </c>
      <c r="E14" s="46">
        <f ca="1">TODAY()</f>
        <v>43256</v>
      </c>
      <c r="F14" s="46">
        <f ca="1">E14+H14</f>
        <v>43347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-348.53050120161379</v>
      </c>
      <c r="M14" s="49"/>
      <c r="N14" s="43"/>
      <c r="O14" s="43">
        <f t="shared" ref="O14:O16" si="4">IF(L14&lt;=0,ABS(L14)+N14,L14-N14)</f>
        <v>348.53050120161379</v>
      </c>
      <c r="P14" s="110">
        <f>RTD("wdf.rtq",,D14,"LastPrice")</f>
        <v>3712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-0.69003272074041888</v>
      </c>
      <c r="V14" s="43">
        <f>_xll.dnetGBlackScholesNGreeks("vega",$Q14,$P14,$G14,$I14,$C$3,$J14,$K14,$C$4)*R14</f>
        <v>-6.4735528736466676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43256</v>
      </c>
      <c r="F15" s="54">
        <f t="shared" ca="1" si="5"/>
        <v>43347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50.032142141144277</v>
      </c>
      <c r="M15" s="57"/>
      <c r="N15" s="51"/>
      <c r="O15" s="51">
        <f t="shared" si="4"/>
        <v>50.032142141144277</v>
      </c>
      <c r="P15" s="94">
        <f>P14</f>
        <v>3712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-0.16897345687993948</v>
      </c>
      <c r="V15" s="51">
        <f>_xll.dnetGBlackScholesNGreeks("vega",$Q15,$P15,$G15,$I15,$C$3,$J15,$K15,$C$4)*R15</f>
        <v>4.6619705621044432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43256</v>
      </c>
      <c r="F16" s="62">
        <f t="shared" ca="1" si="6"/>
        <v>43347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-298.49835906046951</v>
      </c>
      <c r="M16" s="60">
        <v>0</v>
      </c>
      <c r="N16" s="59">
        <f>M16/10000*I16*P16</f>
        <v>0</v>
      </c>
      <c r="O16" s="59">
        <f t="shared" si="4"/>
        <v>298.49835906046951</v>
      </c>
      <c r="P16" s="111">
        <f>P15</f>
        <v>3712</v>
      </c>
      <c r="Q16" s="60"/>
      <c r="R16" s="60"/>
      <c r="S16" s="56" t="s">
        <v>151</v>
      </c>
      <c r="T16" s="64">
        <f>O16/P16</f>
        <v>8.0414428626204071E-2</v>
      </c>
      <c r="U16" s="64">
        <f>U15+U14</f>
        <v>-0.85900617762035836</v>
      </c>
      <c r="V16" s="64">
        <f>V15+V14</f>
        <v>-1.8115823115422245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228</v>
      </c>
      <c r="E18" s="46">
        <f ca="1">TODAY()</f>
        <v>43256</v>
      </c>
      <c r="F18" s="46">
        <f ca="1">E18+H18</f>
        <v>43287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53.293069237209465</v>
      </c>
      <c r="M18" s="49"/>
      <c r="N18" s="43"/>
      <c r="O18" s="43">
        <f t="shared" ref="O18:O20" si="7">IF(L18&lt;=0,ABS(L18)+N18,L18-N18)</f>
        <v>53.293069237209465</v>
      </c>
      <c r="P18" s="110">
        <f>RTD("wdf.rtq",,D18,"LastPrice")</f>
        <v>3005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-0.47565627980930003</v>
      </c>
      <c r="V18" s="43">
        <f>_xll.dnetGBlackScholesNGreeks("vega",$Q18,$P18,$G18,$I18,$C$3,$J18,$K18,$C$4)*R18</f>
        <v>3.4817165035884727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43256</v>
      </c>
      <c r="F19" s="54">
        <f t="shared" ca="1" si="8"/>
        <v>43287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-3.2384142837232446</v>
      </c>
      <c r="M19" s="57"/>
      <c r="N19" s="51"/>
      <c r="O19" s="51">
        <f t="shared" si="7"/>
        <v>3.2384142837232446</v>
      </c>
      <c r="P19" s="94">
        <f>P18</f>
        <v>3005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-5.0101509619082663E-2</v>
      </c>
      <c r="V19" s="51">
        <f>_xll.dnetGBlackScholesNGreeks("vega",$Q19,$P19,$G19,$I19,$C$3,$J19,$K19,$C$4)*R19</f>
        <v>-0.90408525416621899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43256</v>
      </c>
      <c r="F20" s="62">
        <f t="shared" ca="1" si="9"/>
        <v>43287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50.054654953486221</v>
      </c>
      <c r="M20" s="60">
        <v>0</v>
      </c>
      <c r="N20" s="59">
        <f>M20/10000*I20*P20</f>
        <v>0</v>
      </c>
      <c r="O20" s="59">
        <f t="shared" si="7"/>
        <v>50.054654953486221</v>
      </c>
      <c r="P20" s="111">
        <f>P19</f>
        <v>3005</v>
      </c>
      <c r="Q20" s="60"/>
      <c r="R20" s="60"/>
      <c r="S20" s="56"/>
      <c r="T20" s="64">
        <f>O20/P20</f>
        <v>1.6657123112641007E-2</v>
      </c>
      <c r="U20" s="64">
        <f>U19+U18</f>
        <v>-0.52575778942838269</v>
      </c>
      <c r="V20" s="64">
        <f>V19+V18</f>
        <v>2.5776312494222537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228</v>
      </c>
      <c r="E21" s="46">
        <f ca="1">TODAY()</f>
        <v>43256</v>
      </c>
      <c r="F21" s="46">
        <f ca="1">E21+H21</f>
        <v>43348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93.242499667759375</v>
      </c>
      <c r="M21" s="49"/>
      <c r="N21" s="43"/>
      <c r="O21" s="43">
        <f t="shared" ref="O21:O23" si="10">IF(L21&lt;=0,ABS(L21)+N21,L21-N21)</f>
        <v>93.242499667759375</v>
      </c>
      <c r="P21" s="110">
        <f>RTD("wdf.rtq",,D21,"LastPrice")</f>
        <v>3005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-0.47332928619425729</v>
      </c>
      <c r="V21" s="43">
        <f>_xll.dnetGBlackScholesNGreeks("vega",$Q21,$P21,$G21,$I21,$C$3,$J21,$K21,$C$4)*R21</f>
        <v>5.9773220506594953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43256</v>
      </c>
      <c r="F22" s="54">
        <f t="shared" ca="1" si="11"/>
        <v>43348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-24.925300337981923</v>
      </c>
      <c r="M22" s="57"/>
      <c r="N22" s="51"/>
      <c r="O22" s="51">
        <f t="shared" si="10"/>
        <v>24.925300337981923</v>
      </c>
      <c r="P22" s="94">
        <f>P21</f>
        <v>3005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-0.17690238558998317</v>
      </c>
      <c r="V22" s="51">
        <f>_xll.dnetGBlackScholesNGreeks("vega",$Q22,$P22,$G22,$I22,$C$3,$J22,$K22,$C$4)*R22</f>
        <v>-3.9045022938885836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43256</v>
      </c>
      <c r="F23" s="62">
        <f t="shared" ca="1" si="12"/>
        <v>43348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68.317199329777452</v>
      </c>
      <c r="M23" s="60">
        <v>0</v>
      </c>
      <c r="N23" s="59">
        <f>M23/10000*I23*P23</f>
        <v>0</v>
      </c>
      <c r="O23" s="59">
        <f t="shared" si="10"/>
        <v>68.317199329777452</v>
      </c>
      <c r="P23" s="111">
        <f>P22</f>
        <v>3005</v>
      </c>
      <c r="Q23" s="60"/>
      <c r="R23" s="60"/>
      <c r="S23" s="56"/>
      <c r="T23" s="64">
        <f>O23/P23</f>
        <v>2.273450892837852E-2</v>
      </c>
      <c r="U23" s="64">
        <f>U22+U21</f>
        <v>-0.65023167178424046</v>
      </c>
      <c r="V23" s="64">
        <f>V22+V21</f>
        <v>2.0728197567709117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228</v>
      </c>
      <c r="E26" s="46">
        <f ca="1">TODAY()</f>
        <v>43256</v>
      </c>
      <c r="F26" s="46">
        <f ca="1">E26+H26</f>
        <v>43287</v>
      </c>
      <c r="G26" s="118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32.117511626570604</v>
      </c>
      <c r="M26" s="49"/>
      <c r="N26" s="43"/>
      <c r="O26" s="43">
        <f t="shared" ref="O26:O31" si="13">IF(L26&lt;=0,ABS(L26)+N26,L26-N26)</f>
        <v>32.117511626570604</v>
      </c>
      <c r="P26" s="110">
        <f>RTD("wdf.rtq",,D26,"LastPrice")</f>
        <v>3005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-0.33686261967886821</v>
      </c>
      <c r="V26" s="43">
        <f>_xll.dnetGBlackScholesNGreeks("vega",$Q26,$P26,$G26,$I26,$C$3,$J26,$K26,$C$4)*R26</f>
        <v>3.1931239459840981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43256</v>
      </c>
      <c r="F27" s="54">
        <f t="shared" ca="1" si="14"/>
        <v>43287</v>
      </c>
      <c r="G27" s="119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-1.161004776241775</v>
      </c>
      <c r="M27" s="57"/>
      <c r="N27" s="51"/>
      <c r="O27" s="51">
        <f t="shared" si="13"/>
        <v>1.161004776241775</v>
      </c>
      <c r="P27" s="94">
        <f>P26</f>
        <v>3005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-2.0363260334477218E-2</v>
      </c>
      <c r="V27" s="51">
        <f>_xll.dnetGBlackScholesNGreeks("vega",$Q27,$P27,$G27,$I27,$C$3,$J27,$K27,$C$4)*R27</f>
        <v>-0.43165900247809219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43256</v>
      </c>
      <c r="F28" s="62">
        <f t="shared" ca="1" si="15"/>
        <v>43287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30.956506850328829</v>
      </c>
      <c r="M28" s="60">
        <v>0</v>
      </c>
      <c r="N28" s="59">
        <f>M28/10000*I28*P28</f>
        <v>0</v>
      </c>
      <c r="O28" s="59">
        <f t="shared" si="13"/>
        <v>30.956506850328829</v>
      </c>
      <c r="P28" s="111">
        <f>P27</f>
        <v>3005</v>
      </c>
      <c r="Q28" s="60"/>
      <c r="R28" s="60"/>
      <c r="S28" s="56"/>
      <c r="T28" s="64">
        <f>O28/P28</f>
        <v>1.0301666173154353E-2</v>
      </c>
      <c r="U28" s="64">
        <f>U27+U26</f>
        <v>-0.35722588001334543</v>
      </c>
      <c r="V28" s="64">
        <f>V27+V26</f>
        <v>2.7614649435060059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228</v>
      </c>
      <c r="E29" s="46">
        <f ca="1">TODAY()</f>
        <v>43256</v>
      </c>
      <c r="F29" s="46">
        <f ca="1">E29+H29</f>
        <v>43348</v>
      </c>
      <c r="G29" s="118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70.047909757183106</v>
      </c>
      <c r="M29" s="49"/>
      <c r="N29" s="43"/>
      <c r="O29" s="43">
        <f t="shared" si="13"/>
        <v>70.047909757183106</v>
      </c>
      <c r="P29" s="110">
        <f>RTD("wdf.rtq",,D29,"LastPrice")</f>
        <v>3005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-0.39155285847982668</v>
      </c>
      <c r="V29" s="43">
        <f>_xll.dnetGBlackScholesNGreeks("vega",$Q29,$P29,$G29,$I29,$C$3,$J29,$K29,$C$4)*R29</f>
        <v>5.7732872528425787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43256</v>
      </c>
      <c r="F30" s="54">
        <f t="shared" ca="1" si="16"/>
        <v>43348</v>
      </c>
      <c r="G30" s="119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-15.907169011985843</v>
      </c>
      <c r="M30" s="57"/>
      <c r="N30" s="51"/>
      <c r="O30" s="51">
        <f t="shared" si="13"/>
        <v>15.907169011985843</v>
      </c>
      <c r="P30" s="94">
        <f>P29</f>
        <v>3005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-0.12291907168560101</v>
      </c>
      <c r="V30" s="51">
        <f>_xll.dnetGBlackScholesNGreeks("vega",$Q30,$P30,$G30,$I30,$C$3,$J30,$K30,$C$4)*R30</f>
        <v>-3.0611836610159742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43256</v>
      </c>
      <c r="F31" s="62">
        <f t="shared" ca="1" si="17"/>
        <v>43348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54.140740745197263</v>
      </c>
      <c r="M31" s="60">
        <v>0</v>
      </c>
      <c r="N31" s="59">
        <f>M31/10000*I31*P31</f>
        <v>0</v>
      </c>
      <c r="O31" s="59">
        <f t="shared" si="13"/>
        <v>54.140740745197263</v>
      </c>
      <c r="P31" s="111">
        <f>P30</f>
        <v>3005</v>
      </c>
      <c r="Q31" s="60"/>
      <c r="R31" s="60"/>
      <c r="S31" s="56"/>
      <c r="T31" s="64">
        <f>O31/P31</f>
        <v>1.8016885439333531E-2</v>
      </c>
      <c r="U31" s="64">
        <f>U30+U29</f>
        <v>-0.51447193016542769</v>
      </c>
      <c r="V31" s="64">
        <f>V30+V29</f>
        <v>2.7121035918266045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214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43256</v>
      </c>
      <c r="L10" s="38">
        <f ca="1">pricer_sf!N11</f>
        <v>43347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215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43256</v>
      </c>
      <c r="L11" s="38">
        <f ca="1">pricer_sf!N12</f>
        <v>43347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216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43256</v>
      </c>
      <c r="L12" s="38">
        <f ca="1">pricer_sf!N13</f>
        <v>43347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214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43256</v>
      </c>
      <c r="L13" s="38">
        <f ca="1">pricer_sf!N14</f>
        <v>43439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215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43256</v>
      </c>
      <c r="L14" s="38">
        <f ca="1">pricer_sf!N15</f>
        <v>43439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43256</v>
      </c>
      <c r="L15" s="38">
        <f ca="1">pricer_sf!N16</f>
        <v>43439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3" t="s">
        <v>38</v>
      </c>
      <c r="C1" s="14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43256</v>
      </c>
      <c r="N8" s="21">
        <f ca="1">M8+O8</f>
        <v>43286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43256</v>
      </c>
      <c r="N9" s="8">
        <f ca="1">M9+O9</f>
        <v>43436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211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43256</v>
      </c>
      <c r="N11" s="8">
        <f t="shared" ref="N11:N16" ca="1" si="2">M11+O11</f>
        <v>43347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212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43256</v>
      </c>
      <c r="N12" s="8">
        <f t="shared" ca="1" si="2"/>
        <v>43347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213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43256</v>
      </c>
      <c r="N13" s="8">
        <f t="shared" ca="1" si="2"/>
        <v>43347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211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43256</v>
      </c>
      <c r="N14" s="8">
        <f t="shared" ca="1" si="2"/>
        <v>43439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212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43256</v>
      </c>
      <c r="N15" s="8">
        <f t="shared" ca="1" si="2"/>
        <v>43439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213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43256</v>
      </c>
      <c r="N16" s="8">
        <f t="shared" ca="1" si="2"/>
        <v>43439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2018-06-05T06:16:18Z</dcterms:modified>
</cp:coreProperties>
</file>