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79" i="1" l="1"/>
  <c r="I79" i="1"/>
  <c r="E79" i="1"/>
  <c r="F79" i="1" s="1"/>
  <c r="P79" i="1"/>
  <c r="V79" i="1"/>
  <c r="N79" i="1" l="1"/>
  <c r="R77" i="1"/>
  <c r="I77" i="1"/>
  <c r="E77" i="1"/>
  <c r="F77" i="1" s="1"/>
  <c r="R76" i="1"/>
  <c r="I76" i="1"/>
  <c r="E76" i="1"/>
  <c r="F76" i="1" s="1"/>
  <c r="R75" i="1"/>
  <c r="I75" i="1"/>
  <c r="E75" i="1"/>
  <c r="F75" i="1" s="1"/>
  <c r="U79" i="1"/>
  <c r="L79" i="1"/>
  <c r="P77" i="1"/>
  <c r="L77" i="1" s="1"/>
  <c r="P75" i="1"/>
  <c r="U76" i="1"/>
  <c r="L75" i="1"/>
  <c r="O79" i="1" l="1"/>
  <c r="T79" i="1" s="1"/>
  <c r="Y79" i="1"/>
  <c r="Y76" i="1"/>
  <c r="N75" i="1"/>
  <c r="O75" i="1" s="1"/>
  <c r="T75" i="1" s="1"/>
  <c r="N77" i="1"/>
  <c r="O77" i="1" s="1"/>
  <c r="T77" i="1" s="1"/>
  <c r="N76" i="1"/>
  <c r="R73" i="1"/>
  <c r="I73" i="1"/>
  <c r="E73" i="1"/>
  <c r="F73" i="1" s="1"/>
  <c r="R71" i="1"/>
  <c r="I71" i="1"/>
  <c r="E71" i="1"/>
  <c r="F71" i="1" s="1"/>
  <c r="R70" i="1"/>
  <c r="I70" i="1"/>
  <c r="E70" i="1"/>
  <c r="F70" i="1" s="1"/>
  <c r="V76" i="1"/>
  <c r="P70" i="1"/>
  <c r="V77" i="1"/>
  <c r="U77" i="1"/>
  <c r="V75" i="1"/>
  <c r="U75" i="1"/>
  <c r="P73" i="1"/>
  <c r="L76" i="1"/>
  <c r="P71" i="1"/>
  <c r="V71" i="1"/>
  <c r="O76" i="1" l="1"/>
  <c r="T76" i="1" s="1"/>
  <c r="Y75" i="1"/>
  <c r="Y77" i="1"/>
  <c r="G73" i="1"/>
  <c r="N73" i="1"/>
  <c r="N70" i="1"/>
  <c r="N71" i="1"/>
  <c r="L70" i="1"/>
  <c r="U71" i="1"/>
  <c r="U70" i="1"/>
  <c r="L71" i="1"/>
  <c r="U73" i="1"/>
  <c r="P49" i="1"/>
  <c r="L73" i="1"/>
  <c r="V73" i="1"/>
  <c r="V70" i="1"/>
  <c r="O70" i="1" l="1"/>
  <c r="T70" i="1" s="1"/>
  <c r="O71" i="1"/>
  <c r="T71" i="1" s="1"/>
  <c r="O73" i="1"/>
  <c r="T73" i="1" s="1"/>
  <c r="Y73" i="1"/>
  <c r="Y70" i="1"/>
  <c r="Y71" i="1"/>
  <c r="R68" i="1"/>
  <c r="I68" i="1"/>
  <c r="E68" i="1"/>
  <c r="F68" i="1" s="1"/>
  <c r="R67" i="1"/>
  <c r="I67" i="1"/>
  <c r="E67" i="1"/>
  <c r="F67" i="1" s="1"/>
  <c r="R66" i="1"/>
  <c r="I66" i="1"/>
  <c r="E66" i="1"/>
  <c r="F66" i="1" s="1"/>
  <c r="P66" i="1"/>
  <c r="P67" i="1"/>
  <c r="P68" i="1"/>
  <c r="V68" i="1"/>
  <c r="N67" i="1" l="1"/>
  <c r="N68" i="1"/>
  <c r="N66" i="1"/>
  <c r="R64" i="1"/>
  <c r="I64" i="1"/>
  <c r="N64" i="1" s="1"/>
  <c r="E64" i="1"/>
  <c r="F64" i="1" s="1"/>
  <c r="L67" i="1"/>
  <c r="U68" i="1"/>
  <c r="V67" i="1"/>
  <c r="U67" i="1"/>
  <c r="U66" i="1"/>
  <c r="L66" i="1"/>
  <c r="L68" i="1"/>
  <c r="V64" i="1"/>
  <c r="V66" i="1"/>
  <c r="O67" i="1" l="1"/>
  <c r="T67" i="1" s="1"/>
  <c r="O68" i="1"/>
  <c r="T68" i="1" s="1"/>
  <c r="Y66" i="1"/>
  <c r="O66" i="1"/>
  <c r="T66" i="1" s="1"/>
  <c r="Y67" i="1"/>
  <c r="Y68" i="1"/>
  <c r="R63" i="1"/>
  <c r="I63" i="1"/>
  <c r="N63" i="1" s="1"/>
  <c r="E63" i="1"/>
  <c r="F63" i="1" s="1"/>
  <c r="L64" i="1"/>
  <c r="U64" i="1"/>
  <c r="V63" i="1"/>
  <c r="O64" i="1" l="1"/>
  <c r="T64" i="1" s="1"/>
  <c r="Y64" i="1"/>
  <c r="R61" i="1"/>
  <c r="I61" i="1"/>
  <c r="N61" i="1" s="1"/>
  <c r="E61" i="1"/>
  <c r="F61" i="1" s="1"/>
  <c r="R60" i="1"/>
  <c r="I60" i="1"/>
  <c r="N60" i="1" s="1"/>
  <c r="E60" i="1"/>
  <c r="F60" i="1" s="1"/>
  <c r="U63" i="1"/>
  <c r="L63" i="1"/>
  <c r="V61" i="1"/>
  <c r="L60" i="1"/>
  <c r="O63" i="1" l="1"/>
  <c r="T63" i="1" s="1"/>
  <c r="Y63" i="1"/>
  <c r="O60" i="1"/>
  <c r="T60" i="1" s="1"/>
  <c r="U61" i="1"/>
  <c r="V60" i="1"/>
  <c r="U60" i="1"/>
  <c r="L61" i="1"/>
  <c r="Y60" i="1" l="1"/>
  <c r="Y61" i="1"/>
  <c r="O61" i="1"/>
  <c r="T61" i="1" s="1"/>
  <c r="R58" i="1" l="1"/>
  <c r="I58" i="1"/>
  <c r="E58" i="1"/>
  <c r="F58" i="1" s="1"/>
  <c r="R57" i="1"/>
  <c r="I57" i="1"/>
  <c r="E57" i="1"/>
  <c r="F57" i="1" s="1"/>
  <c r="P58" i="1"/>
  <c r="L57" i="1"/>
  <c r="N58" i="1" l="1"/>
  <c r="N57" i="1"/>
  <c r="O57" i="1" s="1"/>
  <c r="T57" i="1" s="1"/>
  <c r="U57" i="1"/>
  <c r="V57" i="1"/>
  <c r="U58" i="1"/>
  <c r="V58" i="1"/>
  <c r="L58" i="1"/>
  <c r="Y57" i="1" l="1"/>
  <c r="Y58" i="1"/>
  <c r="O58" i="1"/>
  <c r="T58" i="1" s="1"/>
  <c r="P84" i="2" l="1"/>
  <c r="N83" i="2"/>
  <c r="I83" i="2"/>
  <c r="N81" i="2"/>
  <c r="I81" i="2"/>
  <c r="Q72" i="2"/>
  <c r="N69" i="2"/>
  <c r="I69" i="2"/>
  <c r="N67" i="2"/>
  <c r="R47" i="1"/>
  <c r="I47" i="1"/>
  <c r="E47" i="1"/>
  <c r="F47" i="1" s="1"/>
  <c r="R46" i="1"/>
  <c r="I46" i="1"/>
  <c r="N46" i="1" s="1"/>
  <c r="E46" i="1"/>
  <c r="F46" i="1" s="1"/>
  <c r="P47" i="1"/>
  <c r="P40" i="1"/>
  <c r="L46" i="1"/>
  <c r="N47" i="1" l="1"/>
  <c r="O46" i="1"/>
  <c r="T46" i="1" s="1"/>
  <c r="U47" i="1"/>
  <c r="V46" i="1"/>
  <c r="V47" i="1"/>
  <c r="L47" i="1"/>
  <c r="U46" i="1"/>
  <c r="O47" i="1" l="1"/>
  <c r="T47" i="1" s="1"/>
  <c r="Y47" i="1"/>
  <c r="Y46" i="1"/>
  <c r="R45" i="1" l="1"/>
  <c r="I45" i="1"/>
  <c r="N45" i="1" s="1"/>
  <c r="E45" i="1"/>
  <c r="F45" i="1" s="1"/>
  <c r="R44" i="1"/>
  <c r="I44" i="1"/>
  <c r="N44" i="1" s="1"/>
  <c r="E44" i="1"/>
  <c r="F44" i="1" s="1"/>
  <c r="R55" i="1"/>
  <c r="I55" i="1"/>
  <c r="N55" i="1" s="1"/>
  <c r="E55" i="1"/>
  <c r="F55" i="1" s="1"/>
  <c r="R54" i="1"/>
  <c r="I54" i="1"/>
  <c r="N54" i="1" s="1"/>
  <c r="E54" i="1"/>
  <c r="F54" i="1" s="1"/>
  <c r="R53" i="1"/>
  <c r="I53" i="1"/>
  <c r="N53" i="1" s="1"/>
  <c r="E53" i="1"/>
  <c r="F53" i="1" s="1"/>
  <c r="R52" i="1"/>
  <c r="I52" i="1"/>
  <c r="N52" i="1" s="1"/>
  <c r="E52" i="1"/>
  <c r="F52" i="1" s="1"/>
  <c r="R49" i="1"/>
  <c r="I49" i="1"/>
  <c r="E49" i="1"/>
  <c r="F49" i="1" s="1"/>
  <c r="L44" i="1"/>
  <c r="V45" i="1"/>
  <c r="L55" i="1"/>
  <c r="L45" i="1"/>
  <c r="U53" i="1"/>
  <c r="L54" i="1"/>
  <c r="V49" i="1"/>
  <c r="L53" i="1"/>
  <c r="V52" i="1"/>
  <c r="O44" i="1" l="1"/>
  <c r="T44" i="1" s="1"/>
  <c r="O45" i="1"/>
  <c r="T45" i="1" s="1"/>
  <c r="O54" i="1"/>
  <c r="T54" i="1" s="1"/>
  <c r="O55" i="1"/>
  <c r="T55" i="1" s="1"/>
  <c r="O53" i="1"/>
  <c r="T53" i="1" s="1"/>
  <c r="Y53" i="1"/>
  <c r="N49" i="1"/>
  <c r="R43" i="1"/>
  <c r="I43" i="1"/>
  <c r="E43" i="1"/>
  <c r="F43" i="1" s="1"/>
  <c r="V53" i="1"/>
  <c r="V44" i="1"/>
  <c r="L49" i="1"/>
  <c r="V54" i="1"/>
  <c r="U45" i="1"/>
  <c r="U44" i="1"/>
  <c r="L52" i="1"/>
  <c r="U54" i="1"/>
  <c r="U55" i="1"/>
  <c r="V55" i="1"/>
  <c r="U49" i="1"/>
  <c r="U52" i="1"/>
  <c r="L43" i="1"/>
  <c r="Y45" i="1" l="1"/>
  <c r="Y49" i="1"/>
  <c r="O49" i="1"/>
  <c r="T49" i="1" s="1"/>
  <c r="O52" i="1"/>
  <c r="T52" i="1" s="1"/>
  <c r="Y55" i="1"/>
  <c r="Y44" i="1"/>
  <c r="Y54" i="1"/>
  <c r="Y52" i="1"/>
  <c r="N43" i="1"/>
  <c r="O43" i="1" s="1"/>
  <c r="T43" i="1" s="1"/>
  <c r="R42" i="1"/>
  <c r="I42" i="1"/>
  <c r="E42" i="1"/>
  <c r="F42" i="1" s="1"/>
  <c r="U42" i="1"/>
  <c r="V43" i="1"/>
  <c r="U43" i="1"/>
  <c r="Y43" i="1" l="1"/>
  <c r="Y42" i="1"/>
  <c r="N42" i="1"/>
  <c r="R40" i="1"/>
  <c r="I40" i="1"/>
  <c r="N40" i="1" s="1"/>
  <c r="E40" i="1"/>
  <c r="F40" i="1" s="1"/>
  <c r="R39" i="1"/>
  <c r="I39" i="1"/>
  <c r="E39" i="1"/>
  <c r="F39" i="1" s="1"/>
  <c r="R38" i="1"/>
  <c r="I38" i="1"/>
  <c r="E38" i="1"/>
  <c r="F38" i="1" s="1"/>
  <c r="R37" i="1"/>
  <c r="I37" i="1"/>
  <c r="E37" i="1"/>
  <c r="F37" i="1" s="1"/>
  <c r="R36" i="1"/>
  <c r="I36" i="1"/>
  <c r="E36" i="1"/>
  <c r="F36" i="1" s="1"/>
  <c r="R34" i="1"/>
  <c r="I34" i="1"/>
  <c r="N34" i="1" s="1"/>
  <c r="E34" i="1"/>
  <c r="F34" i="1" s="1"/>
  <c r="R33" i="1"/>
  <c r="I33" i="1"/>
  <c r="E33" i="1"/>
  <c r="F33" i="1" s="1"/>
  <c r="R32" i="1"/>
  <c r="I32" i="1"/>
  <c r="E32" i="1"/>
  <c r="F32" i="1" s="1"/>
  <c r="R31" i="1"/>
  <c r="I31" i="1"/>
  <c r="E31" i="1"/>
  <c r="F31" i="1" s="1"/>
  <c r="R30" i="1"/>
  <c r="I30" i="1"/>
  <c r="E30" i="1"/>
  <c r="F30" i="1" s="1"/>
  <c r="L42" i="1"/>
  <c r="V42" i="1"/>
  <c r="P39" i="1"/>
  <c r="P30" i="1"/>
  <c r="P36" i="1"/>
  <c r="P38" i="1"/>
  <c r="V40" i="1"/>
  <c r="L30" i="1"/>
  <c r="P37" i="1"/>
  <c r="P31" i="1"/>
  <c r="P33" i="1"/>
  <c r="P32" i="1"/>
  <c r="L34" i="1"/>
  <c r="O42" i="1" l="1"/>
  <c r="T42" i="1" s="1"/>
  <c r="O34" i="1"/>
  <c r="T34" i="1" s="1"/>
  <c r="N36" i="1"/>
  <c r="N31" i="1"/>
  <c r="N39" i="1"/>
  <c r="N37" i="1"/>
  <c r="N38" i="1"/>
  <c r="N33" i="1"/>
  <c r="N32" i="1"/>
  <c r="N30" i="1"/>
  <c r="O30" i="1" s="1"/>
  <c r="T30" i="1" s="1"/>
  <c r="V31" i="1"/>
  <c r="L39" i="1"/>
  <c r="V30" i="1"/>
  <c r="L33" i="1"/>
  <c r="V32" i="1"/>
  <c r="L37" i="1"/>
  <c r="L40" i="1"/>
  <c r="U34" i="1"/>
  <c r="L36" i="1"/>
  <c r="U36" i="1"/>
  <c r="U40" i="1"/>
  <c r="L38" i="1"/>
  <c r="V33" i="1"/>
  <c r="V34" i="1"/>
  <c r="U31" i="1"/>
  <c r="V37" i="1"/>
  <c r="V39" i="1"/>
  <c r="U33" i="1"/>
  <c r="U39" i="1"/>
  <c r="L31" i="1"/>
  <c r="U32" i="1"/>
  <c r="L32" i="1"/>
  <c r="V38" i="1"/>
  <c r="U30" i="1"/>
  <c r="U38" i="1"/>
  <c r="V36" i="1"/>
  <c r="U37" i="1"/>
  <c r="O39" i="1" l="1"/>
  <c r="T39" i="1" s="1"/>
  <c r="O38" i="1"/>
  <c r="T38" i="1" s="1"/>
  <c r="O37" i="1"/>
  <c r="T37" i="1" s="1"/>
  <c r="Y38" i="1"/>
  <c r="O36" i="1"/>
  <c r="T36" i="1" s="1"/>
  <c r="O33" i="1"/>
  <c r="T33" i="1" s="1"/>
  <c r="Y36" i="1"/>
  <c r="Y31" i="1"/>
  <c r="O40" i="1"/>
  <c r="T40" i="1" s="1"/>
  <c r="Y33" i="1"/>
  <c r="O32" i="1"/>
  <c r="T32" i="1" s="1"/>
  <c r="O31" i="1"/>
  <c r="T31" i="1" s="1"/>
  <c r="Y37" i="1"/>
  <c r="Y39" i="1"/>
  <c r="Y34" i="1"/>
  <c r="Y32" i="1"/>
  <c r="Y40" i="1"/>
  <c r="Y30" i="1"/>
  <c r="R24" i="1" l="1"/>
  <c r="I24" i="1"/>
  <c r="N24" i="1" s="1"/>
  <c r="G24" i="1"/>
  <c r="E24" i="1"/>
  <c r="F24" i="1" s="1"/>
  <c r="R23" i="1"/>
  <c r="I23" i="1"/>
  <c r="N23" i="1" s="1"/>
  <c r="G23" i="1"/>
  <c r="E23" i="1"/>
  <c r="F23" i="1" s="1"/>
  <c r="R28" i="1"/>
  <c r="I28" i="1"/>
  <c r="N28" i="1" s="1"/>
  <c r="G28" i="1"/>
  <c r="E28" i="1"/>
  <c r="F28" i="1" s="1"/>
  <c r="R27" i="1"/>
  <c r="I27" i="1"/>
  <c r="N27" i="1" s="1"/>
  <c r="G27" i="1"/>
  <c r="E27" i="1"/>
  <c r="F27" i="1" s="1"/>
  <c r="R26" i="1"/>
  <c r="I26" i="1"/>
  <c r="N26" i="1" s="1"/>
  <c r="G26" i="1"/>
  <c r="E26" i="1"/>
  <c r="F26" i="1" s="1"/>
  <c r="R25" i="1"/>
  <c r="I25" i="1"/>
  <c r="N25" i="1" s="1"/>
  <c r="G25" i="1"/>
  <c r="E25" i="1"/>
  <c r="F25" i="1" s="1"/>
  <c r="L26" i="1"/>
  <c r="L28" i="1"/>
  <c r="V24" i="1"/>
  <c r="V28" i="1"/>
  <c r="L23" i="1"/>
  <c r="V26" i="1"/>
  <c r="L27" i="1"/>
  <c r="L24" i="1"/>
  <c r="L25" i="1"/>
  <c r="O23" i="1" l="1"/>
  <c r="T23" i="1" s="1"/>
  <c r="O25" i="1"/>
  <c r="T25" i="1" s="1"/>
  <c r="O27" i="1"/>
  <c r="T27" i="1" s="1"/>
  <c r="O24" i="1"/>
  <c r="T24" i="1" s="1"/>
  <c r="O28" i="1"/>
  <c r="T28" i="1" s="1"/>
  <c r="O26" i="1"/>
  <c r="T26" i="1" s="1"/>
  <c r="H9" i="1"/>
  <c r="U27" i="1"/>
  <c r="V23" i="1"/>
  <c r="V25" i="1"/>
  <c r="U24" i="1"/>
  <c r="U23" i="1"/>
  <c r="V27" i="1"/>
  <c r="U25" i="1"/>
  <c r="U26" i="1"/>
  <c r="U28" i="1"/>
  <c r="Y25" i="1" l="1"/>
  <c r="Y24" i="1"/>
  <c r="Y28" i="1"/>
  <c r="Y26" i="1"/>
  <c r="Y27" i="1"/>
  <c r="Y23" i="1"/>
  <c r="R21" i="1"/>
  <c r="I21" i="1"/>
  <c r="N21" i="1" s="1"/>
  <c r="E21" i="1"/>
  <c r="F21" i="1" s="1"/>
  <c r="V21" i="1"/>
  <c r="R20" i="1" l="1"/>
  <c r="I20" i="1"/>
  <c r="E20" i="1"/>
  <c r="F20" i="1" s="1"/>
  <c r="R19" i="1"/>
  <c r="I19" i="1"/>
  <c r="E19" i="1"/>
  <c r="F19" i="1" s="1"/>
  <c r="R18" i="1"/>
  <c r="I18" i="1"/>
  <c r="E18" i="1"/>
  <c r="F18" i="1" s="1"/>
  <c r="R17" i="1"/>
  <c r="I17" i="1"/>
  <c r="E17" i="1"/>
  <c r="F17" i="1" s="1"/>
  <c r="L21" i="1"/>
  <c r="P19" i="1"/>
  <c r="P17" i="1"/>
  <c r="P20" i="1"/>
  <c r="U21" i="1"/>
  <c r="P18" i="1"/>
  <c r="L18" i="1"/>
  <c r="O21" i="1" l="1"/>
  <c r="T21" i="1" s="1"/>
  <c r="Y21" i="1"/>
  <c r="N17" i="1"/>
  <c r="N20" i="1"/>
  <c r="N18" i="1"/>
  <c r="O18" i="1" s="1"/>
  <c r="T18" i="1" s="1"/>
  <c r="N19" i="1"/>
  <c r="U19" i="1"/>
  <c r="V18" i="1"/>
  <c r="V17" i="1"/>
  <c r="U18" i="1"/>
  <c r="U20" i="1"/>
  <c r="V19" i="1"/>
  <c r="L19" i="1"/>
  <c r="L17" i="1"/>
  <c r="V20" i="1"/>
  <c r="L20" i="1"/>
  <c r="U17" i="1"/>
  <c r="O20" i="1" l="1"/>
  <c r="T20" i="1" s="1"/>
  <c r="O19" i="1"/>
  <c r="T19" i="1" s="1"/>
  <c r="O17" i="1"/>
  <c r="T17" i="1" s="1"/>
  <c r="Y18" i="1"/>
  <c r="Y17" i="1"/>
  <c r="Y19" i="1"/>
  <c r="Y20" i="1"/>
  <c r="X14" i="1" l="1"/>
  <c r="R14" i="1"/>
  <c r="I14" i="1"/>
  <c r="E14" i="1"/>
  <c r="F14" i="1" s="1"/>
  <c r="P14" i="1"/>
  <c r="Z14" i="1" l="1"/>
  <c r="N14" i="1"/>
  <c r="I67" i="2"/>
  <c r="U14" i="1"/>
  <c r="V14" i="1"/>
  <c r="P13" i="1"/>
  <c r="P12" i="1"/>
  <c r="L14" i="1"/>
  <c r="Y14" i="1" l="1"/>
  <c r="O14" i="1"/>
  <c r="T14" i="1" s="1"/>
  <c r="S55" i="2"/>
  <c r="S53" i="2"/>
  <c r="N55" i="2" l="1"/>
  <c r="N53" i="2"/>
  <c r="X13" i="1"/>
  <c r="R13" i="1"/>
  <c r="I13" i="1"/>
  <c r="E13" i="1"/>
  <c r="F13" i="1" s="1"/>
  <c r="L13" i="1"/>
  <c r="Z13" i="1" l="1"/>
  <c r="N13" i="1"/>
  <c r="I53" i="2"/>
  <c r="V13" i="1"/>
  <c r="U13" i="1"/>
  <c r="O13" i="1" l="1"/>
  <c r="T13" i="1" s="1"/>
  <c r="Y13" i="1"/>
  <c r="D55" i="2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9" i="9"/>
  <c r="P26" i="9"/>
  <c r="E30" i="9" l="1"/>
  <c r="E31" i="9" s="1"/>
  <c r="P30" i="9"/>
  <c r="P27" i="9"/>
  <c r="F26" i="9"/>
  <c r="F27" i="9" s="1"/>
  <c r="F28" i="9" s="1"/>
  <c r="H28" i="9"/>
  <c r="I30" i="9"/>
  <c r="I31" i="9" s="1"/>
  <c r="L30" i="9"/>
  <c r="V26" i="9"/>
  <c r="V27" i="9"/>
  <c r="U27" i="9"/>
  <c r="L29" i="9"/>
  <c r="U29" i="9"/>
  <c r="V29" i="9"/>
  <c r="L26" i="9"/>
  <c r="U26" i="9"/>
  <c r="V30" i="9"/>
  <c r="U30" i="9"/>
  <c r="L27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12" i="1"/>
  <c r="R12" i="1"/>
  <c r="I12" i="1"/>
  <c r="E12" i="1"/>
  <c r="F12" i="1" s="1"/>
  <c r="O28" i="9" l="1"/>
  <c r="T28" i="9" s="1"/>
  <c r="O31" i="9"/>
  <c r="T31" i="9" s="1"/>
  <c r="Z12" i="1"/>
  <c r="N12" i="1"/>
  <c r="V12" i="1"/>
  <c r="L12" i="1"/>
  <c r="U12" i="1"/>
  <c r="O12" i="1" l="1"/>
  <c r="T12" i="1" s="1"/>
  <c r="Y12" i="1"/>
  <c r="D53" i="2" l="1"/>
  <c r="I42" i="2"/>
  <c r="D42" i="2"/>
  <c r="D40" i="2" l="1"/>
  <c r="F44" i="2"/>
  <c r="R8" i="1" l="1"/>
  <c r="I8" i="1"/>
  <c r="E8" i="1"/>
  <c r="F8" i="1" s="1"/>
  <c r="P8" i="1"/>
  <c r="N8" i="1" l="1"/>
  <c r="V8" i="1"/>
  <c r="U8" i="1"/>
  <c r="L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U21" i="9"/>
  <c r="U19" i="9"/>
  <c r="U18" i="9"/>
  <c r="L22" i="9"/>
  <c r="U22" i="9"/>
  <c r="L19" i="9"/>
  <c r="V22" i="9"/>
  <c r="V19" i="9"/>
  <c r="L18" i="9"/>
  <c r="L21" i="9"/>
  <c r="V18" i="9"/>
  <c r="V21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3" i="8"/>
  <c r="K14" i="8"/>
  <c r="K15" i="8"/>
  <c r="K11" i="8"/>
  <c r="K16" i="8"/>
  <c r="P14" i="9"/>
  <c r="K12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X12" i="8"/>
  <c r="S14" i="8"/>
  <c r="S15" i="8"/>
  <c r="S16" i="8"/>
  <c r="Y15" i="8"/>
  <c r="X16" i="8"/>
  <c r="V14" i="9"/>
  <c r="L14" i="9"/>
  <c r="Y11" i="8"/>
  <c r="X13" i="8"/>
  <c r="Y16" i="8"/>
  <c r="U14" i="9"/>
  <c r="X14" i="8"/>
  <c r="Y13" i="8"/>
  <c r="X15" i="8"/>
  <c r="Y12" i="8"/>
  <c r="X11" i="8"/>
  <c r="S13" i="8"/>
  <c r="S11" i="8"/>
  <c r="S12" i="8"/>
  <c r="Y14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L15" i="9"/>
  <c r="V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L9" i="1"/>
  <c r="U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V9" i="9"/>
  <c r="L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U9" i="7"/>
  <c r="O9" i="7"/>
  <c r="O10" i="7"/>
  <c r="H8" i="8"/>
  <c r="T10" i="7"/>
  <c r="K9" i="8"/>
  <c r="U10" i="7"/>
  <c r="T9" i="7"/>
  <c r="U8" i="8" l="1"/>
  <c r="Q9" i="7"/>
  <c r="R9" i="7" s="1"/>
  <c r="S9" i="7" s="1"/>
  <c r="Q10" i="7"/>
  <c r="R10" i="7" s="1"/>
  <c r="S10" i="7" s="1"/>
  <c r="Q8" i="7"/>
  <c r="K8" i="8"/>
  <c r="S9" i="8"/>
  <c r="U8" i="7"/>
  <c r="X9" i="8"/>
  <c r="Y9" i="8"/>
  <c r="T8" i="7"/>
  <c r="O8" i="7"/>
  <c r="V9" i="8" l="1"/>
  <c r="W9" i="8" s="1"/>
  <c r="R8" i="7"/>
  <c r="S8" i="7" s="1"/>
  <c r="X8" i="8"/>
  <c r="Y8" i="8"/>
  <c r="S8" i="8"/>
  <c r="V8" i="8" l="1"/>
  <c r="W8" i="8" s="1"/>
  <c r="G12" i="9" l="1"/>
  <c r="G13" i="9" s="1"/>
  <c r="L11" i="9"/>
  <c r="U11" i="9"/>
  <c r="V11" i="9"/>
  <c r="V12" i="9"/>
  <c r="L12" i="9"/>
  <c r="U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<sst xmlns="http://schemas.openxmlformats.org/spreadsheetml/2006/main" count="1200" uniqueCount="252">
  <si>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</si>
  <si>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</si>
  <si>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</si>
  <si>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</si>
  <si>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</si>
  <si>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</si>
  <si>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</si>
  <si>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</si>
  <si>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</si>
  <si>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</si>
  <si>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</si>
  <si>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</si>
  <si>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</si>
  <si>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</si>
  <si>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</si>
  <si>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</si>
  <si>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</si>
  <si>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</si>
  <si>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</si>
  <si>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</si>
  <si>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</si>
  <si>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</si>
  <si>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</si>
  <si>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</si>
  <si>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</si>
  <si>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</si>
  <si>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</si>
  <si>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</si>
  <si>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</si>
  <si>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</si>
  <si>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</si>
  <si>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</si>
  <si>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</si>
  <si>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</si>
  <si>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</si>
  <si>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</si>
  <si>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</si>
  <si>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</si>
  <si>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</si>
  <si>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</si>
  <si>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</si>
  <si>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</si>
  <si>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</si>
  <si>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</si>
  <si>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</si>
  <si>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</si>
  <si>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</si>
  <si>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</si>
  <si>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</si>
  <si>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</si>
  <si>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</si>
  <si>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</si>
  <si>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</si>
  <si>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</si>
  <si>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</si>
  <si>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</si>
  <si>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</si>
  <si>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</si>
  <si>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</si>
  <si>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</si>
  <si>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</si>
  <si>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</si>
  <si>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</si>
  <si>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</si>
  <si>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</si>
  <si>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</si>
  <si>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</si>
  <si>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</si>
  <si>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</si>
  <si>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</si>
  <si>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</si>
  <si>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</si>
  <si>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</si>
  <si>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</si>
  <si>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</si>
  <si>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</si>
  <si>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</si>
  <si>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</si>
  <si>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</si>
  <si>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</si>
  <si>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</si>
  <si>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</si>
  <si>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</si>
  <si>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</si>
  <si>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</si>
  <si>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</si>
  <si>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</si>
  <si>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</si>
  <si>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</si>
  <si>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</si>
  <si>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</si>
  <si>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</si>
  <si>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</si>
  <si>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</si>
  <si>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</si>
  <si>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</si>
  <si>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</si>
  <si>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</si>
  <si>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</si>
  <si>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</si>
  <si>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</si>
  <si>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</si>
  <si>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</si>
  <si>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</si>
  <si>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</si>
  <si>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</si>
  <si>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</si>
  <si>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</si>
  <si>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</si>
  <si>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</si>
  <si>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</si>
  <si>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</si>
  <si>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</si>
  <si>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</si>
  <si>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</si>
  <si>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</si>
  <si>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</si>
  <si>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</si>
  <si>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</si>
  <si>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</si>
  <si>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</si>
  <si>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</si>
  <si>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</si>
  <si>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</si>
  <si>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</si>
  <si>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</si>
  <si>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</si>
  <si>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</si>
  <si>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</si>
  <si>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</si>
  <si>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</si>
  <si>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</si>
  <si>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</si>
  <si>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</si>
  <si>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</si>
  <si>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</si>
  <si>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</si>
  <si>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</si>
  <si>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</si>
  <si>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</si>
  <si>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</si>
  <si>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</si>
  <si>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</si>
  <si>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</si>
  <si>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</si>
  <si>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</si>
  <si>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</si>
  <si>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</si>
  <si>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</si>
  <si>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</si>
  <si>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</si>
  <si>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</si>
  <si>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</si>
  <si>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</si>
  <si>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</si>
  <si>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</si>
  <si>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</si>
  <si>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</si>
  <si>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</si>
  <si>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</si>
  <si>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</si>
  <si>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</si>
  <si>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</si>
  <si>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</si>
  <si>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</si>
  <si>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</si>
  <si>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</si>
  <si>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</si>
  <si>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</si>
  <si>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</si>
  <si>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</si>
  <si>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</si>
  <si>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</si>
  <si>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</si>
  <si>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</si>
  <si>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</si>
  <si>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</si>
  <si>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</si>
  <si>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</si>
  <si>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</si>
  <si>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</si>
  <si>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</si>
  <si>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</si>
  <si>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</si>
  <si>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</si>
  <si>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</si>
  <si>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</si>
  <si>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</si>
  <si>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</si>
  <si>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</si>
  <si>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</si>
  <si>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</si>
  <si>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</si>
  <si>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</si>
  <si>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</si>
  <si>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</si>
  <si>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</si>
  <si>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</si>
  <si>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</si>
  <si>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</si>
  <si>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</si>
  <si>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</si>
  <si>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</si>
  <si>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</si>
  <si>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</si>
  <si>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</si>
  <si>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</si>
  <si>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</si>
  <si>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</si>
  <si>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</si>
  <si>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</si>
  <si>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</si>
  <si>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</si>
  <si>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</si>
  <si>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</si>
  <si>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</si>
  <si>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</si>
  <si>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</si>
  <si>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</si>
  <si>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</si>
  <si>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</si>
  <si>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</si>
  <si>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中金公司</t>
    <phoneticPr fontId="2" type="noConversion"/>
  </si>
  <si>
    <t>看涨期权</t>
    <phoneticPr fontId="2" type="noConversion"/>
  </si>
  <si>
    <t>RMB</t>
    <phoneticPr fontId="2" type="noConversion"/>
  </si>
  <si>
    <t>j1809</t>
  </si>
  <si>
    <t>成交回报 l</t>
    <phoneticPr fontId="2" type="noConversion"/>
  </si>
  <si>
    <t>成交回报 2</t>
    <phoneticPr fontId="2" type="noConversion"/>
  </si>
  <si>
    <t>m1809</t>
    <phoneticPr fontId="2" type="noConversion"/>
  </si>
  <si>
    <t>al1808</t>
  </si>
  <si>
    <t>cu1808</t>
  </si>
  <si>
    <t>al1809</t>
    <phoneticPr fontId="2" type="noConversion"/>
  </si>
  <si>
    <t>中天科技</t>
    <phoneticPr fontId="2" type="noConversion"/>
  </si>
  <si>
    <t>al1808</t>
    <phoneticPr fontId="2" type="noConversion"/>
  </si>
  <si>
    <t>成交回报3</t>
    <phoneticPr fontId="2" type="noConversion"/>
  </si>
  <si>
    <t>.</t>
    <phoneticPr fontId="2" type="noConversion"/>
  </si>
  <si>
    <t>al1809</t>
  </si>
  <si>
    <t>al1809</t>
    <phoneticPr fontId="2" type="noConversion"/>
  </si>
  <si>
    <t>cf</t>
    <phoneticPr fontId="2" type="noConversion"/>
  </si>
  <si>
    <t>oi</t>
    <phoneticPr fontId="2" type="noConversion"/>
  </si>
  <si>
    <t>i1809</t>
    <phoneticPr fontId="2" type="noConversion"/>
  </si>
  <si>
    <t>rb1810</t>
    <phoneticPr fontId="2" type="noConversion"/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</si>
  <si>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</si>
  <si>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</si>
  <si>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</si>
  <si>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</si>
  <si>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cu1808</t>
    <phoneticPr fontId="2" type="noConversion"/>
  </si>
  <si>
    <t>i1809</t>
    <phoneticPr fontId="2" type="noConversion"/>
  </si>
  <si>
    <t>c1901</t>
    <phoneticPr fontId="2" type="noConversion"/>
  </si>
  <si>
    <t>al1810</t>
  </si>
  <si>
    <t>j1809</t>
    <phoneticPr fontId="2" type="noConversion"/>
  </si>
  <si>
    <t>al1810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</si>
</sst>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79" fontId="6" fillId="9" borderId="2" xfId="0" applyNumberFormat="1" applyFont="1" applyFill="1" applyBorder="1"/>
    <xf numFmtId="0" fontId="6" fillId="6" borderId="17" xfId="0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5">
    <cellStyle name="百分比" xfId="1" builtinId="5"/>
    <cellStyle name="百分比 2" xfId="4"/>
    <cellStyle name="常规" xfId="0" builtinId="0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51560</v>
        <stp/>
        <stp>cu1808</stp>
        <stp>LastPrice</stp>
        <tr r="P58" s="1"/>
      </tp>
      <tp>
        <v>14830</v>
        <stp/>
        <stp>al1810</stp>
        <stp>LastPrice</stp>
        <tr r="P68" s="1"/>
        <tr r="P77" s="1"/>
      </tp>
      <tp>
        <v>14745</v>
        <stp/>
        <stp>al1809</stp>
        <stp>LastPrice</stp>
        <tr r="P20" s="1"/>
        <tr r="P19" s="1"/>
        <tr r="P32" s="1"/>
        <tr r="P33" s="1"/>
        <tr r="P38" s="1"/>
        <tr r="P39" s="1"/>
        <tr r="P40" s="1"/>
        <tr r="P67" s="1"/>
      </tp>
      <tp>
        <v>14670</v>
        <stp/>
        <stp>al1808</stp>
        <stp>LastPrice</stp>
        <tr r="P8" s="1"/>
        <tr r="P18" s="1"/>
        <tr r="P17" s="1"/>
        <tr r="P31" s="1"/>
        <tr r="P37" s="1"/>
        <tr r="P36" s="1"/>
        <tr r="P30" s="1"/>
        <tr r="P66" s="1"/>
        <tr r="P75" s="1"/>
        <tr r="P79" s="1"/>
      </tp>
      <tp>
        <v>2084.5</v>
        <stp/>
        <stp>j1809</stp>
        <stp>LastPrice</stp>
        <tr r="P71" s="1"/>
        <tr r="P73" s="1"/>
        <tr r="P70" s="1"/>
      </tp>
      <tp>
        <v>462.5</v>
        <stp/>
        <stp>i1809</stp>
        <stp>LastPrice</stp>
        <tr r="P11" s="9"/>
        <tr r="P12" s="1"/>
        <tr r="P13" s="1"/>
        <tr r="P14" s="1"/>
        <tr r="P47" s="1"/>
      </tp>
      <tp>
        <v>3020</v>
        <stp/>
        <stp>m1809</stp>
        <stp>LastPrice</stp>
        <tr r="P21" s="9"/>
        <tr r="P18" s="9"/>
        <tr r="P26" s="9"/>
        <tr r="P29" s="9"/>
      </tp>
      <tp>
        <v>3696</v>
        <stp/>
        <stp>rb1810</stp>
        <stp>LastPrice</stp>
        <tr r="P14" s="9"/>
        <tr r="P49" s="1"/>
      </tp>
      <tp>
        <v>0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4"/>
  <sheetViews>
    <sheetView zoomScaleNormal="100" workbookViewId="0">
      <selection activeCell="C23" sqref="C23:R24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2" t="s">
        <v>158</v>
      </c>
      <c r="C1" s="122"/>
      <c r="D1" s="122"/>
    </row>
    <row r="2" spans="2:18" ht="12" thickTop="1" x14ac:dyDescent="0.15"/>
    <row r="3" spans="2:18" ht="13.5" x14ac:dyDescent="0.15">
      <c r="I3" s="112" t="s">
        <v>200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229</v>
      </c>
      <c r="D9" s="93">
        <v>43250</v>
      </c>
      <c r="E9" s="93">
        <v>43294</v>
      </c>
      <c r="F9" s="92">
        <v>14500</v>
      </c>
      <c r="G9" s="92">
        <v>44</v>
      </c>
      <c r="H9" s="92">
        <v>0.12054794520547946</v>
      </c>
      <c r="I9" s="92">
        <v>0</v>
      </c>
      <c r="J9" s="92">
        <v>0.13</v>
      </c>
      <c r="K9" s="92">
        <v>148.1957993354099</v>
      </c>
      <c r="L9" s="92">
        <v>30</v>
      </c>
      <c r="M9" s="92">
        <v>5.3432876712328774</v>
      </c>
      <c r="N9" s="99">
        <v>142.85251166417703</v>
      </c>
      <c r="O9" s="92">
        <v>14775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236</v>
      </c>
      <c r="D10" s="93">
        <v>43250</v>
      </c>
      <c r="E10" s="93">
        <v>43325</v>
      </c>
      <c r="F10" s="92">
        <v>14500</v>
      </c>
      <c r="G10" s="92">
        <v>75</v>
      </c>
      <c r="H10" s="92">
        <v>0.20547945205479451</v>
      </c>
      <c r="I10" s="92">
        <v>0</v>
      </c>
      <c r="J10" s="92">
        <v>0.13</v>
      </c>
      <c r="K10" s="92">
        <v>197.0015228979737</v>
      </c>
      <c r="L10" s="92">
        <v>30</v>
      </c>
      <c r="M10" s="92">
        <v>9.1541095890410951</v>
      </c>
      <c r="N10" s="99">
        <v>187.8474133089326</v>
      </c>
      <c r="O10" s="92">
        <v>14850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249</v>
      </c>
      <c r="D11" s="93">
        <v>43250</v>
      </c>
      <c r="E11" s="93">
        <v>43356</v>
      </c>
      <c r="F11" s="92">
        <v>14500</v>
      </c>
      <c r="G11" s="92">
        <v>106</v>
      </c>
      <c r="H11" s="92">
        <v>0.29041095890410956</v>
      </c>
      <c r="I11" s="92">
        <v>0</v>
      </c>
      <c r="J11" s="92">
        <v>0.13</v>
      </c>
      <c r="K11" s="92">
        <v>231.7094428625951</v>
      </c>
      <c r="L11" s="92">
        <v>30</v>
      </c>
      <c r="M11" s="92">
        <v>13.003150684931507</v>
      </c>
      <c r="N11" s="99">
        <v>218.70629217766358</v>
      </c>
      <c r="O11" s="92">
        <v>14925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230</v>
      </c>
      <c r="D13" s="93">
        <v>43250</v>
      </c>
      <c r="E13" s="93">
        <v>43280</v>
      </c>
      <c r="F13" s="92">
        <v>49500</v>
      </c>
      <c r="G13" s="92">
        <v>30</v>
      </c>
      <c r="H13" s="92">
        <v>8.2191780821917804E-2</v>
      </c>
      <c r="I13" s="92">
        <v>0</v>
      </c>
      <c r="J13" s="92">
        <v>0.12</v>
      </c>
      <c r="K13" s="92">
        <v>171.01217245503904</v>
      </c>
      <c r="L13" s="92">
        <v>30</v>
      </c>
      <c r="M13" s="92">
        <v>12.592602739726027</v>
      </c>
      <c r="N13" s="99">
        <v>158.419569715313</v>
      </c>
      <c r="O13" s="92">
        <v>51070</v>
      </c>
      <c r="P13" s="92" t="s">
        <v>85</v>
      </c>
      <c r="Q13" s="92">
        <v>1</v>
      </c>
      <c r="R13" s="92" t="s">
        <v>151</v>
      </c>
    </row>
    <row r="14" spans="2:18" x14ac:dyDescent="0.15">
      <c r="B14" s="91" t="s">
        <v>2</v>
      </c>
      <c r="C14" s="33" t="s">
        <v>181</v>
      </c>
      <c r="D14" s="33" t="s">
        <v>180</v>
      </c>
      <c r="E14" s="33" t="s">
        <v>10</v>
      </c>
      <c r="F14" s="33" t="s">
        <v>184</v>
      </c>
      <c r="G14" s="33" t="s">
        <v>11</v>
      </c>
      <c r="H14" s="33" t="s">
        <v>12</v>
      </c>
      <c r="I14" s="33" t="s">
        <v>47</v>
      </c>
      <c r="J14" s="33" t="s">
        <v>13</v>
      </c>
      <c r="K14" s="33" t="s">
        <v>14</v>
      </c>
      <c r="L14" s="33" t="s">
        <v>26</v>
      </c>
      <c r="M14" s="33" t="s">
        <v>28</v>
      </c>
      <c r="N14" s="33" t="s">
        <v>182</v>
      </c>
      <c r="O14" s="33" t="s">
        <v>8</v>
      </c>
      <c r="P14" s="33" t="s">
        <v>23</v>
      </c>
      <c r="Q14" s="33"/>
      <c r="R14" s="33" t="s">
        <v>30</v>
      </c>
    </row>
    <row r="15" spans="2:18" x14ac:dyDescent="0.15">
      <c r="B15" s="92" t="s">
        <v>160</v>
      </c>
      <c r="C15" s="92" t="s">
        <v>229</v>
      </c>
      <c r="D15" s="93">
        <v>43251</v>
      </c>
      <c r="E15" s="93">
        <v>43294</v>
      </c>
      <c r="F15" s="92">
        <v>14500</v>
      </c>
      <c r="G15" s="92">
        <v>43</v>
      </c>
      <c r="H15" s="92">
        <v>0.11780821917808219</v>
      </c>
      <c r="I15" s="92">
        <v>0</v>
      </c>
      <c r="J15" s="92">
        <v>0.13</v>
      </c>
      <c r="K15" s="92">
        <v>175.34549282843636</v>
      </c>
      <c r="L15" s="92">
        <v>30</v>
      </c>
      <c r="M15" s="92">
        <v>5.1918082191780819</v>
      </c>
      <c r="N15" s="99">
        <v>170.15368460925828</v>
      </c>
      <c r="O15" s="92">
        <v>14690</v>
      </c>
      <c r="P15" s="92" t="s">
        <v>85</v>
      </c>
      <c r="Q15" s="92">
        <v>1</v>
      </c>
      <c r="R15" s="92" t="s">
        <v>151</v>
      </c>
    </row>
    <row r="16" spans="2:18" x14ac:dyDescent="0.15">
      <c r="B16" s="92" t="s">
        <v>160</v>
      </c>
      <c r="C16" s="92" t="s">
        <v>236</v>
      </c>
      <c r="D16" s="93">
        <v>43251</v>
      </c>
      <c r="E16" s="93">
        <v>43325</v>
      </c>
      <c r="F16" s="92">
        <v>14500</v>
      </c>
      <c r="G16" s="92">
        <v>74</v>
      </c>
      <c r="H16" s="92">
        <v>0.20273972602739726</v>
      </c>
      <c r="I16" s="92">
        <v>0</v>
      </c>
      <c r="J16" s="92">
        <v>0.13</v>
      </c>
      <c r="K16" s="92">
        <v>224.45519980339668</v>
      </c>
      <c r="L16" s="92">
        <v>30</v>
      </c>
      <c r="M16" s="92">
        <v>8.9803561643835614</v>
      </c>
      <c r="N16" s="99">
        <v>215.47484363901313</v>
      </c>
      <c r="O16" s="92">
        <v>14765</v>
      </c>
      <c r="P16" s="92" t="s">
        <v>85</v>
      </c>
      <c r="Q16" s="92">
        <v>1</v>
      </c>
      <c r="R16" s="92" t="s">
        <v>151</v>
      </c>
    </row>
    <row r="17" spans="2:18" x14ac:dyDescent="0.15">
      <c r="B17" s="92" t="s">
        <v>160</v>
      </c>
      <c r="C17" s="92" t="s">
        <v>249</v>
      </c>
      <c r="D17" s="93">
        <v>43251</v>
      </c>
      <c r="E17" s="93">
        <v>43294</v>
      </c>
      <c r="F17" s="92">
        <v>14500</v>
      </c>
      <c r="G17" s="92">
        <v>43</v>
      </c>
      <c r="H17" s="92">
        <v>0.11780821917808219</v>
      </c>
      <c r="I17" s="92">
        <v>0</v>
      </c>
      <c r="J17" s="92">
        <v>0.13</v>
      </c>
      <c r="K17" s="92">
        <v>126.74305290502434</v>
      </c>
      <c r="L17" s="92">
        <v>30</v>
      </c>
      <c r="M17" s="92">
        <v>5.2430547945205479</v>
      </c>
      <c r="N17" s="99">
        <v>121.4999981105038</v>
      </c>
      <c r="O17" s="92">
        <v>14835</v>
      </c>
      <c r="P17" s="92" t="s">
        <v>85</v>
      </c>
      <c r="Q17" s="92">
        <v>1</v>
      </c>
      <c r="R17" s="92" t="s">
        <v>151</v>
      </c>
    </row>
    <row r="18" spans="2:18" x14ac:dyDescent="0.15">
      <c r="B18" s="91" t="s">
        <v>2</v>
      </c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92" t="s">
        <v>160</v>
      </c>
      <c r="C19" s="92" t="s">
        <v>225</v>
      </c>
      <c r="D19" s="93">
        <v>43251</v>
      </c>
      <c r="E19" s="93">
        <v>43312</v>
      </c>
      <c r="F19" s="92">
        <v>2090</v>
      </c>
      <c r="G19" s="92">
        <v>61</v>
      </c>
      <c r="H19" s="92">
        <v>0.16712328767123288</v>
      </c>
      <c r="I19" s="92">
        <v>0</v>
      </c>
      <c r="J19" s="92">
        <v>0.375</v>
      </c>
      <c r="K19" s="92">
        <v>-130.338401596067</v>
      </c>
      <c r="L19" s="92"/>
      <c r="M19" s="92">
        <v>0</v>
      </c>
      <c r="N19" s="99">
        <v>130.338401596067</v>
      </c>
      <c r="O19" s="92">
        <v>2083.5</v>
      </c>
      <c r="P19" s="92" t="s">
        <v>85</v>
      </c>
      <c r="Q19" s="92">
        <v>-1</v>
      </c>
      <c r="R19" s="92" t="s">
        <v>20</v>
      </c>
    </row>
    <row r="20" spans="2:18" x14ac:dyDescent="0.15">
      <c r="B20" s="92" t="s">
        <v>160</v>
      </c>
      <c r="C20" s="92" t="s">
        <v>225</v>
      </c>
      <c r="D20" s="93">
        <v>43251</v>
      </c>
      <c r="E20" s="93">
        <v>43312</v>
      </c>
      <c r="F20" s="92">
        <v>2000</v>
      </c>
      <c r="G20" s="92">
        <v>61</v>
      </c>
      <c r="H20" s="92">
        <v>0.16712328767123288</v>
      </c>
      <c r="I20" s="92">
        <v>0</v>
      </c>
      <c r="J20" s="92">
        <v>0.38</v>
      </c>
      <c r="K20" s="92">
        <v>-88.709007591763793</v>
      </c>
      <c r="L20" s="92"/>
      <c r="M20" s="92">
        <v>0</v>
      </c>
      <c r="N20" s="99">
        <v>88.709007591763793</v>
      </c>
      <c r="O20" s="92">
        <v>2083.5</v>
      </c>
      <c r="P20" s="92" t="s">
        <v>85</v>
      </c>
      <c r="Q20" s="92">
        <v>-1</v>
      </c>
      <c r="R20" s="92" t="s">
        <v>20</v>
      </c>
    </row>
    <row r="21" spans="2:18" x14ac:dyDescent="0.15">
      <c r="B21" s="91" t="s">
        <v>2</v>
      </c>
      <c r="C21" s="33" t="s">
        <v>181</v>
      </c>
      <c r="D21" s="33" t="s">
        <v>180</v>
      </c>
      <c r="E21" s="33" t="s">
        <v>10</v>
      </c>
      <c r="F21" s="33" t="s">
        <v>184</v>
      </c>
      <c r="G21" s="33" t="s">
        <v>11</v>
      </c>
      <c r="H21" s="33" t="s">
        <v>12</v>
      </c>
      <c r="I21" s="33" t="s">
        <v>47</v>
      </c>
      <c r="J21" s="33" t="s">
        <v>13</v>
      </c>
      <c r="K21" s="33" t="s">
        <v>14</v>
      </c>
      <c r="L21" s="33" t="s">
        <v>26</v>
      </c>
      <c r="M21" s="33" t="s">
        <v>28</v>
      </c>
      <c r="N21" s="33" t="s">
        <v>182</v>
      </c>
      <c r="O21" s="33" t="s">
        <v>8</v>
      </c>
      <c r="P21" s="33" t="s">
        <v>23</v>
      </c>
      <c r="Q21" s="33"/>
      <c r="R21" s="33" t="s">
        <v>30</v>
      </c>
    </row>
    <row r="22" spans="2:18" x14ac:dyDescent="0.15">
      <c r="B22" s="92" t="s">
        <v>160</v>
      </c>
      <c r="C22" s="92" t="s">
        <v>230</v>
      </c>
      <c r="D22" s="93">
        <v>43251</v>
      </c>
      <c r="E22" s="93">
        <v>43280</v>
      </c>
      <c r="F22" s="92">
        <v>53500</v>
      </c>
      <c r="G22" s="92">
        <v>29</v>
      </c>
      <c r="H22" s="92">
        <v>7.9452054794520555E-2</v>
      </c>
      <c r="I22" s="92">
        <v>0</v>
      </c>
      <c r="J22" s="92">
        <v>0.12</v>
      </c>
      <c r="K22" s="92">
        <v>115.41411183967375</v>
      </c>
      <c r="L22" s="92">
        <v>30</v>
      </c>
      <c r="M22" s="92">
        <v>12.275342465753425</v>
      </c>
      <c r="N22" s="99">
        <v>103.13876937392033</v>
      </c>
      <c r="O22" s="92">
        <v>51500</v>
      </c>
      <c r="P22" s="92" t="s">
        <v>39</v>
      </c>
      <c r="Q22" s="92">
        <v>1</v>
      </c>
      <c r="R22" s="92" t="s">
        <v>151</v>
      </c>
    </row>
    <row r="23" spans="2:18" x14ac:dyDescent="0.15">
      <c r="B23" s="91" t="s">
        <v>2</v>
      </c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92" t="s">
        <v>160</v>
      </c>
      <c r="C24" s="92" t="s">
        <v>229</v>
      </c>
      <c r="D24" s="93">
        <v>43251</v>
      </c>
      <c r="E24" s="93">
        <v>43294</v>
      </c>
      <c r="F24" s="92">
        <v>14500</v>
      </c>
      <c r="G24" s="92">
        <v>43</v>
      </c>
      <c r="H24" s="92">
        <v>0.11780821917808219</v>
      </c>
      <c r="I24" s="92">
        <v>0</v>
      </c>
      <c r="J24" s="92">
        <v>0.1275</v>
      </c>
      <c r="K24" s="92">
        <v>170.57397244306321</v>
      </c>
      <c r="L24" s="92"/>
      <c r="M24" s="92">
        <v>0</v>
      </c>
      <c r="N24" s="99">
        <v>170.57397244306321</v>
      </c>
      <c r="O24" s="92">
        <v>14690</v>
      </c>
      <c r="P24" s="92" t="s">
        <v>85</v>
      </c>
      <c r="Q24" s="92">
        <v>1</v>
      </c>
      <c r="R24" s="92" t="s">
        <v>151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7" t="s">
        <v>37</v>
      </c>
      <c r="C1" s="147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43251</v>
      </c>
      <c r="K8" s="21">
        <f ca="1">J8+L8</f>
        <v>43281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0</v>
      </c>
      <c r="P8" s="25">
        <v>80</v>
      </c>
      <c r="Q8" s="24">
        <f>P8/10000*M8*H8*(-E8)</f>
        <v>0</v>
      </c>
      <c r="R8" s="24">
        <f>O8+Q8</f>
        <v>0</v>
      </c>
      <c r="S8" s="26" t="e">
        <f>R8/H8</f>
        <v>#DIV/0!</v>
      </c>
      <c r="T8" s="24" t="e">
        <f>_xll.dnetGBlackScholesNGreeks("delta",$G8,$H8,$I8,$M8,$C$3,$C$4,$N8,$C$4)</f>
        <v>#VALUE!</v>
      </c>
      <c r="U8" s="24">
        <f>_xll.dnetGBlackScholesNGreeks("vega",$G8,$H8,$I8,$M8,$C$3,$C$4,$N8)</f>
        <v>0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43251</v>
      </c>
      <c r="K9" s="8">
        <f ca="1">J9+L9</f>
        <v>43281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43251</v>
      </c>
      <c r="K10" s="8">
        <f ca="1">J10+L10</f>
        <v>43281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67" activePane="bottomLeft" state="frozen"/>
      <selection pane="bottomLeft" activeCell="K97" sqref="K97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2" t="s">
        <v>118</v>
      </c>
      <c r="C1" s="142"/>
    </row>
    <row r="2" spans="2:20" ht="11.25" thickTop="1" x14ac:dyDescent="0.15"/>
    <row r="3" spans="2:20" ht="11.25" thickBot="1" x14ac:dyDescent="0.2">
      <c r="B3" s="141" t="s">
        <v>119</v>
      </c>
      <c r="C3" s="141"/>
      <c r="D3" s="141"/>
      <c r="E3" s="141"/>
      <c r="G3" s="140" t="s">
        <v>120</v>
      </c>
      <c r="H3" s="140"/>
      <c r="I3" s="140"/>
      <c r="J3" s="140"/>
      <c r="L3" s="141" t="s">
        <v>165</v>
      </c>
      <c r="M3" s="141"/>
      <c r="N3" s="141"/>
      <c r="O3" s="141"/>
      <c r="Q3" s="140" t="s">
        <v>166</v>
      </c>
      <c r="R3" s="140"/>
      <c r="S3" s="140"/>
      <c r="T3" s="140"/>
    </row>
    <row r="4" spans="2:20" ht="12" thickTop="1" thickBot="1" x14ac:dyDescent="0.2">
      <c r="B4" s="133" t="s">
        <v>121</v>
      </c>
      <c r="C4" s="133"/>
      <c r="D4" s="133"/>
      <c r="E4" s="133"/>
      <c r="G4" s="133" t="s">
        <v>34</v>
      </c>
      <c r="H4" s="133"/>
      <c r="I4" s="133"/>
      <c r="J4" s="133"/>
      <c r="L4" s="133" t="s">
        <v>121</v>
      </c>
      <c r="M4" s="133"/>
      <c r="N4" s="133"/>
      <c r="O4" s="133"/>
      <c r="Q4" s="133" t="s">
        <v>34</v>
      </c>
      <c r="R4" s="133"/>
      <c r="S4" s="133"/>
      <c r="T4" s="133"/>
    </row>
    <row r="5" spans="2:20" ht="15" customHeight="1" thickTop="1" x14ac:dyDescent="0.15">
      <c r="B5" s="137" t="s">
        <v>122</v>
      </c>
      <c r="C5" s="137"/>
      <c r="D5" s="143"/>
      <c r="E5" s="144"/>
      <c r="G5" s="137" t="s">
        <v>123</v>
      </c>
      <c r="H5" s="137"/>
      <c r="I5" s="103"/>
      <c r="J5" s="104"/>
      <c r="L5" s="101" t="s">
        <v>122</v>
      </c>
      <c r="M5" s="102"/>
      <c r="N5" s="103"/>
      <c r="O5" s="104"/>
      <c r="Q5" s="137" t="s">
        <v>123</v>
      </c>
      <c r="R5" s="137"/>
      <c r="S5" s="103"/>
      <c r="T5" s="104"/>
    </row>
    <row r="6" spans="2:20" x14ac:dyDescent="0.15">
      <c r="B6" s="137" t="s">
        <v>124</v>
      </c>
      <c r="C6" s="137"/>
      <c r="D6" s="138" t="s">
        <v>125</v>
      </c>
      <c r="E6" s="139"/>
      <c r="G6" s="137" t="s">
        <v>126</v>
      </c>
      <c r="H6" s="137"/>
      <c r="I6" s="138"/>
      <c r="J6" s="139"/>
      <c r="L6" s="137" t="s">
        <v>124</v>
      </c>
      <c r="M6" s="137"/>
      <c r="N6" s="138" t="s">
        <v>125</v>
      </c>
      <c r="O6" s="139"/>
      <c r="Q6" s="137" t="s">
        <v>126</v>
      </c>
      <c r="R6" s="137"/>
      <c r="S6" s="138"/>
      <c r="T6" s="139"/>
    </row>
    <row r="7" spans="2:20" ht="2.25" customHeight="1" x14ac:dyDescent="0.15">
      <c r="B7" s="137" t="s">
        <v>127</v>
      </c>
      <c r="C7" s="137"/>
      <c r="D7" s="138" t="s">
        <v>125</v>
      </c>
      <c r="E7" s="139"/>
      <c r="G7" s="137" t="s">
        <v>128</v>
      </c>
      <c r="H7" s="137"/>
      <c r="I7" s="138"/>
      <c r="J7" s="139"/>
      <c r="L7" s="137" t="s">
        <v>127</v>
      </c>
      <c r="M7" s="137"/>
      <c r="N7" s="138" t="s">
        <v>125</v>
      </c>
      <c r="O7" s="139"/>
      <c r="Q7" s="137" t="s">
        <v>128</v>
      </c>
      <c r="R7" s="137"/>
      <c r="S7" s="138"/>
      <c r="T7" s="139"/>
    </row>
    <row r="8" spans="2:20" hidden="1" x14ac:dyDescent="0.15">
      <c r="B8" s="137" t="s">
        <v>129</v>
      </c>
      <c r="C8" s="137"/>
      <c r="D8" s="138">
        <f>D13*D15</f>
        <v>305000</v>
      </c>
      <c r="E8" s="139"/>
      <c r="G8" s="137" t="s">
        <v>130</v>
      </c>
      <c r="H8" s="137"/>
      <c r="I8" s="138"/>
      <c r="J8" s="139"/>
      <c r="L8" s="137" t="s">
        <v>129</v>
      </c>
      <c r="M8" s="137"/>
      <c r="N8" s="138">
        <f>N14*N16</f>
        <v>305000</v>
      </c>
      <c r="O8" s="139"/>
      <c r="Q8" s="137" t="s">
        <v>130</v>
      </c>
      <c r="R8" s="137"/>
      <c r="S8" s="138"/>
      <c r="T8" s="139"/>
    </row>
    <row r="9" spans="2:20" hidden="1" x14ac:dyDescent="0.15">
      <c r="B9" s="137" t="s">
        <v>131</v>
      </c>
      <c r="C9" s="137"/>
      <c r="D9" s="138" t="s">
        <v>132</v>
      </c>
      <c r="E9" s="139"/>
      <c r="G9" s="137" t="s">
        <v>133</v>
      </c>
      <c r="H9" s="137"/>
      <c r="I9" s="138"/>
      <c r="J9" s="139"/>
      <c r="L9" s="137" t="s">
        <v>131</v>
      </c>
      <c r="M9" s="137"/>
      <c r="N9" s="138" t="s">
        <v>132</v>
      </c>
      <c r="O9" s="139"/>
      <c r="Q9" s="137" t="s">
        <v>133</v>
      </c>
      <c r="R9" s="137"/>
      <c r="S9" s="138"/>
      <c r="T9" s="139"/>
    </row>
    <row r="10" spans="2:20" hidden="1" x14ac:dyDescent="0.15">
      <c r="B10" s="137" t="s">
        <v>134</v>
      </c>
      <c r="C10" s="137"/>
      <c r="D10" s="138">
        <v>43084</v>
      </c>
      <c r="E10" s="139"/>
      <c r="G10" s="105" t="s">
        <v>135</v>
      </c>
      <c r="H10" s="105"/>
      <c r="I10" s="138"/>
      <c r="J10" s="139"/>
      <c r="L10" s="137" t="s">
        <v>134</v>
      </c>
      <c r="M10" s="137"/>
      <c r="N10" s="138">
        <v>43084</v>
      </c>
      <c r="O10" s="139"/>
      <c r="Q10" s="105" t="s">
        <v>135</v>
      </c>
      <c r="R10" s="105"/>
      <c r="S10" s="138"/>
      <c r="T10" s="139"/>
    </row>
    <row r="11" spans="2:20" hidden="1" x14ac:dyDescent="0.15">
      <c r="B11" s="137" t="s">
        <v>136</v>
      </c>
      <c r="C11" s="137"/>
      <c r="D11" s="138">
        <v>3935</v>
      </c>
      <c r="E11" s="139"/>
      <c r="G11" s="137" t="s">
        <v>137</v>
      </c>
      <c r="H11" s="137"/>
      <c r="I11" s="138"/>
      <c r="J11" s="139"/>
      <c r="L11" s="137" t="s">
        <v>136</v>
      </c>
      <c r="M11" s="137"/>
      <c r="N11" s="138">
        <v>3935</v>
      </c>
      <c r="O11" s="139"/>
      <c r="Q11" s="137" t="s">
        <v>137</v>
      </c>
      <c r="R11" s="137"/>
      <c r="S11" s="138"/>
      <c r="T11" s="139"/>
    </row>
    <row r="12" spans="2:20" hidden="1" x14ac:dyDescent="0.15">
      <c r="B12" s="137" t="s">
        <v>138</v>
      </c>
      <c r="C12" s="137"/>
      <c r="D12" s="138">
        <v>3800</v>
      </c>
      <c r="E12" s="139"/>
      <c r="G12" s="137" t="s">
        <v>139</v>
      </c>
      <c r="H12" s="137"/>
      <c r="I12" s="138"/>
      <c r="J12" s="139"/>
      <c r="L12" s="137" t="s">
        <v>163</v>
      </c>
      <c r="M12" s="137"/>
      <c r="N12" s="138">
        <v>3800</v>
      </c>
      <c r="O12" s="139"/>
      <c r="Q12" s="137" t="s">
        <v>167</v>
      </c>
      <c r="R12" s="137"/>
      <c r="S12" s="138"/>
      <c r="T12" s="139"/>
    </row>
    <row r="13" spans="2:20" hidden="1" x14ac:dyDescent="0.15">
      <c r="B13" s="137" t="s">
        <v>140</v>
      </c>
      <c r="C13" s="137"/>
      <c r="D13" s="138">
        <v>61</v>
      </c>
      <c r="E13" s="139"/>
      <c r="G13" s="137" t="s">
        <v>141</v>
      </c>
      <c r="H13" s="137"/>
      <c r="I13" s="138"/>
      <c r="J13" s="139"/>
      <c r="L13" s="137" t="s">
        <v>164</v>
      </c>
      <c r="M13" s="137"/>
      <c r="N13" s="138">
        <v>3800</v>
      </c>
      <c r="O13" s="139"/>
      <c r="Q13" s="137" t="s">
        <v>168</v>
      </c>
      <c r="R13" s="137"/>
      <c r="S13" s="138"/>
      <c r="T13" s="139"/>
    </row>
    <row r="14" spans="2:20" hidden="1" x14ac:dyDescent="0.15">
      <c r="B14" s="137" t="s">
        <v>142</v>
      </c>
      <c r="C14" s="137"/>
      <c r="D14" s="138" t="s">
        <v>143</v>
      </c>
      <c r="E14" s="139"/>
      <c r="G14" s="137" t="s">
        <v>144</v>
      </c>
      <c r="H14" s="137"/>
      <c r="I14" s="106"/>
      <c r="J14" s="107"/>
      <c r="L14" s="137" t="s">
        <v>140</v>
      </c>
      <c r="M14" s="137"/>
      <c r="N14" s="138">
        <v>61</v>
      </c>
      <c r="O14" s="139"/>
      <c r="Q14" s="137" t="s">
        <v>141</v>
      </c>
      <c r="R14" s="137"/>
      <c r="S14" s="138"/>
      <c r="T14" s="139"/>
    </row>
    <row r="15" spans="2:20" hidden="1" x14ac:dyDescent="0.15">
      <c r="B15" s="137" t="s">
        <v>145</v>
      </c>
      <c r="C15" s="137"/>
      <c r="D15" s="138">
        <v>5000</v>
      </c>
      <c r="E15" s="139"/>
      <c r="G15" s="137" t="s">
        <v>146</v>
      </c>
      <c r="H15" s="137"/>
      <c r="I15" s="138"/>
      <c r="J15" s="139"/>
      <c r="L15" s="137" t="s">
        <v>142</v>
      </c>
      <c r="M15" s="137"/>
      <c r="N15" s="138" t="s">
        <v>143</v>
      </c>
      <c r="O15" s="139"/>
      <c r="Q15" s="137" t="s">
        <v>144</v>
      </c>
      <c r="R15" s="137"/>
      <c r="S15" s="106"/>
      <c r="T15" s="107"/>
    </row>
    <row r="16" spans="2:20" ht="11.25" hidden="1" thickBot="1" x14ac:dyDescent="0.2">
      <c r="B16" s="134" t="s">
        <v>147</v>
      </c>
      <c r="C16" s="134"/>
      <c r="D16" s="135" t="s">
        <v>148</v>
      </c>
      <c r="E16" s="136"/>
      <c r="G16" s="134" t="s">
        <v>149</v>
      </c>
      <c r="H16" s="134"/>
      <c r="I16" s="135"/>
      <c r="J16" s="136"/>
      <c r="L16" s="137" t="s">
        <v>145</v>
      </c>
      <c r="M16" s="137"/>
      <c r="N16" s="138">
        <v>5000</v>
      </c>
      <c r="O16" s="139"/>
      <c r="Q16" s="137" t="s">
        <v>146</v>
      </c>
      <c r="R16" s="137"/>
      <c r="S16" s="138"/>
      <c r="T16" s="139"/>
    </row>
    <row r="17" spans="2:25" ht="12" hidden="1" thickTop="1" thickBot="1" x14ac:dyDescent="0.2">
      <c r="L17" s="134" t="s">
        <v>147</v>
      </c>
      <c r="M17" s="134"/>
      <c r="N17" s="135" t="s">
        <v>148</v>
      </c>
      <c r="O17" s="136"/>
      <c r="Q17" s="134" t="s">
        <v>149</v>
      </c>
      <c r="R17" s="134"/>
      <c r="S17" s="135"/>
      <c r="T17" s="136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0" t="s">
        <v>220</v>
      </c>
      <c r="C22" s="130"/>
      <c r="D22" s="130"/>
      <c r="E22" s="130"/>
      <c r="G22" s="130" t="s">
        <v>188</v>
      </c>
      <c r="H22" s="130"/>
      <c r="I22" s="130"/>
      <c r="J22" s="130"/>
      <c r="L22" s="133" t="s">
        <v>188</v>
      </c>
      <c r="M22" s="133"/>
      <c r="N22" s="133"/>
      <c r="O22" s="133"/>
      <c r="Q22" s="130" t="s">
        <v>187</v>
      </c>
      <c r="R22" s="130"/>
      <c r="S22" s="130"/>
      <c r="T22" s="130"/>
      <c r="V22" s="133" t="s">
        <v>188</v>
      </c>
      <c r="W22" s="133"/>
      <c r="X22" s="133"/>
      <c r="Y22" s="133"/>
    </row>
    <row r="23" spans="2:25" ht="12" thickTop="1" x14ac:dyDescent="0.15">
      <c r="B23" s="123" t="s">
        <v>122</v>
      </c>
      <c r="C23" s="123"/>
      <c r="D23" s="129">
        <v>43209</v>
      </c>
      <c r="E23" s="131"/>
      <c r="G23" s="123" t="s">
        <v>122</v>
      </c>
      <c r="H23" s="123"/>
      <c r="I23" s="129">
        <f ca="1">TODAY()</f>
        <v>43251</v>
      </c>
      <c r="J23" s="131"/>
      <c r="L23" s="123" t="s">
        <v>122</v>
      </c>
      <c r="M23" s="123"/>
      <c r="N23" s="129">
        <f ca="1">TODAY()</f>
        <v>43251</v>
      </c>
      <c r="O23" s="131"/>
      <c r="Q23" s="123" t="s">
        <v>122</v>
      </c>
      <c r="R23" s="123"/>
      <c r="S23" s="129">
        <f ca="1">TODAY()-1</f>
        <v>43250</v>
      </c>
      <c r="T23" s="131"/>
      <c r="V23" s="123" t="s">
        <v>122</v>
      </c>
      <c r="W23" s="123"/>
      <c r="X23" s="129">
        <f ca="1">TODAY()-1</f>
        <v>43250</v>
      </c>
      <c r="Y23" s="131"/>
    </row>
    <row r="24" spans="2:25" ht="11.25" x14ac:dyDescent="0.15">
      <c r="B24" s="123" t="s">
        <v>124</v>
      </c>
      <c r="C24" s="123"/>
      <c r="D24" s="124" t="s">
        <v>185</v>
      </c>
      <c r="E24" s="125"/>
      <c r="G24" s="123" t="s">
        <v>124</v>
      </c>
      <c r="H24" s="123"/>
      <c r="I24" s="124" t="s">
        <v>185</v>
      </c>
      <c r="J24" s="125"/>
      <c r="L24" s="123" t="s">
        <v>124</v>
      </c>
      <c r="M24" s="123"/>
      <c r="N24" s="124" t="s">
        <v>36</v>
      </c>
      <c r="O24" s="125"/>
      <c r="Q24" s="123" t="s">
        <v>124</v>
      </c>
      <c r="R24" s="123"/>
      <c r="S24" s="124" t="s">
        <v>36</v>
      </c>
      <c r="T24" s="125"/>
      <c r="V24" s="123" t="s">
        <v>124</v>
      </c>
      <c r="W24" s="123"/>
      <c r="X24" s="124" t="s">
        <v>36</v>
      </c>
      <c r="Y24" s="125"/>
    </row>
    <row r="25" spans="2:25" ht="11.25" x14ac:dyDescent="0.15">
      <c r="B25" s="123" t="s">
        <v>127</v>
      </c>
      <c r="C25" s="123"/>
      <c r="D25" s="124" t="s">
        <v>221</v>
      </c>
      <c r="E25" s="125"/>
      <c r="G25" s="123" t="s">
        <v>127</v>
      </c>
      <c r="H25" s="123"/>
      <c r="I25" s="124" t="s">
        <v>5</v>
      </c>
      <c r="J25" s="125"/>
      <c r="L25" s="123" t="s">
        <v>127</v>
      </c>
      <c r="M25" s="123"/>
      <c r="N25" s="124" t="s">
        <v>194</v>
      </c>
      <c r="O25" s="125"/>
      <c r="Q25" s="123" t="s">
        <v>127</v>
      </c>
      <c r="R25" s="123"/>
      <c r="S25" s="124" t="s">
        <v>186</v>
      </c>
      <c r="T25" s="125"/>
      <c r="V25" s="123" t="s">
        <v>127</v>
      </c>
      <c r="W25" s="123"/>
      <c r="X25" s="124" t="s">
        <v>186</v>
      </c>
      <c r="Y25" s="125"/>
    </row>
    <row r="26" spans="2:25" ht="11.25" x14ac:dyDescent="0.15">
      <c r="B26" s="123" t="s">
        <v>129</v>
      </c>
      <c r="C26" s="123"/>
      <c r="D26" s="124">
        <f>D31*D33</f>
        <v>290000</v>
      </c>
      <c r="E26" s="125"/>
      <c r="G26" s="123" t="s">
        <v>179</v>
      </c>
      <c r="H26" s="123"/>
      <c r="I26" s="124">
        <f>I31*I33</f>
        <v>271800</v>
      </c>
      <c r="J26" s="125"/>
      <c r="L26" s="123" t="s">
        <v>129</v>
      </c>
      <c r="M26" s="123"/>
      <c r="N26" s="124">
        <f>N31*N33</f>
        <v>275000</v>
      </c>
      <c r="O26" s="125"/>
      <c r="Q26" s="123" t="s">
        <v>129</v>
      </c>
      <c r="R26" s="123"/>
      <c r="S26" s="124">
        <f>S31*S33</f>
        <v>235799.99999999997</v>
      </c>
      <c r="T26" s="125"/>
      <c r="V26" s="123" t="s">
        <v>129</v>
      </c>
      <c r="W26" s="123"/>
      <c r="X26" s="124">
        <f>X31*X33</f>
        <v>235799.99999999997</v>
      </c>
      <c r="Y26" s="125"/>
    </row>
    <row r="27" spans="2:25" ht="11.25" x14ac:dyDescent="0.15">
      <c r="B27" s="123" t="s">
        <v>131</v>
      </c>
      <c r="C27" s="123"/>
      <c r="D27" s="124" t="s">
        <v>190</v>
      </c>
      <c r="E27" s="125"/>
      <c r="F27" s="100">
        <f>1160*250</f>
        <v>290000</v>
      </c>
      <c r="G27" s="123" t="s">
        <v>131</v>
      </c>
      <c r="H27" s="123"/>
      <c r="I27" s="124" t="s">
        <v>196</v>
      </c>
      <c r="J27" s="125"/>
      <c r="L27" s="123" t="s">
        <v>131</v>
      </c>
      <c r="M27" s="123"/>
      <c r="N27" s="124" t="s">
        <v>189</v>
      </c>
      <c r="O27" s="125"/>
      <c r="Q27" s="123" t="s">
        <v>131</v>
      </c>
      <c r="R27" s="123"/>
      <c r="S27" s="124" t="s">
        <v>190</v>
      </c>
      <c r="T27" s="125"/>
      <c r="V27" s="123" t="s">
        <v>131</v>
      </c>
      <c r="W27" s="123"/>
      <c r="X27" s="124" t="s">
        <v>189</v>
      </c>
      <c r="Y27" s="125"/>
    </row>
    <row r="28" spans="2:25" ht="11.25" x14ac:dyDescent="0.15">
      <c r="B28" s="123" t="s">
        <v>134</v>
      </c>
      <c r="C28" s="123"/>
      <c r="D28" s="129">
        <v>43222</v>
      </c>
      <c r="E28" s="125"/>
      <c r="G28" s="123" t="s">
        <v>134</v>
      </c>
      <c r="H28" s="123"/>
      <c r="I28" s="129">
        <v>43182</v>
      </c>
      <c r="J28" s="125"/>
      <c r="L28" s="123" t="s">
        <v>134</v>
      </c>
      <c r="M28" s="123"/>
      <c r="N28" s="129">
        <v>43219</v>
      </c>
      <c r="O28" s="125"/>
      <c r="Q28" s="123" t="s">
        <v>134</v>
      </c>
      <c r="R28" s="123"/>
      <c r="S28" s="129">
        <v>43201</v>
      </c>
      <c r="T28" s="125"/>
      <c r="V28" s="123" t="s">
        <v>134</v>
      </c>
      <c r="W28" s="123"/>
      <c r="X28" s="129">
        <v>43201</v>
      </c>
      <c r="Y28" s="125"/>
    </row>
    <row r="29" spans="2:25" ht="11.25" x14ac:dyDescent="0.15">
      <c r="B29" s="123" t="s">
        <v>136</v>
      </c>
      <c r="C29" s="123"/>
      <c r="D29" s="124">
        <v>108500</v>
      </c>
      <c r="E29" s="125"/>
      <c r="G29" s="123" t="s">
        <v>136</v>
      </c>
      <c r="H29" s="123"/>
      <c r="I29" s="124">
        <v>3856</v>
      </c>
      <c r="J29" s="125"/>
      <c r="L29" s="123" t="s">
        <v>136</v>
      </c>
      <c r="M29" s="123"/>
      <c r="N29" s="124">
        <v>3760</v>
      </c>
      <c r="O29" s="125"/>
      <c r="Q29" s="123" t="s">
        <v>136</v>
      </c>
      <c r="R29" s="123"/>
      <c r="S29" s="124">
        <v>524</v>
      </c>
      <c r="T29" s="125"/>
      <c r="V29" s="123" t="s">
        <v>136</v>
      </c>
      <c r="W29" s="123"/>
      <c r="X29" s="124">
        <v>524</v>
      </c>
      <c r="Y29" s="125"/>
    </row>
    <row r="30" spans="2:25" ht="11.25" x14ac:dyDescent="0.15">
      <c r="B30" s="123" t="s">
        <v>138</v>
      </c>
      <c r="C30" s="123"/>
      <c r="D30" s="124">
        <v>110000</v>
      </c>
      <c r="E30" s="125"/>
      <c r="G30" s="123" t="s">
        <v>138</v>
      </c>
      <c r="H30" s="123"/>
      <c r="I30" s="124">
        <v>3930</v>
      </c>
      <c r="J30" s="125"/>
      <c r="L30" s="123" t="s">
        <v>138</v>
      </c>
      <c r="M30" s="123"/>
      <c r="N30" s="124">
        <v>3700</v>
      </c>
      <c r="O30" s="125"/>
      <c r="Q30" s="123" t="s">
        <v>138</v>
      </c>
      <c r="R30" s="123"/>
      <c r="S30" s="124">
        <v>524</v>
      </c>
      <c r="T30" s="125"/>
      <c r="V30" s="123" t="s">
        <v>138</v>
      </c>
      <c r="W30" s="123"/>
      <c r="X30" s="124">
        <v>524</v>
      </c>
      <c r="Y30" s="125"/>
    </row>
    <row r="31" spans="2:25" ht="11.25" x14ac:dyDescent="0.15">
      <c r="B31" s="123" t="s">
        <v>140</v>
      </c>
      <c r="C31" s="123"/>
      <c r="D31" s="124">
        <v>1160</v>
      </c>
      <c r="E31" s="125"/>
      <c r="G31" s="123" t="s">
        <v>197</v>
      </c>
      <c r="H31" s="123"/>
      <c r="I31" s="124">
        <v>27.18</v>
      </c>
      <c r="J31" s="125"/>
      <c r="L31" s="123" t="s">
        <v>140</v>
      </c>
      <c r="M31" s="123"/>
      <c r="N31" s="124">
        <v>55</v>
      </c>
      <c r="O31" s="125"/>
      <c r="Q31" s="123" t="s">
        <v>140</v>
      </c>
      <c r="R31" s="123"/>
      <c r="S31" s="124">
        <v>23.58</v>
      </c>
      <c r="T31" s="125"/>
      <c r="V31" s="123" t="s">
        <v>140</v>
      </c>
      <c r="W31" s="123"/>
      <c r="X31" s="124">
        <v>23.58</v>
      </c>
      <c r="Y31" s="125"/>
    </row>
    <row r="32" spans="2:25" ht="11.25" x14ac:dyDescent="0.15">
      <c r="B32" s="123" t="s">
        <v>142</v>
      </c>
      <c r="C32" s="123"/>
      <c r="D32" s="124" t="s">
        <v>208</v>
      </c>
      <c r="E32" s="125"/>
      <c r="G32" s="123" t="s">
        <v>198</v>
      </c>
      <c r="H32" s="123"/>
      <c r="I32" s="124" t="s">
        <v>195</v>
      </c>
      <c r="J32" s="125"/>
      <c r="L32" s="123" t="s">
        <v>142</v>
      </c>
      <c r="M32" s="123"/>
      <c r="N32" s="124" t="s">
        <v>193</v>
      </c>
      <c r="O32" s="125"/>
      <c r="Q32" s="123" t="s">
        <v>142</v>
      </c>
      <c r="R32" s="123"/>
      <c r="S32" s="124" t="s">
        <v>191</v>
      </c>
      <c r="T32" s="125"/>
      <c r="V32" s="123" t="s">
        <v>142</v>
      </c>
      <c r="W32" s="123"/>
      <c r="X32" s="124" t="s">
        <v>191</v>
      </c>
      <c r="Y32" s="125"/>
    </row>
    <row r="33" spans="2:25" ht="11.25" x14ac:dyDescent="0.15">
      <c r="B33" s="123" t="s">
        <v>145</v>
      </c>
      <c r="C33" s="123"/>
      <c r="D33" s="124">
        <v>250</v>
      </c>
      <c r="E33" s="125"/>
      <c r="G33" s="123" t="s">
        <v>199</v>
      </c>
      <c r="H33" s="123"/>
      <c r="I33" s="124">
        <v>10000</v>
      </c>
      <c r="J33" s="125"/>
      <c r="L33" s="123" t="s">
        <v>145</v>
      </c>
      <c r="M33" s="123"/>
      <c r="N33" s="124">
        <v>5000</v>
      </c>
      <c r="O33" s="125"/>
      <c r="Q33" s="123" t="s">
        <v>145</v>
      </c>
      <c r="R33" s="123"/>
      <c r="S33" s="124">
        <v>10000</v>
      </c>
      <c r="T33" s="125"/>
      <c r="V33" s="123" t="s">
        <v>145</v>
      </c>
      <c r="W33" s="123"/>
      <c r="X33" s="124">
        <v>10000</v>
      </c>
      <c r="Y33" s="125"/>
    </row>
    <row r="34" spans="2:25" ht="12" thickBot="1" x14ac:dyDescent="0.2">
      <c r="B34" s="126" t="s">
        <v>147</v>
      </c>
      <c r="C34" s="126"/>
      <c r="D34" s="127" t="s">
        <v>148</v>
      </c>
      <c r="E34" s="128"/>
      <c r="G34" s="126" t="s">
        <v>147</v>
      </c>
      <c r="H34" s="126"/>
      <c r="I34" s="127" t="s">
        <v>148</v>
      </c>
      <c r="J34" s="128"/>
      <c r="L34" s="126" t="s">
        <v>147</v>
      </c>
      <c r="M34" s="126"/>
      <c r="N34" s="127" t="s">
        <v>148</v>
      </c>
      <c r="O34" s="128"/>
      <c r="Q34" s="126" t="s">
        <v>147</v>
      </c>
      <c r="R34" s="126"/>
      <c r="S34" s="127" t="s">
        <v>148</v>
      </c>
      <c r="T34" s="128"/>
      <c r="V34" s="126" t="s">
        <v>147</v>
      </c>
      <c r="W34" s="126"/>
      <c r="X34" s="127" t="s">
        <v>148</v>
      </c>
      <c r="Y34" s="128"/>
    </row>
    <row r="35" spans="2:25" ht="11.25" thickTop="1" x14ac:dyDescent="0.15"/>
    <row r="36" spans="2:25" ht="12" thickBot="1" x14ac:dyDescent="0.2">
      <c r="B36" s="130" t="s">
        <v>226</v>
      </c>
      <c r="C36" s="130"/>
      <c r="D36" s="130"/>
      <c r="E36" s="130"/>
      <c r="G36" s="130" t="s">
        <v>227</v>
      </c>
      <c r="H36" s="130"/>
      <c r="I36" s="130"/>
      <c r="J36" s="130"/>
      <c r="L36" s="130" t="s">
        <v>205</v>
      </c>
      <c r="M36" s="130"/>
      <c r="N36" s="130"/>
      <c r="O36" s="130"/>
      <c r="Q36" s="130" t="s">
        <v>121</v>
      </c>
      <c r="R36" s="130"/>
      <c r="S36" s="130"/>
      <c r="T36" s="130"/>
    </row>
    <row r="37" spans="2:25" ht="12" thickTop="1" x14ac:dyDescent="0.15">
      <c r="B37" s="123" t="s">
        <v>122</v>
      </c>
      <c r="C37" s="123"/>
      <c r="D37" s="129">
        <v>43229</v>
      </c>
      <c r="E37" s="131"/>
      <c r="G37" s="123" t="s">
        <v>122</v>
      </c>
      <c r="H37" s="123"/>
      <c r="I37" s="129">
        <v>43229</v>
      </c>
      <c r="J37" s="131"/>
      <c r="L37" s="123" t="s">
        <v>122</v>
      </c>
      <c r="M37" s="123"/>
      <c r="N37" s="129">
        <v>43214</v>
      </c>
      <c r="O37" s="131"/>
      <c r="Q37" s="123" t="s">
        <v>122</v>
      </c>
      <c r="R37" s="123"/>
      <c r="S37" s="129">
        <v>43209</v>
      </c>
      <c r="T37" s="131"/>
    </row>
    <row r="38" spans="2:25" ht="11.25" x14ac:dyDescent="0.15">
      <c r="B38" s="123" t="s">
        <v>124</v>
      </c>
      <c r="C38" s="123"/>
      <c r="D38" s="124" t="s">
        <v>186</v>
      </c>
      <c r="E38" s="125"/>
      <c r="G38" s="123" t="s">
        <v>124</v>
      </c>
      <c r="H38" s="123"/>
      <c r="I38" s="124" t="s">
        <v>186</v>
      </c>
      <c r="J38" s="125"/>
      <c r="L38" s="123" t="s">
        <v>124</v>
      </c>
      <c r="M38" s="123"/>
      <c r="N38" s="124" t="s">
        <v>203</v>
      </c>
      <c r="O38" s="125"/>
      <c r="Q38" s="123" t="s">
        <v>124</v>
      </c>
      <c r="R38" s="123"/>
      <c r="S38" s="124" t="s">
        <v>217</v>
      </c>
      <c r="T38" s="125"/>
    </row>
    <row r="39" spans="2:25" ht="11.25" x14ac:dyDescent="0.15">
      <c r="B39" s="123" t="s">
        <v>127</v>
      </c>
      <c r="C39" s="123"/>
      <c r="D39" s="124" t="s">
        <v>222</v>
      </c>
      <c r="E39" s="125"/>
      <c r="G39" s="123" t="s">
        <v>127</v>
      </c>
      <c r="H39" s="123"/>
      <c r="I39" s="124" t="s">
        <v>203</v>
      </c>
      <c r="J39" s="125"/>
      <c r="L39" s="123" t="s">
        <v>127</v>
      </c>
      <c r="M39" s="123"/>
      <c r="N39" s="124" t="s">
        <v>4</v>
      </c>
      <c r="O39" s="125"/>
      <c r="Q39" s="123" t="s">
        <v>127</v>
      </c>
      <c r="R39" s="123"/>
      <c r="S39" s="124" t="s">
        <v>203</v>
      </c>
      <c r="T39" s="125"/>
    </row>
    <row r="40" spans="2:25" ht="11.25" x14ac:dyDescent="0.15">
      <c r="B40" s="123" t="s">
        <v>179</v>
      </c>
      <c r="C40" s="123"/>
      <c r="D40" s="124">
        <f>D47*D45</f>
        <v>410500.00000000006</v>
      </c>
      <c r="E40" s="125"/>
      <c r="G40" s="123" t="s">
        <v>179</v>
      </c>
      <c r="H40" s="123"/>
      <c r="I40" s="124">
        <f>I45*I47</f>
        <v>410500.00000000006</v>
      </c>
      <c r="J40" s="125"/>
      <c r="L40" s="123" t="s">
        <v>129</v>
      </c>
      <c r="M40" s="123"/>
      <c r="N40" s="124">
        <f>N45*N47</f>
        <v>2117500</v>
      </c>
      <c r="O40" s="125"/>
      <c r="Q40" s="123" t="s">
        <v>179</v>
      </c>
      <c r="R40" s="123"/>
      <c r="S40" s="124">
        <f>S45*S47</f>
        <v>1045200</v>
      </c>
      <c r="T40" s="125"/>
    </row>
    <row r="41" spans="2:25" ht="11.25" x14ac:dyDescent="0.15">
      <c r="B41" s="123" t="s">
        <v>131</v>
      </c>
      <c r="C41" s="123"/>
      <c r="D41" s="124" t="s">
        <v>223</v>
      </c>
      <c r="E41" s="125"/>
      <c r="G41" s="123" t="s">
        <v>131</v>
      </c>
      <c r="H41" s="123"/>
      <c r="I41" s="124" t="s">
        <v>218</v>
      </c>
      <c r="J41" s="125"/>
      <c r="L41" s="123" t="s">
        <v>131</v>
      </c>
      <c r="M41" s="123"/>
      <c r="N41" s="124" t="s">
        <v>207</v>
      </c>
      <c r="O41" s="125"/>
      <c r="Q41" s="123" t="s">
        <v>131</v>
      </c>
      <c r="R41" s="123"/>
      <c r="S41" s="124" t="s">
        <v>218</v>
      </c>
      <c r="T41" s="125"/>
    </row>
    <row r="42" spans="2:25" ht="11.25" x14ac:dyDescent="0.15">
      <c r="B42" s="123" t="s">
        <v>134</v>
      </c>
      <c r="C42" s="123"/>
      <c r="D42" s="129">
        <f>D37+98</f>
        <v>43327</v>
      </c>
      <c r="E42" s="125"/>
      <c r="G42" s="123" t="s">
        <v>134</v>
      </c>
      <c r="H42" s="123"/>
      <c r="I42" s="129">
        <f>I37+98</f>
        <v>43327</v>
      </c>
      <c r="J42" s="125"/>
      <c r="L42" s="123" t="s">
        <v>134</v>
      </c>
      <c r="M42" s="123"/>
      <c r="N42" s="129">
        <v>43266</v>
      </c>
      <c r="O42" s="125"/>
      <c r="Q42" s="123" t="s">
        <v>134</v>
      </c>
      <c r="R42" s="123"/>
      <c r="S42" s="129">
        <v>43266</v>
      </c>
      <c r="T42" s="125"/>
    </row>
    <row r="43" spans="2:25" ht="11.25" x14ac:dyDescent="0.15">
      <c r="B43" s="123" t="s">
        <v>136</v>
      </c>
      <c r="C43" s="123"/>
      <c r="D43" s="124">
        <v>470.5</v>
      </c>
      <c r="E43" s="125"/>
      <c r="G43" s="123" t="s">
        <v>136</v>
      </c>
      <c r="H43" s="123"/>
      <c r="I43" s="124">
        <v>470.5</v>
      </c>
      <c r="J43" s="125"/>
      <c r="L43" s="123" t="s">
        <v>136</v>
      </c>
      <c r="M43" s="132"/>
      <c r="N43" s="124">
        <v>14535</v>
      </c>
      <c r="O43" s="125"/>
      <c r="Q43" s="123" t="s">
        <v>136</v>
      </c>
      <c r="R43" s="123"/>
      <c r="S43" s="124">
        <v>15250</v>
      </c>
      <c r="T43" s="125"/>
    </row>
    <row r="44" spans="2:25" ht="11.25" x14ac:dyDescent="0.15">
      <c r="B44" s="123" t="s">
        <v>138</v>
      </c>
      <c r="C44" s="123"/>
      <c r="D44" s="124">
        <v>470.5</v>
      </c>
      <c r="E44" s="125"/>
      <c r="F44" s="100">
        <f>D44*1.55/100</f>
        <v>7.2927499999999998</v>
      </c>
      <c r="G44" s="123" t="s">
        <v>138</v>
      </c>
      <c r="H44" s="123"/>
      <c r="I44" s="124">
        <v>470.5</v>
      </c>
      <c r="J44" s="125"/>
      <c r="L44" s="123" t="s">
        <v>138</v>
      </c>
      <c r="M44" s="123"/>
      <c r="N44" s="124">
        <v>14500</v>
      </c>
      <c r="O44" s="125"/>
      <c r="Q44" s="123" t="s">
        <v>138</v>
      </c>
      <c r="R44" s="123"/>
      <c r="S44" s="124">
        <v>14500</v>
      </c>
      <c r="T44" s="125"/>
    </row>
    <row r="45" spans="2:25" ht="11.25" x14ac:dyDescent="0.15">
      <c r="B45" s="123" t="s">
        <v>140</v>
      </c>
      <c r="C45" s="123"/>
      <c r="D45" s="124">
        <v>32.840000000000003</v>
      </c>
      <c r="E45" s="125"/>
      <c r="G45" s="123" t="s">
        <v>140</v>
      </c>
      <c r="H45" s="123"/>
      <c r="I45" s="124">
        <v>32.840000000000003</v>
      </c>
      <c r="J45" s="125"/>
      <c r="L45" s="123" t="s">
        <v>140</v>
      </c>
      <c r="M45" s="123"/>
      <c r="N45" s="124">
        <v>423.5</v>
      </c>
      <c r="O45" s="125"/>
      <c r="Q45" s="123" t="s">
        <v>197</v>
      </c>
      <c r="R45" s="123"/>
      <c r="S45" s="124">
        <v>209.04</v>
      </c>
      <c r="T45" s="125"/>
    </row>
    <row r="46" spans="2:25" ht="11.25" x14ac:dyDescent="0.15">
      <c r="B46" s="123" t="s">
        <v>198</v>
      </c>
      <c r="C46" s="123"/>
      <c r="D46" s="124" t="s">
        <v>201</v>
      </c>
      <c r="E46" s="125"/>
      <c r="G46" s="123" t="s">
        <v>142</v>
      </c>
      <c r="H46" s="123"/>
      <c r="I46" s="124" t="s">
        <v>201</v>
      </c>
      <c r="J46" s="125"/>
      <c r="L46" s="123" t="s">
        <v>142</v>
      </c>
      <c r="M46" s="123"/>
      <c r="N46" s="124" t="s">
        <v>209</v>
      </c>
      <c r="O46" s="125"/>
      <c r="Q46" s="123" t="s">
        <v>142</v>
      </c>
      <c r="R46" s="123"/>
      <c r="S46" s="124" t="s">
        <v>219</v>
      </c>
      <c r="T46" s="125"/>
    </row>
    <row r="47" spans="2:25" ht="11.25" x14ac:dyDescent="0.15">
      <c r="B47" s="123" t="s">
        <v>145</v>
      </c>
      <c r="C47" s="123"/>
      <c r="D47" s="124">
        <v>12500</v>
      </c>
      <c r="E47" s="125"/>
      <c r="G47" s="123" t="s">
        <v>145</v>
      </c>
      <c r="H47" s="123"/>
      <c r="I47" s="124">
        <v>12500</v>
      </c>
      <c r="J47" s="125"/>
      <c r="L47" s="123" t="s">
        <v>145</v>
      </c>
      <c r="M47" s="123"/>
      <c r="N47" s="124">
        <v>5000</v>
      </c>
      <c r="O47" s="125"/>
      <c r="Q47" s="123" t="s">
        <v>145</v>
      </c>
      <c r="R47" s="123"/>
      <c r="S47" s="124">
        <v>5000</v>
      </c>
      <c r="T47" s="125"/>
    </row>
    <row r="48" spans="2:25" ht="12" thickBot="1" x14ac:dyDescent="0.2">
      <c r="B48" s="126" t="s">
        <v>147</v>
      </c>
      <c r="C48" s="126"/>
      <c r="D48" s="127" t="s">
        <v>224</v>
      </c>
      <c r="E48" s="128"/>
      <c r="G48" s="126" t="s">
        <v>147</v>
      </c>
      <c r="H48" s="126"/>
      <c r="I48" s="127" t="s">
        <v>206</v>
      </c>
      <c r="J48" s="128"/>
      <c r="L48" s="126" t="s">
        <v>147</v>
      </c>
      <c r="M48" s="126"/>
      <c r="N48" s="127" t="s">
        <v>204</v>
      </c>
      <c r="O48" s="128"/>
      <c r="Q48" s="126" t="s">
        <v>147</v>
      </c>
      <c r="R48" s="126"/>
      <c r="S48" s="127" t="s">
        <v>206</v>
      </c>
      <c r="T48" s="128"/>
    </row>
    <row r="49" spans="2:20" ht="12.75" thickTop="1" thickBot="1" x14ac:dyDescent="0.2">
      <c r="B49" s="130" t="s">
        <v>121</v>
      </c>
      <c r="C49" s="130"/>
      <c r="D49" s="130"/>
      <c r="E49" s="130"/>
      <c r="G49" s="130" t="s">
        <v>205</v>
      </c>
      <c r="H49" s="130"/>
      <c r="I49" s="130"/>
      <c r="J49" s="130"/>
      <c r="L49" s="130" t="s">
        <v>188</v>
      </c>
      <c r="M49" s="130"/>
      <c r="N49" s="130"/>
      <c r="O49" s="130"/>
      <c r="Q49" s="130" t="s">
        <v>234</v>
      </c>
      <c r="R49" s="130"/>
      <c r="S49" s="130"/>
      <c r="T49" s="130"/>
    </row>
    <row r="50" spans="2:20" ht="12" thickTop="1" x14ac:dyDescent="0.15">
      <c r="B50" s="123" t="s">
        <v>122</v>
      </c>
      <c r="C50" s="123"/>
      <c r="D50" s="129">
        <v>43235</v>
      </c>
      <c r="E50" s="131"/>
      <c r="G50" s="123" t="s">
        <v>122</v>
      </c>
      <c r="H50" s="123"/>
      <c r="I50" s="129">
        <v>43236</v>
      </c>
      <c r="J50" s="131"/>
      <c r="L50" s="123" t="s">
        <v>122</v>
      </c>
      <c r="M50" s="123"/>
      <c r="N50" s="129">
        <v>43237</v>
      </c>
      <c r="O50" s="131"/>
      <c r="Q50" s="123" t="s">
        <v>122</v>
      </c>
      <c r="R50" s="123"/>
      <c r="S50" s="129">
        <v>43237</v>
      </c>
      <c r="T50" s="131"/>
    </row>
    <row r="51" spans="2:20" ht="11.25" x14ac:dyDescent="0.15">
      <c r="B51" s="123" t="s">
        <v>124</v>
      </c>
      <c r="C51" s="123"/>
      <c r="D51" s="124" t="s">
        <v>222</v>
      </c>
      <c r="E51" s="125"/>
      <c r="G51" s="123" t="s">
        <v>124</v>
      </c>
      <c r="H51" s="123"/>
      <c r="I51" s="124" t="s">
        <v>203</v>
      </c>
      <c r="J51" s="125"/>
      <c r="L51" s="123" t="s">
        <v>124</v>
      </c>
      <c r="M51" s="123"/>
      <c r="N51" s="124" t="s">
        <v>4</v>
      </c>
      <c r="O51" s="125"/>
      <c r="Q51" s="123" t="s">
        <v>124</v>
      </c>
      <c r="R51" s="123"/>
      <c r="S51" s="124" t="s">
        <v>4</v>
      </c>
      <c r="T51" s="125"/>
    </row>
    <row r="52" spans="2:20" ht="11.25" x14ac:dyDescent="0.15">
      <c r="B52" s="123" t="s">
        <v>127</v>
      </c>
      <c r="C52" s="123"/>
      <c r="D52" s="124" t="s">
        <v>232</v>
      </c>
      <c r="E52" s="125"/>
      <c r="G52" s="123" t="s">
        <v>127</v>
      </c>
      <c r="H52" s="123"/>
      <c r="I52" s="124" t="s">
        <v>4</v>
      </c>
      <c r="J52" s="125"/>
      <c r="L52" s="123" t="s">
        <v>127</v>
      </c>
      <c r="M52" s="123"/>
      <c r="N52" s="124" t="s">
        <v>36</v>
      </c>
      <c r="O52" s="125"/>
      <c r="Q52" s="123" t="s">
        <v>127</v>
      </c>
      <c r="R52" s="123"/>
      <c r="S52" s="124" t="s">
        <v>36</v>
      </c>
      <c r="T52" s="125"/>
    </row>
    <row r="53" spans="2:20" ht="11.25" x14ac:dyDescent="0.15">
      <c r="B53" s="123" t="s">
        <v>179</v>
      </c>
      <c r="C53" s="123"/>
      <c r="D53" s="124">
        <f>D58*D60</f>
        <v>280000</v>
      </c>
      <c r="E53" s="125"/>
      <c r="G53" s="123" t="s">
        <v>129</v>
      </c>
      <c r="H53" s="123"/>
      <c r="I53" s="124">
        <f>I58*I60</f>
        <v>936000</v>
      </c>
      <c r="J53" s="125"/>
      <c r="L53" s="123" t="s">
        <v>179</v>
      </c>
      <c r="M53" s="123"/>
      <c r="N53" s="124">
        <f>N58*N60</f>
        <v>1272000</v>
      </c>
      <c r="O53" s="125"/>
      <c r="Q53" s="123" t="s">
        <v>179</v>
      </c>
      <c r="R53" s="123"/>
      <c r="S53" s="124">
        <f>S58*S60</f>
        <v>1230000</v>
      </c>
      <c r="T53" s="125"/>
    </row>
    <row r="54" spans="2:20" ht="11.25" x14ac:dyDescent="0.15">
      <c r="B54" s="123" t="s">
        <v>131</v>
      </c>
      <c r="C54" s="123"/>
      <c r="D54" s="124" t="s">
        <v>189</v>
      </c>
      <c r="E54" s="125"/>
      <c r="G54" s="123" t="s">
        <v>131</v>
      </c>
      <c r="H54" s="123"/>
      <c r="I54" s="124" t="s">
        <v>207</v>
      </c>
      <c r="J54" s="125"/>
      <c r="L54" s="123" t="s">
        <v>131</v>
      </c>
      <c r="M54" s="123"/>
      <c r="N54" s="124" t="s">
        <v>132</v>
      </c>
      <c r="O54" s="125"/>
      <c r="Q54" s="123" t="s">
        <v>131</v>
      </c>
      <c r="R54" s="123"/>
      <c r="S54" s="124" t="s">
        <v>132</v>
      </c>
      <c r="T54" s="125"/>
    </row>
    <row r="55" spans="2:20" ht="11.25" x14ac:dyDescent="0.15">
      <c r="B55" s="123" t="s">
        <v>134</v>
      </c>
      <c r="C55" s="123"/>
      <c r="D55" s="129">
        <f>D50+87</f>
        <v>43322</v>
      </c>
      <c r="E55" s="125"/>
      <c r="G55" s="123" t="s">
        <v>134</v>
      </c>
      <c r="H55" s="123"/>
      <c r="I55" s="129">
        <v>43294</v>
      </c>
      <c r="J55" s="125"/>
      <c r="L55" s="123" t="s">
        <v>134</v>
      </c>
      <c r="M55" s="123"/>
      <c r="N55" s="129">
        <f>N50+85</f>
        <v>43322</v>
      </c>
      <c r="O55" s="125"/>
      <c r="Q55" s="123" t="s">
        <v>134</v>
      </c>
      <c r="R55" s="123"/>
      <c r="S55" s="129">
        <f>S50+85</f>
        <v>43322</v>
      </c>
      <c r="T55" s="125"/>
    </row>
    <row r="56" spans="2:20" ht="11.25" x14ac:dyDescent="0.15">
      <c r="B56" s="123" t="s">
        <v>136</v>
      </c>
      <c r="C56" s="123"/>
      <c r="D56" s="124">
        <v>14825</v>
      </c>
      <c r="E56" s="125"/>
      <c r="G56" s="123" t="s">
        <v>136</v>
      </c>
      <c r="H56" s="132"/>
      <c r="I56" s="124">
        <v>14730</v>
      </c>
      <c r="J56" s="125"/>
      <c r="L56" s="123" t="s">
        <v>136</v>
      </c>
      <c r="M56" s="123"/>
      <c r="N56" s="124">
        <v>482</v>
      </c>
      <c r="O56" s="125"/>
      <c r="Q56" s="123" t="s">
        <v>136</v>
      </c>
      <c r="R56" s="123"/>
      <c r="S56" s="124">
        <v>482.5</v>
      </c>
      <c r="T56" s="125"/>
    </row>
    <row r="57" spans="2:20" ht="11.25" x14ac:dyDescent="0.15">
      <c r="B57" s="123" t="s">
        <v>138</v>
      </c>
      <c r="C57" s="123"/>
      <c r="D57" s="124">
        <v>14100</v>
      </c>
      <c r="E57" s="125"/>
      <c r="G57" s="123" t="s">
        <v>138</v>
      </c>
      <c r="H57" s="123"/>
      <c r="I57" s="124">
        <v>14500</v>
      </c>
      <c r="J57" s="125"/>
      <c r="L57" s="123" t="s">
        <v>138</v>
      </c>
      <c r="M57" s="123"/>
      <c r="N57" s="124">
        <v>480</v>
      </c>
      <c r="O57" s="125"/>
      <c r="Q57" s="123" t="s">
        <v>138</v>
      </c>
      <c r="R57" s="123"/>
      <c r="S57" s="124">
        <v>430</v>
      </c>
      <c r="T57" s="125"/>
    </row>
    <row r="58" spans="2:20" ht="11.25" x14ac:dyDescent="0.15">
      <c r="B58" s="123" t="s">
        <v>140</v>
      </c>
      <c r="C58" s="123"/>
      <c r="D58" s="124">
        <v>140</v>
      </c>
      <c r="E58" s="125"/>
      <c r="G58" s="123" t="s">
        <v>140</v>
      </c>
      <c r="H58" s="123"/>
      <c r="I58" s="124">
        <v>312</v>
      </c>
      <c r="J58" s="125"/>
      <c r="L58" s="123" t="s">
        <v>140</v>
      </c>
      <c r="M58" s="123"/>
      <c r="N58" s="124">
        <v>31.8</v>
      </c>
      <c r="O58" s="125"/>
      <c r="Q58" s="123" t="s">
        <v>140</v>
      </c>
      <c r="R58" s="123"/>
      <c r="S58" s="124">
        <v>12.3</v>
      </c>
      <c r="T58" s="125"/>
    </row>
    <row r="59" spans="2:20" ht="11.25" x14ac:dyDescent="0.15">
      <c r="B59" s="123" t="s">
        <v>142</v>
      </c>
      <c r="C59" s="123"/>
      <c r="D59" s="124" t="s">
        <v>231</v>
      </c>
      <c r="E59" s="125"/>
      <c r="G59" s="123" t="s">
        <v>142</v>
      </c>
      <c r="H59" s="123"/>
      <c r="I59" s="124" t="s">
        <v>233</v>
      </c>
      <c r="J59" s="125"/>
      <c r="L59" s="123" t="s">
        <v>142</v>
      </c>
      <c r="M59" s="123"/>
      <c r="N59" s="124" t="s">
        <v>201</v>
      </c>
      <c r="O59" s="125"/>
      <c r="Q59" s="123" t="s">
        <v>142</v>
      </c>
      <c r="R59" s="123"/>
      <c r="S59" s="124" t="s">
        <v>201</v>
      </c>
      <c r="T59" s="125"/>
    </row>
    <row r="60" spans="2:20" ht="11.25" x14ac:dyDescent="0.15">
      <c r="B60" s="123" t="s">
        <v>145</v>
      </c>
      <c r="C60" s="123"/>
      <c r="D60" s="124">
        <v>2000</v>
      </c>
      <c r="E60" s="125"/>
      <c r="G60" s="123" t="s">
        <v>145</v>
      </c>
      <c r="H60" s="123"/>
      <c r="I60" s="124">
        <v>3000</v>
      </c>
      <c r="J60" s="125"/>
      <c r="L60" s="123" t="s">
        <v>145</v>
      </c>
      <c r="M60" s="123"/>
      <c r="N60" s="124">
        <v>40000</v>
      </c>
      <c r="O60" s="125"/>
      <c r="Q60" s="123" t="s">
        <v>145</v>
      </c>
      <c r="R60" s="123"/>
      <c r="S60" s="124">
        <v>100000</v>
      </c>
      <c r="T60" s="125"/>
    </row>
    <row r="61" spans="2:20" ht="12" thickBot="1" x14ac:dyDescent="0.2">
      <c r="B61" s="126" t="s">
        <v>147</v>
      </c>
      <c r="C61" s="126"/>
      <c r="D61" s="127" t="s">
        <v>206</v>
      </c>
      <c r="E61" s="128"/>
      <c r="G61" s="126" t="s">
        <v>147</v>
      </c>
      <c r="H61" s="126"/>
      <c r="I61" s="127" t="s">
        <v>204</v>
      </c>
      <c r="J61" s="128"/>
      <c r="L61" s="126" t="s">
        <v>147</v>
      </c>
      <c r="M61" s="126"/>
      <c r="N61" s="127" t="s">
        <v>206</v>
      </c>
      <c r="O61" s="128"/>
      <c r="Q61" s="126" t="s">
        <v>147</v>
      </c>
      <c r="R61" s="126"/>
      <c r="S61" s="127" t="s">
        <v>206</v>
      </c>
      <c r="T61" s="128"/>
    </row>
    <row r="62" spans="2:20" ht="11.25" thickTop="1" x14ac:dyDescent="0.15"/>
    <row r="63" spans="2:20" ht="12" thickBot="1" x14ac:dyDescent="0.2">
      <c r="G63" s="130" t="s">
        <v>244</v>
      </c>
      <c r="H63" s="130"/>
      <c r="I63" s="130"/>
      <c r="J63" s="130"/>
      <c r="L63" s="130" t="s">
        <v>245</v>
      </c>
      <c r="M63" s="130"/>
      <c r="N63" s="130"/>
      <c r="O63" s="130"/>
    </row>
    <row r="64" spans="2:20" ht="12" thickTop="1" x14ac:dyDescent="0.15">
      <c r="G64" s="123" t="s">
        <v>122</v>
      </c>
      <c r="H64" s="123"/>
      <c r="I64" s="129">
        <v>43248</v>
      </c>
      <c r="J64" s="131"/>
      <c r="L64" s="123" t="s">
        <v>122</v>
      </c>
      <c r="M64" s="123"/>
      <c r="N64" s="129">
        <v>43248</v>
      </c>
      <c r="O64" s="131"/>
    </row>
    <row r="65" spans="7:17" ht="11.25" x14ac:dyDescent="0.15">
      <c r="G65" s="123" t="s">
        <v>124</v>
      </c>
      <c r="H65" s="123"/>
      <c r="I65" s="124" t="s">
        <v>242</v>
      </c>
      <c r="J65" s="125"/>
      <c r="L65" s="123" t="s">
        <v>124</v>
      </c>
      <c r="M65" s="123"/>
      <c r="N65" s="124" t="s">
        <v>242</v>
      </c>
      <c r="O65" s="125"/>
    </row>
    <row r="66" spans="7:17" ht="11.25" x14ac:dyDescent="0.15">
      <c r="G66" s="123" t="s">
        <v>127</v>
      </c>
      <c r="H66" s="123"/>
      <c r="I66" s="124" t="s">
        <v>36</v>
      </c>
      <c r="J66" s="125"/>
      <c r="L66" s="123" t="s">
        <v>127</v>
      </c>
      <c r="M66" s="123"/>
      <c r="N66" s="124" t="s">
        <v>36</v>
      </c>
      <c r="O66" s="125"/>
    </row>
    <row r="67" spans="7:17" ht="11.25" x14ac:dyDescent="0.15">
      <c r="G67" s="123" t="s">
        <v>179</v>
      </c>
      <c r="H67" s="123"/>
      <c r="I67" s="124">
        <f>I72*I74</f>
        <v>244200.00000000003</v>
      </c>
      <c r="J67" s="125"/>
      <c r="L67" s="123" t="s">
        <v>179</v>
      </c>
      <c r="M67" s="123"/>
      <c r="N67" s="124">
        <f>N72*N74</f>
        <v>244200.00000000003</v>
      </c>
      <c r="O67" s="125"/>
    </row>
    <row r="68" spans="7:17" ht="11.25" x14ac:dyDescent="0.15">
      <c r="G68" s="123" t="s">
        <v>131</v>
      </c>
      <c r="H68" s="123"/>
      <c r="I68" s="124" t="s">
        <v>132</v>
      </c>
      <c r="J68" s="125"/>
      <c r="L68" s="123" t="s">
        <v>131</v>
      </c>
      <c r="M68" s="123"/>
      <c r="N68" s="124" t="s">
        <v>243</v>
      </c>
      <c r="O68" s="125"/>
    </row>
    <row r="69" spans="7:17" ht="11.25" x14ac:dyDescent="0.15">
      <c r="G69" s="123" t="s">
        <v>134</v>
      </c>
      <c r="H69" s="123"/>
      <c r="I69" s="129">
        <f>I64+79</f>
        <v>43327</v>
      </c>
      <c r="J69" s="125"/>
      <c r="L69" s="123" t="s">
        <v>134</v>
      </c>
      <c r="M69" s="123"/>
      <c r="N69" s="129">
        <f>N64+79</f>
        <v>43327</v>
      </c>
      <c r="O69" s="125"/>
    </row>
    <row r="70" spans="7:17" ht="11.25" x14ac:dyDescent="0.15">
      <c r="G70" s="123" t="s">
        <v>136</v>
      </c>
      <c r="H70" s="123"/>
      <c r="I70" s="124">
        <v>456.5</v>
      </c>
      <c r="J70" s="125"/>
      <c r="L70" s="123" t="s">
        <v>136</v>
      </c>
      <c r="M70" s="123"/>
      <c r="N70" s="124">
        <v>456.5</v>
      </c>
      <c r="O70" s="125"/>
    </row>
    <row r="71" spans="7:17" ht="11.25" x14ac:dyDescent="0.15">
      <c r="G71" s="123" t="s">
        <v>138</v>
      </c>
      <c r="H71" s="123"/>
      <c r="I71" s="124">
        <v>456.5</v>
      </c>
      <c r="J71" s="125"/>
      <c r="L71" s="123" t="s">
        <v>138</v>
      </c>
      <c r="M71" s="123"/>
      <c r="N71" s="124">
        <v>456.5</v>
      </c>
      <c r="O71" s="125"/>
    </row>
    <row r="72" spans="7:17" ht="11.25" x14ac:dyDescent="0.15">
      <c r="G72" s="123" t="s">
        <v>140</v>
      </c>
      <c r="H72" s="123"/>
      <c r="I72" s="124">
        <v>24.42</v>
      </c>
      <c r="J72" s="125"/>
      <c r="L72" s="123" t="s">
        <v>140</v>
      </c>
      <c r="M72" s="123"/>
      <c r="N72" s="124">
        <v>24.42</v>
      </c>
      <c r="O72" s="125"/>
      <c r="Q72" s="100">
        <f>N72/N71</f>
        <v>5.349397590361446E-2</v>
      </c>
    </row>
    <row r="73" spans="7:17" ht="11.25" x14ac:dyDescent="0.15">
      <c r="G73" s="123" t="s">
        <v>142</v>
      </c>
      <c r="H73" s="123"/>
      <c r="I73" s="124" t="s">
        <v>201</v>
      </c>
      <c r="J73" s="125"/>
      <c r="L73" s="123" t="s">
        <v>142</v>
      </c>
      <c r="M73" s="123"/>
      <c r="N73" s="124" t="s">
        <v>201</v>
      </c>
      <c r="O73" s="125"/>
    </row>
    <row r="74" spans="7:17" ht="11.25" x14ac:dyDescent="0.15">
      <c r="G74" s="123" t="s">
        <v>145</v>
      </c>
      <c r="H74" s="123"/>
      <c r="I74" s="124">
        <v>10000</v>
      </c>
      <c r="J74" s="125"/>
      <c r="L74" s="123" t="s">
        <v>145</v>
      </c>
      <c r="M74" s="123"/>
      <c r="N74" s="124">
        <v>10000</v>
      </c>
      <c r="O74" s="125"/>
    </row>
    <row r="75" spans="7:17" ht="12" thickBot="1" x14ac:dyDescent="0.2">
      <c r="G75" s="126" t="s">
        <v>147</v>
      </c>
      <c r="H75" s="126"/>
      <c r="I75" s="127" t="s">
        <v>206</v>
      </c>
      <c r="J75" s="128"/>
      <c r="L75" s="126" t="s">
        <v>147</v>
      </c>
      <c r="M75" s="126"/>
      <c r="N75" s="127" t="s">
        <v>206</v>
      </c>
      <c r="O75" s="128"/>
    </row>
    <row r="76" spans="7:17" ht="11.25" thickTop="1" x14ac:dyDescent="0.15"/>
    <row r="77" spans="7:17" ht="12" thickBot="1" x14ac:dyDescent="0.2">
      <c r="G77" s="130" t="s">
        <v>244</v>
      </c>
      <c r="H77" s="130"/>
      <c r="I77" s="130"/>
      <c r="J77" s="130"/>
      <c r="L77" s="130" t="s">
        <v>245</v>
      </c>
      <c r="M77" s="130"/>
      <c r="N77" s="130"/>
      <c r="O77" s="130"/>
    </row>
    <row r="78" spans="7:17" ht="12" thickTop="1" x14ac:dyDescent="0.15">
      <c r="G78" s="123" t="s">
        <v>122</v>
      </c>
      <c r="H78" s="123"/>
      <c r="I78" s="129">
        <v>43248</v>
      </c>
      <c r="J78" s="131"/>
      <c r="L78" s="123" t="s">
        <v>122</v>
      </c>
      <c r="M78" s="123"/>
      <c r="N78" s="129">
        <v>43248</v>
      </c>
      <c r="O78" s="131"/>
    </row>
    <row r="79" spans="7:17" ht="11.25" x14ac:dyDescent="0.15">
      <c r="G79" s="123" t="s">
        <v>124</v>
      </c>
      <c r="H79" s="123"/>
      <c r="I79" s="124" t="s">
        <v>242</v>
      </c>
      <c r="J79" s="125"/>
      <c r="L79" s="123" t="s">
        <v>124</v>
      </c>
      <c r="M79" s="123"/>
      <c r="N79" s="124" t="s">
        <v>242</v>
      </c>
      <c r="O79" s="125"/>
    </row>
    <row r="80" spans="7:17" ht="11.25" x14ac:dyDescent="0.15">
      <c r="G80" s="123" t="s">
        <v>127</v>
      </c>
      <c r="H80" s="123"/>
      <c r="I80" s="124" t="s">
        <v>36</v>
      </c>
      <c r="J80" s="125"/>
      <c r="L80" s="123" t="s">
        <v>127</v>
      </c>
      <c r="M80" s="123"/>
      <c r="N80" s="124" t="s">
        <v>36</v>
      </c>
      <c r="O80" s="125"/>
    </row>
    <row r="81" spans="7:16" ht="11.25" x14ac:dyDescent="0.15">
      <c r="G81" s="123" t="s">
        <v>179</v>
      </c>
      <c r="H81" s="123"/>
      <c r="I81" s="124">
        <f>I86*I88</f>
        <v>244200.00000000003</v>
      </c>
      <c r="J81" s="125"/>
      <c r="L81" s="123" t="s">
        <v>179</v>
      </c>
      <c r="M81" s="123"/>
      <c r="N81" s="124">
        <f>N86*N88</f>
        <v>244200.00000000003</v>
      </c>
      <c r="O81" s="125"/>
    </row>
    <row r="82" spans="7:16" ht="11.25" x14ac:dyDescent="0.15">
      <c r="G82" s="123" t="s">
        <v>131</v>
      </c>
      <c r="H82" s="123"/>
      <c r="I82" s="124" t="s">
        <v>132</v>
      </c>
      <c r="J82" s="125"/>
      <c r="L82" s="123" t="s">
        <v>131</v>
      </c>
      <c r="M82" s="123"/>
      <c r="N82" s="124" t="s">
        <v>243</v>
      </c>
      <c r="O82" s="125"/>
    </row>
    <row r="83" spans="7:16" ht="11.25" x14ac:dyDescent="0.15">
      <c r="G83" s="123" t="s">
        <v>134</v>
      </c>
      <c r="H83" s="123"/>
      <c r="I83" s="129">
        <f>I78+31</f>
        <v>43279</v>
      </c>
      <c r="J83" s="125"/>
      <c r="L83" s="123" t="s">
        <v>134</v>
      </c>
      <c r="M83" s="123"/>
      <c r="N83" s="129">
        <f>N78+31</f>
        <v>43279</v>
      </c>
      <c r="O83" s="125"/>
    </row>
    <row r="84" spans="7:16" ht="11.25" x14ac:dyDescent="0.15">
      <c r="G84" s="123" t="s">
        <v>136</v>
      </c>
      <c r="H84" s="123"/>
      <c r="I84" s="124">
        <v>456.5</v>
      </c>
      <c r="J84" s="125"/>
      <c r="L84" s="123" t="s">
        <v>136</v>
      </c>
      <c r="M84" s="123"/>
      <c r="N84" s="124">
        <v>456.5</v>
      </c>
      <c r="O84" s="125"/>
      <c r="P84" s="100">
        <f>N84*3.5/100</f>
        <v>15.977499999999999</v>
      </c>
    </row>
    <row r="85" spans="7:16" ht="11.25" x14ac:dyDescent="0.15">
      <c r="G85" s="123" t="s">
        <v>138</v>
      </c>
      <c r="H85" s="123"/>
      <c r="I85" s="124">
        <v>456.5</v>
      </c>
      <c r="J85" s="125"/>
      <c r="L85" s="123" t="s">
        <v>138</v>
      </c>
      <c r="M85" s="123"/>
      <c r="N85" s="124">
        <v>456.5</v>
      </c>
      <c r="O85" s="125"/>
    </row>
    <row r="86" spans="7:16" ht="11.25" x14ac:dyDescent="0.15">
      <c r="G86" s="123" t="s">
        <v>140</v>
      </c>
      <c r="H86" s="123"/>
      <c r="I86" s="124">
        <v>24.42</v>
      </c>
      <c r="J86" s="125"/>
      <c r="L86" s="123" t="s">
        <v>140</v>
      </c>
      <c r="M86" s="123"/>
      <c r="N86" s="124">
        <v>24.42</v>
      </c>
      <c r="O86" s="125"/>
    </row>
    <row r="87" spans="7:16" ht="11.25" x14ac:dyDescent="0.15">
      <c r="G87" s="123" t="s">
        <v>142</v>
      </c>
      <c r="H87" s="123"/>
      <c r="I87" s="124" t="s">
        <v>201</v>
      </c>
      <c r="J87" s="125"/>
      <c r="L87" s="123" t="s">
        <v>142</v>
      </c>
      <c r="M87" s="123"/>
      <c r="N87" s="124" t="s">
        <v>201</v>
      </c>
      <c r="O87" s="125"/>
    </row>
    <row r="88" spans="7:16" ht="11.25" x14ac:dyDescent="0.15">
      <c r="G88" s="123" t="s">
        <v>145</v>
      </c>
      <c r="H88" s="123"/>
      <c r="I88" s="124">
        <v>10000</v>
      </c>
      <c r="J88" s="125"/>
      <c r="L88" s="123" t="s">
        <v>145</v>
      </c>
      <c r="M88" s="123"/>
      <c r="N88" s="124">
        <v>10000</v>
      </c>
      <c r="O88" s="125"/>
    </row>
    <row r="89" spans="7:16" ht="12" thickBot="1" x14ac:dyDescent="0.2">
      <c r="G89" s="126" t="s">
        <v>147</v>
      </c>
      <c r="H89" s="126"/>
      <c r="I89" s="127" t="s">
        <v>206</v>
      </c>
      <c r="J89" s="128"/>
      <c r="L89" s="126" t="s">
        <v>147</v>
      </c>
      <c r="M89" s="126"/>
      <c r="N89" s="127" t="s">
        <v>206</v>
      </c>
      <c r="O89" s="128"/>
    </row>
    <row r="90" spans="7:16" ht="11.25" thickTop="1" x14ac:dyDescent="0.15"/>
  </sheetData>
  <mergeCells count="526"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79"/>
  <sheetViews>
    <sheetView tabSelected="1" topLeftCell="A43" zoomScaleNormal="100" workbookViewId="0">
      <selection activeCell="F62" sqref="F62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6" ht="13.5" customHeight="1" thickBot="1" x14ac:dyDescent="0.2">
      <c r="B1" s="145" t="s">
        <v>37</v>
      </c>
      <c r="C1" s="145"/>
    </row>
    <row r="2" spans="1:26" ht="12" thickTop="1" x14ac:dyDescent="0.15">
      <c r="B2" s="3" t="s">
        <v>0</v>
      </c>
      <c r="C2" s="4">
        <v>43111</v>
      </c>
    </row>
    <row r="3" spans="1:26" ht="13.5" x14ac:dyDescent="0.15">
      <c r="A3" s="39" t="s">
        <v>192</v>
      </c>
      <c r="B3" s="3" t="s">
        <v>1</v>
      </c>
      <c r="C3" s="3">
        <v>0.02</v>
      </c>
    </row>
    <row r="4" spans="1:26" ht="12" thickBot="1" x14ac:dyDescent="0.2">
      <c r="B4" s="5" t="s">
        <v>18</v>
      </c>
      <c r="C4" s="5">
        <v>0.01</v>
      </c>
    </row>
    <row r="5" spans="1:26" ht="12" thickTop="1" x14ac:dyDescent="0.15"/>
    <row r="6" spans="1:26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6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6" ht="10.5" customHeight="1" thickTop="1" x14ac:dyDescent="0.15">
      <c r="A8" s="34"/>
      <c r="B8" s="13" t="s">
        <v>172</v>
      </c>
      <c r="C8" s="10" t="s">
        <v>161</v>
      </c>
      <c r="D8" s="10" t="s">
        <v>202</v>
      </c>
      <c r="E8" s="8">
        <f t="shared" ref="E8:E9" ca="1" si="0">TODAY()</f>
        <v>43251</v>
      </c>
      <c r="F8" s="8">
        <f t="shared" ref="F8" ca="1" si="1">E8+H8</f>
        <v>43342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-4.648618852896675</v>
      </c>
      <c r="M8" s="15"/>
      <c r="N8" s="13">
        <f t="shared" ref="N8" si="2">M8/10000*I8*P8</f>
        <v>0</v>
      </c>
      <c r="O8" s="13">
        <f>IF(L8&lt;=0,ABS(L8)+N8,L8-N8)</f>
        <v>4.648618852896675</v>
      </c>
      <c r="P8" s="11">
        <f>RTD("wdf.rtq",,D8,"LastPrice")</f>
        <v>14670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3.1687926740945298E-4</v>
      </c>
      <c r="U8" s="13">
        <f>_xll.dnetGBlackScholesNGreeks("delta",$Q8,$P8,$G8,$I8,$C$3,$J8,$K8,$C$4)*R8</f>
        <v>8.7484884460309331E-3</v>
      </c>
      <c r="V8" s="13">
        <f>_xll.dnetGBlackScholesNGreeks("vega",$Q8,$P8,$G8,$I8,$C$3,$J8,$K8,$C$4)*R8</f>
        <v>-1.7441135473718248</v>
      </c>
    </row>
    <row r="9" spans="1:26" ht="10.5" customHeight="1" x14ac:dyDescent="0.15">
      <c r="A9" s="34"/>
      <c r="B9" s="13" t="s">
        <v>172</v>
      </c>
      <c r="C9" s="10" t="s">
        <v>161</v>
      </c>
      <c r="D9" s="10" t="s">
        <v>202</v>
      </c>
      <c r="E9" s="8">
        <f t="shared" ca="1" si="0"/>
        <v>43251</v>
      </c>
      <c r="F9" s="8">
        <f t="shared" ref="F9" ca="1" si="5">E9+H9</f>
        <v>43798.5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6" x14ac:dyDescent="0.15">
      <c r="N10" s="6">
        <f t="shared" si="6"/>
        <v>0</v>
      </c>
    </row>
    <row r="11" spans="1:26" x14ac:dyDescent="0.15">
      <c r="E11" s="117"/>
      <c r="F11" s="117"/>
    </row>
    <row r="12" spans="1:26" ht="10.5" customHeight="1" x14ac:dyDescent="0.15">
      <c r="A12" s="34"/>
      <c r="B12" s="13" t="s">
        <v>172</v>
      </c>
      <c r="C12" s="10" t="s">
        <v>160</v>
      </c>
      <c r="D12" s="10" t="s">
        <v>201</v>
      </c>
      <c r="E12" s="8">
        <f t="shared" ref="E12:E49" ca="1" si="9">TODAY()</f>
        <v>43251</v>
      </c>
      <c r="F12" s="8">
        <f t="shared" ref="F12" ca="1" si="10">E12+H12</f>
        <v>43332</v>
      </c>
      <c r="G12" s="11">
        <v>480</v>
      </c>
      <c r="H12" s="10">
        <v>81</v>
      </c>
      <c r="I12" s="12">
        <f t="shared" ref="I12:I13" si="11">H12/365</f>
        <v>0.22191780821917809</v>
      </c>
      <c r="J12" s="12">
        <v>0</v>
      </c>
      <c r="K12" s="116">
        <v>0.36499999999999999</v>
      </c>
      <c r="L12" s="13">
        <f>_xll.dnetGBlackScholesNGreeks("price",$Q12,$P12,$G12,$I12,$C$3,$J12,$K12,$C$4)*R12</f>
        <v>-41.59934120742011</v>
      </c>
      <c r="M12" s="15"/>
      <c r="N12" s="13">
        <f t="shared" ref="N12" si="12">M12/10000*I12*P12</f>
        <v>0</v>
      </c>
      <c r="O12" s="13">
        <f t="shared" ref="O12:O13" si="13">IF(L12&lt;=0,ABS(L12)+N12,L12-N12)</f>
        <v>41.59934120742011</v>
      </c>
      <c r="P12" s="120">
        <f>RTD("wdf.rtq",,D12,"LastPrice")</f>
        <v>462.5</v>
      </c>
      <c r="Q12" s="10" t="s">
        <v>85</v>
      </c>
      <c r="R12" s="10">
        <f t="shared" ref="R12" si="14">IF(S12="中金买入",1,-1)</f>
        <v>-1</v>
      </c>
      <c r="S12" s="10" t="s">
        <v>20</v>
      </c>
      <c r="T12" s="14">
        <f t="shared" ref="T12" si="15">O12/P12</f>
        <v>8.9944521529556995E-2</v>
      </c>
      <c r="U12" s="13">
        <f>_xll.dnetGBlackScholesNGreeks("delta",$Q12,$P12,$G12,$I12,$C$3,$J12,$K12,$C$4)*R12</f>
        <v>0.54928318204332527</v>
      </c>
      <c r="V12" s="13">
        <f>_xll.dnetGBlackScholesNGreeks("vega",$Q12,$P12,$G12,$I12,$C$3,$J12,$K12,$C$4)*R12</f>
        <v>-0.85804728596615121</v>
      </c>
      <c r="W12" s="114">
        <v>37.799999999999997</v>
      </c>
      <c r="X12" s="115">
        <f t="shared" ref="X12:X13" si="16">G12-W12</f>
        <v>442.2</v>
      </c>
      <c r="Y12" s="6">
        <f t="shared" ref="Y12:Y13" si="17">500*U12</f>
        <v>274.64159102166263</v>
      </c>
      <c r="Z12" s="6">
        <f t="shared" ref="Z12:Z13" si="18">1000000/P12/10</f>
        <v>216.2162162162162</v>
      </c>
    </row>
    <row r="13" spans="1:26" ht="10.5" customHeight="1" x14ac:dyDescent="0.15">
      <c r="A13" s="34"/>
      <c r="B13" s="13" t="s">
        <v>172</v>
      </c>
      <c r="C13" s="10" t="s">
        <v>160</v>
      </c>
      <c r="D13" s="10" t="s">
        <v>201</v>
      </c>
      <c r="E13" s="8">
        <f t="shared" ca="1" si="9"/>
        <v>43251</v>
      </c>
      <c r="F13" s="8">
        <f t="shared" ref="F13" ca="1" si="19">E13+H13</f>
        <v>43332</v>
      </c>
      <c r="G13" s="11">
        <v>430</v>
      </c>
      <c r="H13" s="10">
        <v>81</v>
      </c>
      <c r="I13" s="12">
        <f t="shared" si="11"/>
        <v>0.22191780821917809</v>
      </c>
      <c r="J13" s="12">
        <v>0</v>
      </c>
      <c r="K13" s="116">
        <v>0.36499999999999999</v>
      </c>
      <c r="L13" s="13">
        <f>_xll.dnetGBlackScholesNGreeks("price",$Q13,$P13,$G13,$I13,$C$3,$J13,$K13,$C$4)*R13</f>
        <v>-16.944363479158596</v>
      </c>
      <c r="M13" s="15"/>
      <c r="N13" s="13">
        <f t="shared" ref="N13" si="20">M13/10000*I13*P13</f>
        <v>0</v>
      </c>
      <c r="O13" s="13">
        <f t="shared" si="13"/>
        <v>16.944363479158596</v>
      </c>
      <c r="P13" s="120">
        <f>RTD("wdf.rtq",,D13,"LastPrice")</f>
        <v>462.5</v>
      </c>
      <c r="Q13" s="10" t="s">
        <v>85</v>
      </c>
      <c r="R13" s="10">
        <f t="shared" ref="R13" si="21">IF(S13="中金买入",1,-1)</f>
        <v>-1</v>
      </c>
      <c r="S13" s="10" t="s">
        <v>20</v>
      </c>
      <c r="T13" s="14">
        <f t="shared" ref="T13" si="22">O13/P13</f>
        <v>3.6636461576559129E-2</v>
      </c>
      <c r="U13" s="13">
        <f>_xll.dnetGBlackScholesNGreeks("delta",$Q13,$P13,$G13,$I13,$C$3,$J13,$K13,$C$4)*R13</f>
        <v>0.30377223636293138</v>
      </c>
      <c r="V13" s="13">
        <f>_xll.dnetGBlackScholesNGreeks("vega",$Q13,$P13,$G13,$I13,$C$3,$J13,$K13,$C$4)*R13</f>
        <v>-0.7598782939921449</v>
      </c>
      <c r="W13" s="114">
        <v>37.799999999999997</v>
      </c>
      <c r="X13" s="115">
        <f t="shared" si="16"/>
        <v>392.2</v>
      </c>
      <c r="Y13" s="6">
        <f t="shared" si="17"/>
        <v>151.88611818146569</v>
      </c>
      <c r="Z13" s="6">
        <f t="shared" si="18"/>
        <v>216.2162162162162</v>
      </c>
    </row>
    <row r="14" spans="1:26" ht="10.5" customHeight="1" x14ac:dyDescent="0.15">
      <c r="A14" s="34"/>
      <c r="B14" s="13" t="s">
        <v>172</v>
      </c>
      <c r="C14" s="10" t="s">
        <v>160</v>
      </c>
      <c r="D14" s="10" t="s">
        <v>201</v>
      </c>
      <c r="E14" s="8">
        <f t="shared" ca="1" si="9"/>
        <v>43251</v>
      </c>
      <c r="F14" s="8">
        <f t="shared" ref="F14" ca="1" si="23">E14+H14</f>
        <v>43332</v>
      </c>
      <c r="G14" s="11">
        <v>465</v>
      </c>
      <c r="H14" s="10">
        <v>81</v>
      </c>
      <c r="I14" s="12">
        <f t="shared" ref="I14" si="24">H14/365</f>
        <v>0.22191780821917809</v>
      </c>
      <c r="J14" s="12">
        <v>0</v>
      </c>
      <c r="K14" s="116">
        <v>0.36499999999999999</v>
      </c>
      <c r="L14" s="13">
        <f>_xll.dnetGBlackScholesNGreeks("price",$Q14,$P14,$G14,$I14,$C$3,$J14,$K14,$C$4)*R14</f>
        <v>-32.891533445273978</v>
      </c>
      <c r="M14" s="15"/>
      <c r="N14" s="13">
        <f t="shared" ref="N14" si="25">M14/10000*I14*P14</f>
        <v>0</v>
      </c>
      <c r="O14" s="13">
        <f t="shared" ref="O14" si="26">IF(L14&lt;=0,ABS(L14)+N14,L14-N14)</f>
        <v>32.891533445273978</v>
      </c>
      <c r="P14" s="120">
        <f>RTD("wdf.rtq",,D14,"LastPrice")</f>
        <v>462.5</v>
      </c>
      <c r="Q14" s="10" t="s">
        <v>85</v>
      </c>
      <c r="R14" s="10">
        <f t="shared" ref="R14" si="27">IF(S14="中金买入",1,-1)</f>
        <v>-1</v>
      </c>
      <c r="S14" s="10" t="s">
        <v>20</v>
      </c>
      <c r="T14" s="14">
        <f t="shared" ref="T14" si="28">O14/P14</f>
        <v>7.1116829070862655E-2</v>
      </c>
      <c r="U14" s="13">
        <f>_xll.dnetGBlackScholesNGreeks("delta",$Q14,$P14,$G14,$I14,$C$3,$J14,$K14,$C$4)*R14</f>
        <v>0.47610272649194485</v>
      </c>
      <c r="V14" s="13">
        <f>_xll.dnetGBlackScholesNGreeks("vega",$Q14,$P14,$G14,$I14,$C$3,$J14,$K14,$C$4)*R14</f>
        <v>-0.86405609469551337</v>
      </c>
      <c r="W14" s="114">
        <v>37.799999999999997</v>
      </c>
      <c r="X14" s="115">
        <f t="shared" ref="X14" si="29">G14-W14</f>
        <v>427.2</v>
      </c>
      <c r="Y14" s="6">
        <f t="shared" ref="Y14" si="30">500*U14</f>
        <v>238.05136324597242</v>
      </c>
      <c r="Z14" s="6">
        <f t="shared" ref="Z14" si="31">1000000/P14/10</f>
        <v>216.2162162162162</v>
      </c>
    </row>
    <row r="15" spans="1:26" x14ac:dyDescent="0.15">
      <c r="F15" s="117"/>
      <c r="G15" s="117"/>
    </row>
    <row r="16" spans="1:26" x14ac:dyDescent="0.15">
      <c r="K16" s="6" t="s">
        <v>235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202</v>
      </c>
      <c r="E17" s="8">
        <f t="shared" ca="1" si="9"/>
        <v>43251</v>
      </c>
      <c r="F17" s="8">
        <f t="shared" ref="F17:F20" ca="1" si="32">E17+H17</f>
        <v>43302</v>
      </c>
      <c r="G17" s="11">
        <v>13800</v>
      </c>
      <c r="H17" s="10">
        <v>51</v>
      </c>
      <c r="I17" s="12">
        <f t="shared" ref="I17:I20" si="33">H17/365</f>
        <v>0.13972602739726028</v>
      </c>
      <c r="J17" s="12">
        <v>0</v>
      </c>
      <c r="K17" s="116">
        <v>0.14000000000000001</v>
      </c>
      <c r="L17" s="13">
        <f>_xll.dnetGBlackScholesNGreeks("price",$Q17,$P17,$G17,$I17,$C$3,$J17,$K17,$C$4)*R17</f>
        <v>44.434671332624248</v>
      </c>
      <c r="M17" s="15">
        <v>30</v>
      </c>
      <c r="N17" s="13">
        <f t="shared" ref="N17:N20" si="34">M17/10000*I17*P17</f>
        <v>6.149342465753425</v>
      </c>
      <c r="O17" s="13">
        <f t="shared" ref="O17:O20" si="35">IF(L17&lt;=0,ABS(L17)+N17,L17-N17)</f>
        <v>38.28532886687082</v>
      </c>
      <c r="P17" s="11">
        <f>RTD("wdf.rtq",,D17,"LastPrice")</f>
        <v>14670</v>
      </c>
      <c r="Q17" s="10" t="s">
        <v>85</v>
      </c>
      <c r="R17" s="10">
        <f t="shared" ref="R17:R20" si="36">IF(S17="中金买入",1,-1)</f>
        <v>1</v>
      </c>
      <c r="S17" s="10" t="s">
        <v>151</v>
      </c>
      <c r="T17" s="14">
        <f t="shared" ref="T17:T20" si="37">O17/P17</f>
        <v>2.6097702022406829E-3</v>
      </c>
      <c r="U17" s="13">
        <f>_xll.dnetGBlackScholesNGreeks("delta",$Q17,$P17,$G17,$I17,$C$3,$J17,$K17,$C$4)*R17</f>
        <v>-0.11583636002114872</v>
      </c>
      <c r="V17" s="13">
        <f>_xll.dnetGBlackScholesNGreeks("vega",$Q17,$P17,$G17,$I17,$C$3,$J17,$K17,$C$4)*R17</f>
        <v>10.669885055743975</v>
      </c>
      <c r="W17" s="114"/>
      <c r="X17" s="115">
        <v>400</v>
      </c>
      <c r="Y17" s="6">
        <f>X17*U17</f>
        <v>-46.334544008459488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202</v>
      </c>
      <c r="E18" s="8">
        <f t="shared" ca="1" si="9"/>
        <v>43251</v>
      </c>
      <c r="F18" s="8">
        <f t="shared" ca="1" si="32"/>
        <v>43302</v>
      </c>
      <c r="G18" s="11">
        <v>14000</v>
      </c>
      <c r="H18" s="10">
        <v>51</v>
      </c>
      <c r="I18" s="12">
        <f t="shared" si="33"/>
        <v>0.13972602739726028</v>
      </c>
      <c r="J18" s="12">
        <v>0</v>
      </c>
      <c r="K18" s="116">
        <v>0.14000000000000001</v>
      </c>
      <c r="L18" s="13">
        <f>_xll.dnetGBlackScholesNGreeks("price",$Q18,$P18,$G18,$I18,$C$3,$J18,$K18,$C$4)*R18</f>
        <v>76.023559899452266</v>
      </c>
      <c r="M18" s="15">
        <v>30</v>
      </c>
      <c r="N18" s="13">
        <f t="shared" si="34"/>
        <v>6.149342465753425</v>
      </c>
      <c r="O18" s="13">
        <f t="shared" si="35"/>
        <v>69.874217433698846</v>
      </c>
      <c r="P18" s="11">
        <f>RTD("wdf.rtq",,D18,"LastPrice")</f>
        <v>14670</v>
      </c>
      <c r="Q18" s="10" t="s">
        <v>85</v>
      </c>
      <c r="R18" s="10">
        <f t="shared" si="36"/>
        <v>1</v>
      </c>
      <c r="S18" s="10" t="s">
        <v>151</v>
      </c>
      <c r="T18" s="14">
        <f t="shared" si="37"/>
        <v>4.7630686730537729E-3</v>
      </c>
      <c r="U18" s="13">
        <f>_xll.dnetGBlackScholesNGreeks("delta",$Q18,$P18,$G18,$I18,$C$3,$J18,$K18,$C$4)*R18</f>
        <v>-0.17843084115156671</v>
      </c>
      <c r="V18" s="13">
        <f>_xll.dnetGBlackScholesNGreeks("vega",$Q18,$P18,$G18,$I18,$C$3,$J18,$K18,$C$4)*R18</f>
        <v>14.273833952896894</v>
      </c>
      <c r="W18" s="114"/>
      <c r="X18" s="115">
        <v>400</v>
      </c>
      <c r="Y18" s="6">
        <f>X18*U18</f>
        <v>-71.372336460626684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237</v>
      </c>
      <c r="E19" s="8">
        <f t="shared" ca="1" si="9"/>
        <v>43251</v>
      </c>
      <c r="F19" s="8">
        <f t="shared" ca="1" si="32"/>
        <v>43334</v>
      </c>
      <c r="G19" s="11">
        <v>13800</v>
      </c>
      <c r="H19" s="10">
        <v>83</v>
      </c>
      <c r="I19" s="12">
        <f t="shared" si="33"/>
        <v>0.22739726027397261</v>
      </c>
      <c r="J19" s="12">
        <v>0</v>
      </c>
      <c r="K19" s="116">
        <v>0.14000000000000001</v>
      </c>
      <c r="L19" s="13">
        <f>_xll.dnetGBlackScholesNGreeks("price",$Q19,$P19,$G19,$I19,$C$3,$J19,$K19,$C$4)*R19</f>
        <v>80.144999149774321</v>
      </c>
      <c r="M19" s="15">
        <v>30</v>
      </c>
      <c r="N19" s="13">
        <f t="shared" si="34"/>
        <v>10.058917808219178</v>
      </c>
      <c r="O19" s="13">
        <f t="shared" si="35"/>
        <v>70.086081341555143</v>
      </c>
      <c r="P19" s="11">
        <f>RTD("wdf.rtq",,D19,"LastPrice")</f>
        <v>14745</v>
      </c>
      <c r="Q19" s="10" t="s">
        <v>85</v>
      </c>
      <c r="R19" s="10">
        <f t="shared" si="36"/>
        <v>1</v>
      </c>
      <c r="S19" s="10" t="s">
        <v>151</v>
      </c>
      <c r="T19" s="14">
        <f t="shared" si="37"/>
        <v>4.7532099926453136E-3</v>
      </c>
      <c r="U19" s="13">
        <f>_xll.dnetGBlackScholesNGreeks("delta",$Q19,$P19,$G19,$I19,$C$3,$J19,$K19,$C$4)*R19</f>
        <v>-0.15186828586593037</v>
      </c>
      <c r="V19" s="13">
        <f>_xll.dnetGBlackScholesNGreeks("vega",$Q19,$P19,$G19,$I19,$C$3,$J19,$K19,$C$4)*R19</f>
        <v>16.476640952659295</v>
      </c>
      <c r="W19" s="114"/>
      <c r="X19" s="115">
        <v>400</v>
      </c>
      <c r="Y19" s="6">
        <f>X19*U19</f>
        <v>-60.74731434637215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237</v>
      </c>
      <c r="E20" s="8">
        <f t="shared" ca="1" si="9"/>
        <v>43251</v>
      </c>
      <c r="F20" s="8">
        <f t="shared" ca="1" si="32"/>
        <v>43334</v>
      </c>
      <c r="G20" s="11">
        <v>14000</v>
      </c>
      <c r="H20" s="10">
        <v>83</v>
      </c>
      <c r="I20" s="12">
        <f t="shared" si="33"/>
        <v>0.22739726027397261</v>
      </c>
      <c r="J20" s="12">
        <v>0</v>
      </c>
      <c r="K20" s="116">
        <v>0.14000000000000001</v>
      </c>
      <c r="L20" s="13">
        <f>_xll.dnetGBlackScholesNGreeks("price",$Q20,$P20,$G20,$I20,$C$3,$J20,$K20,$C$4)*R20</f>
        <v>119.54866111222782</v>
      </c>
      <c r="M20" s="15">
        <v>30</v>
      </c>
      <c r="N20" s="13">
        <f t="shared" si="34"/>
        <v>10.058917808219178</v>
      </c>
      <c r="O20" s="13">
        <f t="shared" si="35"/>
        <v>109.48974330400864</v>
      </c>
      <c r="P20" s="11">
        <f>RTD("wdf.rtq",,D20,"LastPrice")</f>
        <v>14745</v>
      </c>
      <c r="Q20" s="10" t="s">
        <v>85</v>
      </c>
      <c r="R20" s="10">
        <f t="shared" si="36"/>
        <v>1</v>
      </c>
      <c r="S20" s="10" t="s">
        <v>151</v>
      </c>
      <c r="T20" s="14">
        <f t="shared" si="37"/>
        <v>7.4255505801294431E-3</v>
      </c>
      <c r="U20" s="13">
        <f>_xll.dnetGBlackScholesNGreeks("delta",$Q20,$P20,$G20,$I20,$C$3,$J20,$K20,$C$4)*R20</f>
        <v>-0.20802585613637348</v>
      </c>
      <c r="V20" s="13">
        <f>_xll.dnetGBlackScholesNGreeks("vega",$Q20,$P20,$G20,$I20,$C$3,$J20,$K20,$C$4)*R20</f>
        <v>20.089569161371628</v>
      </c>
      <c r="W20" s="114"/>
      <c r="X20" s="115">
        <v>400</v>
      </c>
      <c r="Y20" s="6">
        <f>X20*U20</f>
        <v>-83.210342454549391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237</v>
      </c>
      <c r="E21" s="8">
        <f t="shared" ca="1" si="9"/>
        <v>43251</v>
      </c>
      <c r="F21" s="8">
        <f t="shared" ref="F21" ca="1" si="38">E21+H21</f>
        <v>43334</v>
      </c>
      <c r="G21" s="11">
        <v>14000</v>
      </c>
      <c r="H21" s="10">
        <v>83</v>
      </c>
      <c r="I21" s="12">
        <f t="shared" ref="I21" si="39">H21/365</f>
        <v>0.22739726027397261</v>
      </c>
      <c r="J21" s="12">
        <v>0</v>
      </c>
      <c r="K21" s="116">
        <v>0.14000000000000001</v>
      </c>
      <c r="L21" s="13">
        <f>_xll.dnetGBlackScholesNGreeks("price",$Q21,$P21,$G21,$I21,$C$3,$J21,$K21,$C$4)*R21</f>
        <v>160.63140236371419</v>
      </c>
      <c r="M21" s="15">
        <v>30</v>
      </c>
      <c r="N21" s="13">
        <f t="shared" ref="N21" si="40">M21/10000*I21*P21</f>
        <v>9.9395342465753433</v>
      </c>
      <c r="O21" s="13">
        <f t="shared" ref="O21" si="41">IF(L21&lt;=0,ABS(L21)+N21,L21-N21)</f>
        <v>150.69186811713885</v>
      </c>
      <c r="P21" s="11">
        <v>14570</v>
      </c>
      <c r="Q21" s="10" t="s">
        <v>85</v>
      </c>
      <c r="R21" s="10">
        <f t="shared" ref="R21" si="42">IF(S21="中金买入",1,-1)</f>
        <v>1</v>
      </c>
      <c r="S21" s="10" t="s">
        <v>151</v>
      </c>
      <c r="T21" s="14">
        <f t="shared" ref="T21" si="43">O21/P21</f>
        <v>1.0342612773997176E-2</v>
      </c>
      <c r="U21" s="13">
        <f>_xll.dnetGBlackScholesNGreeks("delta",$Q21,$P21,$G21,$I21,$C$3,$J21,$K21,$C$4)*R21</f>
        <v>-0.26277444619609014</v>
      </c>
      <c r="V21" s="13">
        <f>_xll.dnetGBlackScholesNGreeks("vega",$Q21,$P21,$G21,$I21,$C$3,$J21,$K21,$C$4)*R21</f>
        <v>22.591054407461115</v>
      </c>
      <c r="W21" s="114"/>
      <c r="X21" s="115">
        <v>400</v>
      </c>
      <c r="Y21" s="6">
        <f>X21*U21</f>
        <v>-105.10977847843606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238</v>
      </c>
      <c r="E23" s="8">
        <f t="shared" ca="1" si="9"/>
        <v>43251</v>
      </c>
      <c r="F23" s="8">
        <f t="shared" ref="F23:F24" ca="1" si="44">E23+H23</f>
        <v>43283</v>
      </c>
      <c r="G23" s="11">
        <f>P23</f>
        <v>100</v>
      </c>
      <c r="H23" s="10">
        <v>32</v>
      </c>
      <c r="I23" s="12">
        <f t="shared" ref="I23:I24" si="45">H23/365</f>
        <v>8.7671232876712329E-2</v>
      </c>
      <c r="J23" s="12">
        <v>0</v>
      </c>
      <c r="K23" s="116">
        <v>0.115</v>
      </c>
      <c r="L23" s="13">
        <f>_xll.dnetGBlackScholesNGreeks("price",$Q23,$P23,$G23,$I23,$C$3,$J23,$K23,$C$4)*R23</f>
        <v>1.3559821728240848</v>
      </c>
      <c r="M23" s="15"/>
      <c r="N23" s="13">
        <f t="shared" ref="N23:N24" si="46">M23/10000*I23*P23</f>
        <v>0</v>
      </c>
      <c r="O23" s="13">
        <f t="shared" ref="O23:O24" si="47">IF(L23&lt;=0,ABS(L23)+N23,L23-N23)</f>
        <v>1.3559821728240848</v>
      </c>
      <c r="P23" s="11">
        <v>100</v>
      </c>
      <c r="Q23" s="10" t="s">
        <v>85</v>
      </c>
      <c r="R23" s="10">
        <f t="shared" ref="R23:R24" si="48">IF(S23="中金买入",1,-1)</f>
        <v>1</v>
      </c>
      <c r="S23" s="10" t="s">
        <v>151</v>
      </c>
      <c r="T23" s="14">
        <f t="shared" ref="T23:T24" si="49">O23/P23</f>
        <v>1.3559821728240849E-2</v>
      </c>
      <c r="U23" s="13">
        <f>_xll.dnetGBlackScholesNGreeks("delta",$Q23,$P23,$G23,$I23,$C$3,$J23,$K23,$C$4)*R23</f>
        <v>-0.4923441742175072</v>
      </c>
      <c r="V23" s="13">
        <f>_xll.dnetGBlackScholesNGreeks("vega",$Q23,$P23,$G23,$I23,$C$3,$J23,$K23,$C$4)*R23</f>
        <v>0.11790005794639313</v>
      </c>
      <c r="W23" s="114"/>
      <c r="X23" s="115">
        <v>200</v>
      </c>
      <c r="Y23" s="6">
        <f t="shared" ref="Y23:Y24" si="50">X23*U23</f>
        <v>-98.46883484350144</v>
      </c>
    </row>
    <row r="24" spans="1:25" ht="10.5" customHeight="1" x14ac:dyDescent="0.15">
      <c r="A24" s="34"/>
      <c r="B24" s="13" t="s">
        <v>172</v>
      </c>
      <c r="C24" s="10" t="s">
        <v>160</v>
      </c>
      <c r="D24" s="10" t="s">
        <v>238</v>
      </c>
      <c r="E24" s="8">
        <f t="shared" ca="1" si="9"/>
        <v>43251</v>
      </c>
      <c r="F24" s="8">
        <f t="shared" ca="1" si="44"/>
        <v>43283</v>
      </c>
      <c r="G24" s="11">
        <f t="shared" ref="G24" si="51">P24</f>
        <v>100</v>
      </c>
      <c r="H24" s="10">
        <v>32</v>
      </c>
      <c r="I24" s="12">
        <f t="shared" si="45"/>
        <v>8.7671232876712329E-2</v>
      </c>
      <c r="J24" s="12">
        <v>0</v>
      </c>
      <c r="K24" s="116">
        <v>0.22500000000000001</v>
      </c>
      <c r="L24" s="13">
        <f>_xll.dnetGBlackScholesNGreeks("price",$Q24,$P24,$G24,$I24,$C$3,$J24,$K24,$C$4)*R24</f>
        <v>-2.6526462008723612</v>
      </c>
      <c r="M24" s="15"/>
      <c r="N24" s="13">
        <f t="shared" si="46"/>
        <v>0</v>
      </c>
      <c r="O24" s="13">
        <f t="shared" si="47"/>
        <v>2.6526462008723612</v>
      </c>
      <c r="P24" s="11">
        <v>100</v>
      </c>
      <c r="Q24" s="10" t="s">
        <v>85</v>
      </c>
      <c r="R24" s="10">
        <f t="shared" si="48"/>
        <v>-1</v>
      </c>
      <c r="S24" s="10" t="s">
        <v>20</v>
      </c>
      <c r="T24" s="14">
        <f t="shared" si="49"/>
        <v>2.6526462008723613E-2</v>
      </c>
      <c r="U24" s="13">
        <f>_xll.dnetGBlackScholesNGreeks("delta",$Q24,$P24,$G24,$I24,$C$3,$J24,$K24,$C$4)*R24</f>
        <v>0.48586083977859573</v>
      </c>
      <c r="V24" s="13">
        <f>_xll.dnetGBlackScholesNGreeks("vega",$Q24,$P24,$G24,$I24,$C$3,$J24,$K24,$C$4)*R24</f>
        <v>-0.11785174501013884</v>
      </c>
      <c r="W24" s="114"/>
      <c r="X24" s="115">
        <v>400</v>
      </c>
      <c r="Y24" s="6">
        <f t="shared" si="50"/>
        <v>194.34433591143829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238</v>
      </c>
      <c r="E25" s="8">
        <f t="shared" ca="1" si="9"/>
        <v>43251</v>
      </c>
      <c r="F25" s="8">
        <f t="shared" ref="F25:F28" ca="1" si="52">E25+H25</f>
        <v>43311</v>
      </c>
      <c r="G25" s="11">
        <f>P25</f>
        <v>100</v>
      </c>
      <c r="H25" s="10">
        <v>60</v>
      </c>
      <c r="I25" s="12">
        <f t="shared" ref="I25:I28" si="53">H25/365</f>
        <v>0.16438356164383561</v>
      </c>
      <c r="J25" s="12">
        <v>0</v>
      </c>
      <c r="K25" s="116">
        <v>0.11799999999999999</v>
      </c>
      <c r="L25" s="13">
        <f>_xll.dnetGBlackScholesNGreeks("price",$Q25,$P25,$G25,$I25,$C$3,$J25,$K25,$C$4)*R25</f>
        <v>1.9021818418049463</v>
      </c>
      <c r="M25" s="15"/>
      <c r="N25" s="13">
        <f t="shared" ref="N25:N28" si="54">M25/10000*I25*P25</f>
        <v>0</v>
      </c>
      <c r="O25" s="13">
        <f t="shared" ref="O25:O28" si="55">IF(L25&lt;=0,ABS(L25)+N25,L25-N25)</f>
        <v>1.9021818418049463</v>
      </c>
      <c r="P25" s="11">
        <v>100</v>
      </c>
      <c r="Q25" s="10" t="s">
        <v>85</v>
      </c>
      <c r="R25" s="10">
        <f t="shared" ref="R25:R28" si="56">IF(S25="中金买入",1,-1)</f>
        <v>1</v>
      </c>
      <c r="S25" s="10" t="s">
        <v>151</v>
      </c>
      <c r="T25" s="14">
        <f t="shared" ref="T25:T28" si="57">O25/P25</f>
        <v>1.9021818418049462E-2</v>
      </c>
      <c r="U25" s="13">
        <f>_xll.dnetGBlackScholesNGreeks("delta",$Q25,$P25,$G25,$I25,$C$3,$J25,$K25,$C$4)*R25</f>
        <v>-0.48884797518340406</v>
      </c>
      <c r="V25" s="13">
        <f>_xll.dnetGBlackScholesNGreeks("vega",$Q25,$P25,$G25,$I25,$C$3,$J25,$K25,$C$4)*R25</f>
        <v>0.16117099542144686</v>
      </c>
      <c r="W25" s="114"/>
      <c r="X25" s="115">
        <v>200</v>
      </c>
      <c r="Y25" s="6">
        <f t="shared" ref="Y25:Y28" si="58">X25*U25</f>
        <v>-97.769595036680812</v>
      </c>
    </row>
    <row r="26" spans="1:25" ht="10.5" customHeight="1" x14ac:dyDescent="0.15">
      <c r="A26" s="34"/>
      <c r="B26" s="13" t="s">
        <v>172</v>
      </c>
      <c r="C26" s="10" t="s">
        <v>160</v>
      </c>
      <c r="D26" s="10" t="s">
        <v>238</v>
      </c>
      <c r="E26" s="8">
        <f t="shared" ca="1" si="9"/>
        <v>43251</v>
      </c>
      <c r="F26" s="8">
        <f t="shared" ca="1" si="52"/>
        <v>43311</v>
      </c>
      <c r="G26" s="11">
        <f t="shared" ref="G26:G28" si="59">P26</f>
        <v>100</v>
      </c>
      <c r="H26" s="10">
        <v>60</v>
      </c>
      <c r="I26" s="12">
        <f t="shared" si="53"/>
        <v>0.16438356164383561</v>
      </c>
      <c r="J26" s="12">
        <v>0</v>
      </c>
      <c r="K26" s="116">
        <v>0.23</v>
      </c>
      <c r="L26" s="13">
        <f>_xll.dnetGBlackScholesNGreeks("price",$Q26,$P26,$G26,$I26,$C$3,$J26,$K26,$C$4)*R26</f>
        <v>-3.7066530980644856</v>
      </c>
      <c r="M26" s="15"/>
      <c r="N26" s="13">
        <f t="shared" si="54"/>
        <v>0</v>
      </c>
      <c r="O26" s="13">
        <f t="shared" si="55"/>
        <v>3.7066530980644856</v>
      </c>
      <c r="P26" s="11">
        <v>100</v>
      </c>
      <c r="Q26" s="10" t="s">
        <v>85</v>
      </c>
      <c r="R26" s="10">
        <f t="shared" si="56"/>
        <v>-1</v>
      </c>
      <c r="S26" s="10" t="s">
        <v>20</v>
      </c>
      <c r="T26" s="14">
        <f t="shared" si="57"/>
        <v>3.7066530980644857E-2</v>
      </c>
      <c r="U26" s="13">
        <f>_xll.dnetGBlackScholesNGreeks("delta",$Q26,$P26,$G26,$I26,$C$3,$J26,$K26,$C$4)*R26</f>
        <v>0.47982560877848357</v>
      </c>
      <c r="V26" s="13">
        <f>_xll.dnetGBlackScholesNGreeks("vega",$Q26,$P26,$G26,$I26,$C$3,$J26,$K26,$C$4)*R26</f>
        <v>-0.16104196917521207</v>
      </c>
      <c r="W26" s="114"/>
      <c r="X26" s="115">
        <v>400</v>
      </c>
      <c r="Y26" s="6">
        <f t="shared" si="58"/>
        <v>191.93024351139343</v>
      </c>
    </row>
    <row r="27" spans="1:25" ht="10.5" customHeight="1" x14ac:dyDescent="0.15">
      <c r="A27" s="34"/>
      <c r="B27" s="13" t="s">
        <v>172</v>
      </c>
      <c r="C27" s="10" t="s">
        <v>160</v>
      </c>
      <c r="D27" s="10" t="s">
        <v>239</v>
      </c>
      <c r="E27" s="8">
        <f t="shared" ca="1" si="9"/>
        <v>43251</v>
      </c>
      <c r="F27" s="8">
        <f t="shared" ca="1" si="52"/>
        <v>43283</v>
      </c>
      <c r="G27" s="11">
        <f t="shared" si="59"/>
        <v>100</v>
      </c>
      <c r="H27" s="10">
        <v>32</v>
      </c>
      <c r="I27" s="12">
        <f t="shared" si="53"/>
        <v>8.7671232876712329E-2</v>
      </c>
      <c r="J27" s="12">
        <v>0</v>
      </c>
      <c r="K27" s="116">
        <v>0.14499999999999999</v>
      </c>
      <c r="L27" s="13">
        <f>_xll.dnetGBlackScholesNGreeks("price",$Q27,$P27,$G27,$I27,$C$3,$J27,$K27,$C$4)*R27</f>
        <v>-1.7096679406089024</v>
      </c>
      <c r="M27" s="15"/>
      <c r="N27" s="13">
        <f t="shared" si="54"/>
        <v>0</v>
      </c>
      <c r="O27" s="13">
        <f t="shared" si="55"/>
        <v>1.7096679406089024</v>
      </c>
      <c r="P27" s="11">
        <v>100</v>
      </c>
      <c r="Q27" s="10" t="s">
        <v>85</v>
      </c>
      <c r="R27" s="10">
        <f t="shared" si="56"/>
        <v>-1</v>
      </c>
      <c r="S27" s="10" t="s">
        <v>20</v>
      </c>
      <c r="T27" s="14">
        <f t="shared" si="57"/>
        <v>1.7096679406089024E-2</v>
      </c>
      <c r="U27" s="13">
        <f>_xll.dnetGBlackScholesNGreeks("delta",$Q27,$P27,$G27,$I27,$C$3,$J27,$K27,$C$4)*R27</f>
        <v>0.49057573932813625</v>
      </c>
      <c r="V27" s="13">
        <f>_xll.dnetGBlackScholesNGreeks("vega",$Q27,$P27,$G27,$I27,$C$3,$J27,$K27,$C$4)*R27</f>
        <v>-0.11788998035212117</v>
      </c>
      <c r="W27" s="114"/>
      <c r="X27" s="115">
        <v>200</v>
      </c>
      <c r="Y27" s="6">
        <f t="shared" si="58"/>
        <v>98.11514786562725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27</v>
      </c>
      <c r="E28" s="8">
        <f t="shared" ca="1" si="9"/>
        <v>43251</v>
      </c>
      <c r="F28" s="8">
        <f t="shared" ca="1" si="52"/>
        <v>43283</v>
      </c>
      <c r="G28" s="11">
        <f t="shared" si="59"/>
        <v>100</v>
      </c>
      <c r="H28" s="10">
        <v>32</v>
      </c>
      <c r="I28" s="12">
        <f t="shared" si="53"/>
        <v>8.7671232876712329E-2</v>
      </c>
      <c r="J28" s="12">
        <v>0</v>
      </c>
      <c r="K28" s="116">
        <v>0.115</v>
      </c>
      <c r="L28" s="13">
        <f>_xll.dnetGBlackScholesNGreeks("price",$Q28,$P28,$G28,$I28,$C$3,$J28,$K28,$C$4)*R28</f>
        <v>-1.3559821728240848</v>
      </c>
      <c r="M28" s="15"/>
      <c r="N28" s="13">
        <f t="shared" si="54"/>
        <v>0</v>
      </c>
      <c r="O28" s="13">
        <f t="shared" si="55"/>
        <v>1.3559821728240848</v>
      </c>
      <c r="P28" s="11">
        <v>100</v>
      </c>
      <c r="Q28" s="10" t="s">
        <v>85</v>
      </c>
      <c r="R28" s="10">
        <f t="shared" si="56"/>
        <v>-1</v>
      </c>
      <c r="S28" s="10" t="s">
        <v>20</v>
      </c>
      <c r="T28" s="14">
        <f t="shared" si="57"/>
        <v>1.3559821728240849E-2</v>
      </c>
      <c r="U28" s="13">
        <f>_xll.dnetGBlackScholesNGreeks("delta",$Q28,$P28,$G28,$I28,$C$3,$J28,$K28,$C$4)*R28</f>
        <v>0.4923441742175072</v>
      </c>
      <c r="V28" s="13">
        <f>_xll.dnetGBlackScholesNGreeks("vega",$Q28,$P28,$G28,$I28,$C$3,$J28,$K28,$C$4)*R28</f>
        <v>-0.11790005794639313</v>
      </c>
      <c r="W28" s="114"/>
      <c r="X28" s="115">
        <v>400</v>
      </c>
      <c r="Y28" s="6">
        <f t="shared" si="58"/>
        <v>196.93766968700288</v>
      </c>
    </row>
    <row r="30" spans="1:25" ht="10.5" customHeight="1" x14ac:dyDescent="0.15">
      <c r="A30" s="34"/>
      <c r="B30" s="13" t="s">
        <v>172</v>
      </c>
      <c r="C30" s="10" t="s">
        <v>160</v>
      </c>
      <c r="D30" s="10" t="s">
        <v>202</v>
      </c>
      <c r="E30" s="8">
        <f t="shared" ca="1" si="9"/>
        <v>43251</v>
      </c>
      <c r="F30" s="8">
        <f t="shared" ref="F30:F34" ca="1" si="60">E30+H30</f>
        <v>43308</v>
      </c>
      <c r="G30" s="11">
        <v>3300</v>
      </c>
      <c r="H30" s="10">
        <v>57</v>
      </c>
      <c r="I30" s="12">
        <f t="shared" ref="I30:I34" si="61">H30/365</f>
        <v>0.15616438356164383</v>
      </c>
      <c r="J30" s="12">
        <v>0</v>
      </c>
      <c r="K30" s="116">
        <v>0.18</v>
      </c>
      <c r="L30" s="13">
        <f>_xll.dnetGBlackScholesNGreeks("price",$Q30,$P30,$G30,$I30,$C$3,$J30,$K30,$C$4)*R30</f>
        <v>1.3399563364575807E-96</v>
      </c>
      <c r="M30" s="15"/>
      <c r="N30" s="13">
        <f t="shared" ref="N30:N34" si="62">M30/10000*I30*P30</f>
        <v>0</v>
      </c>
      <c r="O30" s="13">
        <f t="shared" ref="O30:O34" si="63">IF(L30&lt;=0,ABS(L30)+N30,L30-N30)</f>
        <v>1.3399563364575807E-96</v>
      </c>
      <c r="P30" s="11">
        <f>RTD("wdf.rtq",,D30,"LastPrice")</f>
        <v>14670</v>
      </c>
      <c r="Q30" s="10" t="s">
        <v>85</v>
      </c>
      <c r="R30" s="10">
        <f t="shared" ref="R30:R34" si="64">IF(S30="中金买入",1,-1)</f>
        <v>1</v>
      </c>
      <c r="S30" s="10" t="s">
        <v>151</v>
      </c>
      <c r="T30" s="14">
        <f t="shared" ref="T30:T34" si="65">O30/P30</f>
        <v>9.1339900235690573E-101</v>
      </c>
      <c r="U30" s="13">
        <f>_xll.dnetGBlackScholesNGreeks("delta",$Q30,$P30,$G30,$I30,$C$3,$J30,$K30,$C$4)*R30</f>
        <v>-2.7007924080339443E-98</v>
      </c>
      <c r="V30" s="13">
        <f>_xll.dnetGBlackScholesNGreeks("vega",$Q30,$P30,$G30,$I30,$C$3,$J30,$K30,$C$4)*R30</f>
        <v>4.8565094942578221E-87</v>
      </c>
      <c r="W30" s="114"/>
      <c r="X30" s="115">
        <v>400</v>
      </c>
      <c r="Y30" s="6">
        <f>X30*U30</f>
        <v>-1.0803169632135777E-95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202</v>
      </c>
      <c r="E31" s="8">
        <f t="shared" ca="1" si="9"/>
        <v>43251</v>
      </c>
      <c r="F31" s="8">
        <f t="shared" ca="1" si="60"/>
        <v>43308</v>
      </c>
      <c r="G31" s="11">
        <v>3350</v>
      </c>
      <c r="H31" s="10">
        <v>57</v>
      </c>
      <c r="I31" s="12">
        <f t="shared" si="61"/>
        <v>0.15616438356164383</v>
      </c>
      <c r="J31" s="12">
        <v>0</v>
      </c>
      <c r="K31" s="116">
        <v>0.18</v>
      </c>
      <c r="L31" s="13">
        <f>_xll.dnetGBlackScholesNGreeks("price",$Q31,$P31,$G31,$I31,$C$3,$J31,$K31,$C$4)*R31</f>
        <v>1.1351294979892339E-94</v>
      </c>
      <c r="M31" s="15"/>
      <c r="N31" s="13">
        <f t="shared" si="62"/>
        <v>0</v>
      </c>
      <c r="O31" s="13">
        <f t="shared" si="63"/>
        <v>1.1351294979892339E-94</v>
      </c>
      <c r="P31" s="11">
        <f>RTD("wdf.rtq",,D31,"LastPrice")</f>
        <v>14670</v>
      </c>
      <c r="Q31" s="10" t="s">
        <v>85</v>
      </c>
      <c r="R31" s="10">
        <f t="shared" si="64"/>
        <v>1</v>
      </c>
      <c r="S31" s="10" t="s">
        <v>151</v>
      </c>
      <c r="T31" s="14">
        <f t="shared" si="65"/>
        <v>7.7377607224896645E-99</v>
      </c>
      <c r="U31" s="13">
        <f>_xll.dnetGBlackScholesNGreeks("delta",$Q31,$P31,$G31,$I31,$C$3,$J31,$K31,$C$4)*R31</f>
        <v>-2.2650532478389726E-96</v>
      </c>
      <c r="V31" s="13">
        <f>_xll.dnetGBlackScholesNGreeks("vega",$Q31,$P31,$G31,$I31,$C$3,$J31,$K31,$C$4)*R31</f>
        <v>2.6175848902073285E-85</v>
      </c>
      <c r="W31" s="114"/>
      <c r="X31" s="115">
        <v>400</v>
      </c>
      <c r="Y31" s="6">
        <f>X31*U31</f>
        <v>-9.0602129913558902E-94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237</v>
      </c>
      <c r="E32" s="8">
        <f t="shared" ca="1" si="9"/>
        <v>43251</v>
      </c>
      <c r="F32" s="8">
        <f t="shared" ca="1" si="60"/>
        <v>43308</v>
      </c>
      <c r="G32" s="11">
        <v>3400</v>
      </c>
      <c r="H32" s="10">
        <v>57</v>
      </c>
      <c r="I32" s="12">
        <f t="shared" si="61"/>
        <v>0.15616438356164383</v>
      </c>
      <c r="J32" s="12">
        <v>0</v>
      </c>
      <c r="K32" s="116">
        <v>0.18</v>
      </c>
      <c r="L32" s="13">
        <f>_xll.dnetGBlackScholesNGreeks("price",$Q32,$P32,$G32,$I32,$C$3,$J32,$K32,$C$4)*R32</f>
        <v>1.9615253971801285E-93</v>
      </c>
      <c r="M32" s="15"/>
      <c r="N32" s="13">
        <f t="shared" si="62"/>
        <v>0</v>
      </c>
      <c r="O32" s="13">
        <f t="shared" si="63"/>
        <v>1.9615253971801285E-93</v>
      </c>
      <c r="P32" s="11">
        <f>RTD("wdf.rtq",,D32,"LastPrice")</f>
        <v>14745</v>
      </c>
      <c r="Q32" s="10" t="s">
        <v>85</v>
      </c>
      <c r="R32" s="10">
        <f t="shared" si="64"/>
        <v>1</v>
      </c>
      <c r="S32" s="10" t="s">
        <v>151</v>
      </c>
      <c r="T32" s="14">
        <f t="shared" si="65"/>
        <v>1.3302986756053771E-97</v>
      </c>
      <c r="U32" s="13">
        <f>_xll.dnetGBlackScholesNGreeks("delta",$Q32,$P32,$G32,$I32,$C$3,$J32,$K32,$C$4)*R32</f>
        <v>-3.8687188148442338E-95</v>
      </c>
      <c r="V32" s="13">
        <f>_xll.dnetGBlackScholesNGreeks("vega",$Q32,$P32,$G32,$I32,$C$3,$J32,$K32,$C$4)*R32</f>
        <v>3.385567546635271E-84</v>
      </c>
      <c r="W32" s="114"/>
      <c r="X32" s="115">
        <v>400</v>
      </c>
      <c r="Y32" s="6">
        <f>X32*U32</f>
        <v>-1.5474875259376935E-92</v>
      </c>
    </row>
    <row r="33" spans="1:25" ht="10.5" customHeight="1" x14ac:dyDescent="0.15">
      <c r="A33" s="34"/>
      <c r="B33" s="13" t="s">
        <v>172</v>
      </c>
      <c r="C33" s="10" t="s">
        <v>160</v>
      </c>
      <c r="D33" s="10" t="s">
        <v>237</v>
      </c>
      <c r="E33" s="8">
        <f t="shared" ca="1" si="9"/>
        <v>43251</v>
      </c>
      <c r="F33" s="8">
        <f t="shared" ca="1" si="60"/>
        <v>43308</v>
      </c>
      <c r="G33" s="11">
        <v>3450</v>
      </c>
      <c r="H33" s="10">
        <v>57</v>
      </c>
      <c r="I33" s="12">
        <f t="shared" si="61"/>
        <v>0.15616438356164383</v>
      </c>
      <c r="J33" s="12">
        <v>0</v>
      </c>
      <c r="K33" s="116">
        <v>0.18</v>
      </c>
      <c r="L33" s="13">
        <f>_xll.dnetGBlackScholesNGreeks("price",$Q33,$P33,$G33,$I33,$C$3,$J33,$K33,$C$4)*R33</f>
        <v>1.3603602238448032E-91</v>
      </c>
      <c r="M33" s="15"/>
      <c r="N33" s="13">
        <f t="shared" si="62"/>
        <v>0</v>
      </c>
      <c r="O33" s="13">
        <f t="shared" si="63"/>
        <v>1.3603602238448032E-91</v>
      </c>
      <c r="P33" s="11">
        <f>RTD("wdf.rtq",,D33,"LastPrice")</f>
        <v>14745</v>
      </c>
      <c r="Q33" s="10" t="s">
        <v>85</v>
      </c>
      <c r="R33" s="10">
        <f t="shared" si="64"/>
        <v>1</v>
      </c>
      <c r="S33" s="10" t="s">
        <v>151</v>
      </c>
      <c r="T33" s="14">
        <f t="shared" si="65"/>
        <v>9.2259086052546836E-96</v>
      </c>
      <c r="U33" s="13">
        <f>_xll.dnetGBlackScholesNGreeks("delta",$Q33,$P33,$G33,$I33,$C$3,$J33,$K33,$C$4)*R33</f>
        <v>-2.6565443613184092E-93</v>
      </c>
      <c r="V33" s="13">
        <f>_xll.dnetGBlackScholesNGreeks("vega",$Q33,$P33,$G33,$I33,$C$3,$J33,$K33,$C$4)*R33</f>
        <v>1.5247467315375748E-82</v>
      </c>
      <c r="W33" s="114"/>
      <c r="X33" s="115">
        <v>400</v>
      </c>
      <c r="Y33" s="6">
        <f>X33*U33</f>
        <v>-1.0626177445273637E-90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237</v>
      </c>
      <c r="E34" s="8">
        <f t="shared" ca="1" si="9"/>
        <v>43251</v>
      </c>
      <c r="F34" s="8">
        <f t="shared" ca="1" si="60"/>
        <v>43308</v>
      </c>
      <c r="G34" s="11">
        <v>3500</v>
      </c>
      <c r="H34" s="10">
        <v>57</v>
      </c>
      <c r="I34" s="12">
        <f t="shared" si="61"/>
        <v>0.15616438356164383</v>
      </c>
      <c r="J34" s="12">
        <v>0</v>
      </c>
      <c r="K34" s="116">
        <v>0.18</v>
      </c>
      <c r="L34" s="13">
        <f>_xll.dnetGBlackScholesNGreeks("price",$Q34,$P34,$G34,$I34,$C$3,$J34,$K34,$C$4)*R34</f>
        <v>2.5275324401046921E-88</v>
      </c>
      <c r="M34" s="15"/>
      <c r="N34" s="13">
        <f t="shared" si="62"/>
        <v>0</v>
      </c>
      <c r="O34" s="13">
        <f t="shared" si="63"/>
        <v>2.5275324401046921E-88</v>
      </c>
      <c r="P34" s="11">
        <v>14570</v>
      </c>
      <c r="Q34" s="10" t="s">
        <v>85</v>
      </c>
      <c r="R34" s="10">
        <f t="shared" si="64"/>
        <v>1</v>
      </c>
      <c r="S34" s="10" t="s">
        <v>151</v>
      </c>
      <c r="T34" s="14">
        <f t="shared" si="65"/>
        <v>1.7347511599894934E-92</v>
      </c>
      <c r="U34" s="13">
        <f>_xll.dnetGBlackScholesNGreeks("delta",$Q34,$P34,$G34,$I34,$C$3,$J34,$K34,$C$4)*R34</f>
        <v>-4.9052749761641461E-90</v>
      </c>
      <c r="V34" s="13">
        <f>_xll.dnetGBlackScholesNGreeks("vega",$Q34,$P34,$G34,$I34,$C$3,$J34,$K34,$C$4)*R34</f>
        <v>1.3147545182399271E-79</v>
      </c>
      <c r="W34" s="114"/>
      <c r="X34" s="115">
        <v>400</v>
      </c>
      <c r="Y34" s="6">
        <f>X34*U34</f>
        <v>-1.9621099904656584E-87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202</v>
      </c>
      <c r="E36" s="8">
        <f t="shared" ca="1" si="9"/>
        <v>43251</v>
      </c>
      <c r="F36" s="8">
        <f t="shared" ref="F36:F40" ca="1" si="66">E36+H36</f>
        <v>43280</v>
      </c>
      <c r="G36" s="11">
        <v>3300</v>
      </c>
      <c r="H36" s="10">
        <v>29</v>
      </c>
      <c r="I36" s="12">
        <f t="shared" ref="I36:I40" si="67">H36/365</f>
        <v>7.9452054794520555E-2</v>
      </c>
      <c r="J36" s="12">
        <v>0</v>
      </c>
      <c r="K36" s="116">
        <v>0.18</v>
      </c>
      <c r="L36" s="13">
        <f>_xll.dnetGBlackScholesNGreeks("price",$Q36,$P36,$G36,$I36,$C$3,$J36,$K36,$C$4)*R36</f>
        <v>2.9005307864557725E-189</v>
      </c>
      <c r="M36" s="15"/>
      <c r="N36" s="13">
        <f t="shared" ref="N36:N40" si="68">M36/10000*I36*P36</f>
        <v>0</v>
      </c>
      <c r="O36" s="13">
        <f t="shared" ref="O36:O40" si="69">IF(L36&lt;=0,ABS(L36)+N36,L36-N36)</f>
        <v>2.9005307864557725E-189</v>
      </c>
      <c r="P36" s="11">
        <f>RTD("wdf.rtq",,D36,"LastPrice")</f>
        <v>14670</v>
      </c>
      <c r="Q36" s="10" t="s">
        <v>85</v>
      </c>
      <c r="R36" s="10">
        <f t="shared" ref="R36:R40" si="70">IF(S36="中金买入",1,-1)</f>
        <v>1</v>
      </c>
      <c r="S36" s="10" t="s">
        <v>151</v>
      </c>
      <c r="T36" s="14">
        <f t="shared" ref="T36:T40" si="71">O36/P36</f>
        <v>1.9771852668410174E-193</v>
      </c>
      <c r="U36" s="13">
        <f>_xll.dnetGBlackScholesNGreeks("delta",$Q36,$P36,$G36,$I36,$C$3,$J36,$K36,$C$4)*R36</f>
        <v>-1.1475133504957257E-190</v>
      </c>
      <c r="V36" s="13">
        <f>_xll.dnetGBlackScholesNGreeks("vega",$Q36,$P36,$G36,$I36,$C$3,$J36,$K36,$C$4)*R36</f>
        <v>2.9818089556705191E-170</v>
      </c>
      <c r="W36" s="114"/>
      <c r="X36" s="115">
        <v>400</v>
      </c>
      <c r="Y36" s="6">
        <f>X36*U36</f>
        <v>-4.5900534019829027E-188</v>
      </c>
    </row>
    <row r="37" spans="1:25" ht="10.5" customHeight="1" x14ac:dyDescent="0.15">
      <c r="A37" s="34"/>
      <c r="B37" s="13" t="s">
        <v>172</v>
      </c>
      <c r="C37" s="10" t="s">
        <v>160</v>
      </c>
      <c r="D37" s="10" t="s">
        <v>202</v>
      </c>
      <c r="E37" s="8">
        <f t="shared" ca="1" si="9"/>
        <v>43251</v>
      </c>
      <c r="F37" s="8">
        <f t="shared" ca="1" si="66"/>
        <v>43280</v>
      </c>
      <c r="G37" s="11">
        <v>3350</v>
      </c>
      <c r="H37" s="10">
        <v>29</v>
      </c>
      <c r="I37" s="12">
        <f t="shared" si="67"/>
        <v>7.9452054794520555E-2</v>
      </c>
      <c r="J37" s="12">
        <v>0</v>
      </c>
      <c r="K37" s="116">
        <v>0.18</v>
      </c>
      <c r="L37" s="13">
        <f>_xll.dnetGBlackScholesNGreeks("price",$Q37,$P37,$G37,$I37,$C$3,$J37,$K37,$C$4)*R37</f>
        <v>1.7391755800936069E-185</v>
      </c>
      <c r="M37" s="15"/>
      <c r="N37" s="13">
        <f t="shared" si="68"/>
        <v>0</v>
      </c>
      <c r="O37" s="13">
        <f t="shared" si="69"/>
        <v>1.7391755800936069E-185</v>
      </c>
      <c r="P37" s="11">
        <f>RTD("wdf.rtq",,D37,"LastPrice")</f>
        <v>14670</v>
      </c>
      <c r="Q37" s="10" t="s">
        <v>85</v>
      </c>
      <c r="R37" s="10">
        <f t="shared" si="70"/>
        <v>1</v>
      </c>
      <c r="S37" s="10" t="s">
        <v>151</v>
      </c>
      <c r="T37" s="14">
        <f t="shared" si="71"/>
        <v>1.1855320927700115E-189</v>
      </c>
      <c r="U37" s="13">
        <f>_xll.dnetGBlackScholesNGreeks("delta",$Q37,$P37,$G37,$I37,$C$3,$J37,$K37,$C$4)*R37</f>
        <v>-6.8114639476600507E-187</v>
      </c>
      <c r="V37" s="13">
        <f>_xll.dnetGBlackScholesNGreeks("vega",$Q37,$P37,$G37,$I37,$C$3,$J37,$K37,$C$4)*R37</f>
        <v>7.3514101943729012E-167</v>
      </c>
      <c r="W37" s="114"/>
      <c r="X37" s="115">
        <v>400</v>
      </c>
      <c r="Y37" s="6">
        <f>X37*U37</f>
        <v>-2.7245855790640203E-184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237</v>
      </c>
      <c r="E38" s="8">
        <f t="shared" ca="1" si="9"/>
        <v>43251</v>
      </c>
      <c r="F38" s="8">
        <f t="shared" ca="1" si="66"/>
        <v>43280</v>
      </c>
      <c r="G38" s="11">
        <v>3400</v>
      </c>
      <c r="H38" s="10">
        <v>29</v>
      </c>
      <c r="I38" s="12">
        <f t="shared" si="67"/>
        <v>7.9452054794520555E-2</v>
      </c>
      <c r="J38" s="12">
        <v>0</v>
      </c>
      <c r="K38" s="116">
        <v>0.18</v>
      </c>
      <c r="L38" s="13">
        <f>_xll.dnetGBlackScholesNGreeks("price",$Q38,$P38,$G38,$I38,$C$3,$J38,$K38,$C$4)*R38</f>
        <v>4.6037653812906766E-183</v>
      </c>
      <c r="M38" s="15"/>
      <c r="N38" s="13">
        <f t="shared" si="68"/>
        <v>0</v>
      </c>
      <c r="O38" s="13">
        <f t="shared" si="69"/>
        <v>4.6037653812906766E-183</v>
      </c>
      <c r="P38" s="11">
        <f>RTD("wdf.rtq",,D38,"LastPrice")</f>
        <v>14745</v>
      </c>
      <c r="Q38" s="10" t="s">
        <v>85</v>
      </c>
      <c r="R38" s="10">
        <f t="shared" si="70"/>
        <v>1</v>
      </c>
      <c r="S38" s="10" t="s">
        <v>151</v>
      </c>
      <c r="T38" s="14">
        <f t="shared" si="71"/>
        <v>3.1222552602853009E-187</v>
      </c>
      <c r="U38" s="13">
        <f>_xll.dnetGBlackScholesNGreeks("delta",$Q38,$P38,$G38,$I38,$C$3,$J38,$K38,$C$4)*R38</f>
        <v>-1.782132934106631E-184</v>
      </c>
      <c r="V38" s="13">
        <f>_xll.dnetGBlackScholesNGreeks("vega",$Q38,$P38,$G38,$I38,$C$3,$J38,$K38,$C$4)*R38</f>
        <v>1.1011582427437599E-164</v>
      </c>
      <c r="W38" s="114"/>
      <c r="X38" s="115">
        <v>400</v>
      </c>
      <c r="Y38" s="6">
        <f>X38*U38</f>
        <v>-7.128531736426524E-182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237</v>
      </c>
      <c r="E39" s="8">
        <f t="shared" ca="1" si="9"/>
        <v>43251</v>
      </c>
      <c r="F39" s="8">
        <f t="shared" ca="1" si="66"/>
        <v>43280</v>
      </c>
      <c r="G39" s="11">
        <v>3450</v>
      </c>
      <c r="H39" s="10">
        <v>29</v>
      </c>
      <c r="I39" s="12">
        <f t="shared" si="67"/>
        <v>7.9452054794520555E-2</v>
      </c>
      <c r="J39" s="12">
        <v>0</v>
      </c>
      <c r="K39" s="116">
        <v>0.18</v>
      </c>
      <c r="L39" s="13">
        <f>_xll.dnetGBlackScholesNGreeks("price",$Q39,$P39,$G39,$I39,$C$3,$J39,$K39,$C$4)*R39</f>
        <v>1.8637566152055803E-179</v>
      </c>
      <c r="M39" s="15"/>
      <c r="N39" s="13">
        <f t="shared" si="68"/>
        <v>0</v>
      </c>
      <c r="O39" s="13">
        <f t="shared" si="69"/>
        <v>1.8637566152055803E-179</v>
      </c>
      <c r="P39" s="11">
        <f>RTD("wdf.rtq",,D39,"LastPrice")</f>
        <v>14745</v>
      </c>
      <c r="Q39" s="10" t="s">
        <v>85</v>
      </c>
      <c r="R39" s="10">
        <f t="shared" si="70"/>
        <v>1</v>
      </c>
      <c r="S39" s="10" t="s">
        <v>151</v>
      </c>
      <c r="T39" s="14">
        <f t="shared" si="71"/>
        <v>1.2639922788779793E-183</v>
      </c>
      <c r="U39" s="13">
        <f>_xll.dnetGBlackScholesNGreeks("delta",$Q39,$P39,$G39,$I39,$C$3,$J39,$K39,$C$4)*R39</f>
        <v>-7.1431534135747337E-181</v>
      </c>
      <c r="V39" s="13">
        <f>_xll.dnetGBlackScholesNGreeks("vega",$Q39,$P39,$G39,$I39,$C$3,$J39,$K39,$C$4)*R39</f>
        <v>1.9081539202671399E-161</v>
      </c>
      <c r="W39" s="114"/>
      <c r="X39" s="115">
        <v>400</v>
      </c>
      <c r="Y39" s="6">
        <f>X39*U39</f>
        <v>-2.8572613654298935E-178</v>
      </c>
    </row>
    <row r="40" spans="1:25" ht="10.5" customHeight="1" x14ac:dyDescent="0.15">
      <c r="A40" s="34"/>
      <c r="B40" s="13" t="s">
        <v>172</v>
      </c>
      <c r="C40" s="10" t="s">
        <v>160</v>
      </c>
      <c r="D40" s="10" t="s">
        <v>237</v>
      </c>
      <c r="E40" s="8">
        <f t="shared" ca="1" si="9"/>
        <v>43251</v>
      </c>
      <c r="F40" s="8">
        <f t="shared" ca="1" si="66"/>
        <v>43280</v>
      </c>
      <c r="G40" s="11">
        <v>3500</v>
      </c>
      <c r="H40" s="10">
        <v>29</v>
      </c>
      <c r="I40" s="12">
        <f t="shared" si="67"/>
        <v>7.9452054794520555E-2</v>
      </c>
      <c r="J40" s="12">
        <v>0</v>
      </c>
      <c r="K40" s="116">
        <v>0.18</v>
      </c>
      <c r="L40" s="13">
        <f>_xll.dnetGBlackScholesNGreeks("price",$Q40,$P40,$G40,$I40,$C$3,$J40,$K40,$C$4)*R40</f>
        <v>6.1753510254243241E-176</v>
      </c>
      <c r="M40" s="15"/>
      <c r="N40" s="13">
        <f t="shared" si="68"/>
        <v>0</v>
      </c>
      <c r="O40" s="13">
        <f t="shared" si="69"/>
        <v>6.1753510254243241E-176</v>
      </c>
      <c r="P40" s="11">
        <f>RTD("wdf.rtq",,D40,"LastPrice")</f>
        <v>14745</v>
      </c>
      <c r="Q40" s="10" t="s">
        <v>85</v>
      </c>
      <c r="R40" s="10">
        <f t="shared" si="70"/>
        <v>1</v>
      </c>
      <c r="S40" s="10" t="s">
        <v>151</v>
      </c>
      <c r="T40" s="14">
        <f t="shared" si="71"/>
        <v>4.1880983556624785E-180</v>
      </c>
      <c r="U40" s="13">
        <f>_xll.dnetGBlackScholesNGreeks("delta",$Q40,$P40,$G40,$I40,$C$3,$J40,$K40,$C$4)*R40</f>
        <v>-2.3434521431791635E-177</v>
      </c>
      <c r="V40" s="13">
        <f>_xll.dnetGBlackScholesNGreeks("vega",$Q40,$P40,$G40,$I40,$C$3,$J40,$K40,$C$4)*R40</f>
        <v>2.7623708576472596E-158</v>
      </c>
      <c r="W40" s="114"/>
      <c r="X40" s="115">
        <v>400</v>
      </c>
      <c r="Y40" s="6">
        <f>X40*U40</f>
        <v>-9.3738085727166542E-175</v>
      </c>
    </row>
    <row r="42" spans="1:25" ht="10.5" customHeight="1" x14ac:dyDescent="0.15">
      <c r="A42" s="34"/>
      <c r="B42" s="13" t="s">
        <v>172</v>
      </c>
      <c r="C42" s="10" t="s">
        <v>160</v>
      </c>
      <c r="D42" s="10" t="s">
        <v>240</v>
      </c>
      <c r="E42" s="8">
        <f t="shared" ca="1" si="9"/>
        <v>43251</v>
      </c>
      <c r="F42" s="8">
        <f t="shared" ref="F42" ca="1" si="72">E42+H42</f>
        <v>43282</v>
      </c>
      <c r="G42" s="11">
        <v>100</v>
      </c>
      <c r="H42" s="10">
        <v>31</v>
      </c>
      <c r="I42" s="12">
        <f t="shared" ref="I42" si="73">H42/365</f>
        <v>8.4931506849315067E-2</v>
      </c>
      <c r="J42" s="12">
        <v>0</v>
      </c>
      <c r="K42" s="116">
        <v>0.14000000000000001</v>
      </c>
      <c r="L42" s="13">
        <f>_xll.dnetGBlackScholesNGreeks("price",$Q42,$P42,$G42,$I42,$C$3,$J42,$K42,$C$4)*R42</f>
        <v>-1.6248178755542781</v>
      </c>
      <c r="M42" s="15"/>
      <c r="N42" s="13">
        <f t="shared" ref="N42" si="74">M42/10000*I42*P42</f>
        <v>0</v>
      </c>
      <c r="O42" s="13">
        <f t="shared" ref="O42" si="75">IF(L42&lt;=0,ABS(L42)+N42,L42-N42)</f>
        <v>1.6248178755542781</v>
      </c>
      <c r="P42" s="11">
        <v>100</v>
      </c>
      <c r="Q42" s="10" t="s">
        <v>39</v>
      </c>
      <c r="R42" s="10">
        <f t="shared" ref="R42" si="76">IF(S42="中金买入",1,-1)</f>
        <v>-1</v>
      </c>
      <c r="S42" s="10" t="s">
        <v>20</v>
      </c>
      <c r="T42" s="14">
        <f t="shared" ref="T42" si="77">O42/P42</f>
        <v>1.6248178755542783E-2</v>
      </c>
      <c r="U42" s="13">
        <f>_xll.dnetGBlackScholesNGreeks("delta",$Q42,$P42,$G42,$I42,$C$3,$J42,$K42,$C$4)*R42</f>
        <v>-0.50727547083901925</v>
      </c>
      <c r="V42" s="13">
        <f>_xll.dnetGBlackScholesNGreeks("vega",$Q42,$P42,$G42,$I42,$C$3,$J42,$K42,$C$4)*R42</f>
        <v>-0.11604227973412407</v>
      </c>
      <c r="W42" s="114"/>
      <c r="X42" s="115">
        <v>400</v>
      </c>
      <c r="Y42" s="6">
        <f t="shared" ref="Y42:Y47" si="78">X42*U42</f>
        <v>-202.9101883356077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240</v>
      </c>
      <c r="E43" s="8">
        <f t="shared" ca="1" si="9"/>
        <v>43251</v>
      </c>
      <c r="F43" s="8">
        <f t="shared" ref="F43:F44" ca="1" si="79">E43+H43</f>
        <v>43282</v>
      </c>
      <c r="G43" s="11">
        <v>100</v>
      </c>
      <c r="H43" s="10">
        <v>31</v>
      </c>
      <c r="I43" s="12">
        <f t="shared" ref="I43:I44" si="80">H43/365</f>
        <v>8.4931506849315067E-2</v>
      </c>
      <c r="J43" s="12">
        <v>0</v>
      </c>
      <c r="K43" s="116">
        <v>0.2</v>
      </c>
      <c r="L43" s="13">
        <f>_xll.dnetGBlackScholesNGreeks("price",$Q43,$P43,$G43,$I43,$C$3,$J43,$K43,$C$4)*R43</f>
        <v>-2.3210008445530406</v>
      </c>
      <c r="M43" s="15"/>
      <c r="N43" s="13">
        <f t="shared" ref="N43:N44" si="81">M43/10000*I43*P43</f>
        <v>0</v>
      </c>
      <c r="O43" s="13">
        <f t="shared" ref="O43:O44" si="82">IF(L43&lt;=0,ABS(L43)+N43,L43-N43)</f>
        <v>2.3210008445530406</v>
      </c>
      <c r="P43" s="11">
        <v>100</v>
      </c>
      <c r="Q43" s="10" t="s">
        <v>39</v>
      </c>
      <c r="R43" s="10">
        <f t="shared" ref="R43:R44" si="83">IF(S43="中金买入",1,-1)</f>
        <v>-1</v>
      </c>
      <c r="S43" s="10" t="s">
        <v>20</v>
      </c>
      <c r="T43" s="14">
        <f t="shared" ref="T43:T44" si="84">O43/P43</f>
        <v>2.3210008445530405E-2</v>
      </c>
      <c r="U43" s="13">
        <f>_xll.dnetGBlackScholesNGreeks("delta",$Q43,$P43,$G43,$I43,$C$3,$J43,$K43,$C$4)*R43</f>
        <v>-0.51075639300677267</v>
      </c>
      <c r="V43" s="13">
        <f>_xll.dnetGBlackScholesNGreeks("vega",$Q43,$P43,$G43,$I43,$C$3,$J43,$K43,$C$4)*R43</f>
        <v>-0.11601715057671669</v>
      </c>
      <c r="W43" s="114"/>
      <c r="X43" s="115">
        <v>400</v>
      </c>
      <c r="Y43" s="6">
        <f t="shared" si="78"/>
        <v>-204.30255720270907</v>
      </c>
    </row>
    <row r="44" spans="1:25" ht="10.5" customHeight="1" x14ac:dyDescent="0.15">
      <c r="A44" s="34"/>
      <c r="B44" s="13" t="s">
        <v>172</v>
      </c>
      <c r="C44" s="10" t="s">
        <v>160</v>
      </c>
      <c r="D44" s="10" t="s">
        <v>240</v>
      </c>
      <c r="E44" s="8">
        <f t="shared" ca="1" si="9"/>
        <v>43251</v>
      </c>
      <c r="F44" s="8">
        <f t="shared" ca="1" si="79"/>
        <v>43312</v>
      </c>
      <c r="G44" s="11">
        <v>100</v>
      </c>
      <c r="H44" s="10">
        <v>61</v>
      </c>
      <c r="I44" s="12">
        <f t="shared" si="80"/>
        <v>0.16712328767123288</v>
      </c>
      <c r="J44" s="12">
        <v>0</v>
      </c>
      <c r="K44" s="116">
        <v>0.33</v>
      </c>
      <c r="L44" s="13">
        <f>_xll.dnetGBlackScholesNGreeks("price",$Q44,$P44,$G44,$I44,$C$3,$J44,$K44,$C$4)*R44</f>
        <v>-5.3599611443800299</v>
      </c>
      <c r="M44" s="15"/>
      <c r="N44" s="13">
        <f t="shared" si="81"/>
        <v>0</v>
      </c>
      <c r="O44" s="13">
        <f t="shared" si="82"/>
        <v>5.3599611443800299</v>
      </c>
      <c r="P44" s="11">
        <v>100</v>
      </c>
      <c r="Q44" s="10" t="s">
        <v>39</v>
      </c>
      <c r="R44" s="10">
        <f t="shared" si="83"/>
        <v>-1</v>
      </c>
      <c r="S44" s="10" t="s">
        <v>20</v>
      </c>
      <c r="T44" s="14">
        <f t="shared" si="84"/>
        <v>5.35996114438003E-2</v>
      </c>
      <c r="U44" s="13">
        <f>_xll.dnetGBlackScholesNGreeks("delta",$Q44,$P44,$G44,$I44,$C$3,$J44,$K44,$C$4)*R44</f>
        <v>-0.52513135540372957</v>
      </c>
      <c r="V44" s="13">
        <f>_xll.dnetGBlackScholesNGreeks("vega",$Q44,$P44,$G44,$I44,$C$3,$J44,$K44,$C$4)*R44</f>
        <v>-0.16217676403383763</v>
      </c>
      <c r="W44" s="114"/>
      <c r="X44" s="115">
        <v>400</v>
      </c>
      <c r="Y44" s="6">
        <f t="shared" si="78"/>
        <v>-210.05254216149183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240</v>
      </c>
      <c r="E45" s="8">
        <f t="shared" ca="1" si="9"/>
        <v>43251</v>
      </c>
      <c r="F45" s="8">
        <f t="shared" ref="F45:F46" ca="1" si="85">E45+H45</f>
        <v>43330</v>
      </c>
      <c r="G45" s="11">
        <v>100</v>
      </c>
      <c r="H45" s="10">
        <v>79</v>
      </c>
      <c r="I45" s="12">
        <f t="shared" ref="I45:I46" si="86">H45/365</f>
        <v>0.21643835616438356</v>
      </c>
      <c r="J45" s="12">
        <v>0</v>
      </c>
      <c r="K45" s="116">
        <v>0.28999999999999998</v>
      </c>
      <c r="L45" s="13">
        <f>_xll.dnetGBlackScholesNGreeks("price",$Q45,$P45,$G45,$I45,$C$3,$J45,$K45,$C$4)*R45</f>
        <v>-5.3550796250769608</v>
      </c>
      <c r="M45" s="15"/>
      <c r="N45" s="13">
        <f t="shared" ref="N45:N46" si="87">M45/10000*I45*P45</f>
        <v>0</v>
      </c>
      <c r="O45" s="13">
        <f t="shared" ref="O45:O46" si="88">IF(L45&lt;=0,ABS(L45)+N45,L45-N45)</f>
        <v>5.3550796250769608</v>
      </c>
      <c r="P45" s="11">
        <v>100</v>
      </c>
      <c r="Q45" s="10" t="s">
        <v>39</v>
      </c>
      <c r="R45" s="10">
        <f t="shared" ref="R45:R46" si="89">IF(S45="中金买入",1,-1)</f>
        <v>-1</v>
      </c>
      <c r="S45" s="10" t="s">
        <v>20</v>
      </c>
      <c r="T45" s="14">
        <f t="shared" ref="T45:T46" si="90">O45/P45</f>
        <v>5.3550796250769611E-2</v>
      </c>
      <c r="U45" s="13">
        <f>_xll.dnetGBlackScholesNGreeks("delta",$Q45,$P45,$G45,$I45,$C$3,$J45,$K45,$C$4)*R45</f>
        <v>-0.52461568502515377</v>
      </c>
      <c r="V45" s="13">
        <f>_xll.dnetGBlackScholesNGreeks("vega",$Q45,$P45,$G45,$I45,$C$3,$J45,$K45,$C$4)*R45</f>
        <v>-0.18437782004841807</v>
      </c>
      <c r="W45" s="114"/>
      <c r="X45" s="115">
        <v>400</v>
      </c>
      <c r="Y45" s="6">
        <f t="shared" si="78"/>
        <v>-209.84627401006151</v>
      </c>
    </row>
    <row r="46" spans="1:25" ht="10.5" customHeight="1" x14ac:dyDescent="0.15">
      <c r="A46" s="34"/>
      <c r="B46" s="13" t="s">
        <v>172</v>
      </c>
      <c r="C46" s="10" t="s">
        <v>160</v>
      </c>
      <c r="D46" s="10" t="s">
        <v>240</v>
      </c>
      <c r="E46" s="8">
        <f t="shared" ca="1" si="9"/>
        <v>43251</v>
      </c>
      <c r="F46" s="8">
        <f t="shared" ca="1" si="85"/>
        <v>43282</v>
      </c>
      <c r="G46" s="11">
        <v>100</v>
      </c>
      <c r="H46" s="10">
        <v>31</v>
      </c>
      <c r="I46" s="12">
        <f t="shared" si="86"/>
        <v>8.4931506849315067E-2</v>
      </c>
      <c r="J46" s="12">
        <v>0</v>
      </c>
      <c r="K46" s="116">
        <v>0.35299999999999998</v>
      </c>
      <c r="L46" s="13">
        <f>_xll.dnetGBlackScholesNGreeks("price",$Q46,$P46,$G46,$I46,$C$3,$J46,$K46,$C$4)*R46</f>
        <v>-4.0953403847968275</v>
      </c>
      <c r="M46" s="15"/>
      <c r="N46" s="13">
        <f t="shared" si="87"/>
        <v>0</v>
      </c>
      <c r="O46" s="13">
        <f t="shared" si="88"/>
        <v>4.0953403847968275</v>
      </c>
      <c r="P46" s="11">
        <v>100</v>
      </c>
      <c r="Q46" s="10" t="s">
        <v>39</v>
      </c>
      <c r="R46" s="10">
        <f t="shared" si="89"/>
        <v>-1</v>
      </c>
      <c r="S46" s="10" t="s">
        <v>20</v>
      </c>
      <c r="T46" s="14">
        <f t="shared" si="90"/>
        <v>4.0953403847968278E-2</v>
      </c>
      <c r="U46" s="13">
        <f>_xll.dnetGBlackScholesNGreeks("delta",$Q46,$P46,$G46,$I46,$C$3,$J46,$K46,$C$4)*R46</f>
        <v>-0.51962809811776367</v>
      </c>
      <c r="V46" s="13">
        <f>_xll.dnetGBlackScholesNGreeks("vega",$Q46,$P46,$G46,$I46,$C$3,$J46,$K46,$C$4)*R46</f>
        <v>-0.11591298547194029</v>
      </c>
      <c r="W46" s="114"/>
      <c r="X46" s="115">
        <v>400</v>
      </c>
      <c r="Y46" s="6">
        <f t="shared" si="78"/>
        <v>-207.85123924710547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240</v>
      </c>
      <c r="E47" s="8">
        <f t="shared" ca="1" si="9"/>
        <v>43251</v>
      </c>
      <c r="F47" s="8">
        <f t="shared" ref="F47" ca="1" si="91">E47+H47</f>
        <v>43330</v>
      </c>
      <c r="G47" s="11">
        <v>500</v>
      </c>
      <c r="H47" s="10">
        <v>79</v>
      </c>
      <c r="I47" s="12">
        <f t="shared" ref="I47" si="92">H47/365</f>
        <v>0.21643835616438356</v>
      </c>
      <c r="J47" s="12">
        <v>0</v>
      </c>
      <c r="K47" s="116">
        <v>0.29299999999999998</v>
      </c>
      <c r="L47" s="13">
        <f>_xll.dnetGBlackScholesNGreeks("price",$Q47,$P47,$G47,$I47,$C$3,$J47,$K47,$C$4)*R47</f>
        <v>-11.505618521506193</v>
      </c>
      <c r="M47" s="15"/>
      <c r="N47" s="13">
        <f t="shared" ref="N47" si="93">M47/10000*I47*P47</f>
        <v>0</v>
      </c>
      <c r="O47" s="13">
        <f t="shared" ref="O47" si="94">IF(L47&lt;=0,ABS(L47)+N47,L47-N47)</f>
        <v>11.505618521506193</v>
      </c>
      <c r="P47" s="11">
        <f>RTD("wdf.rtq",,D47,"LastPrice")</f>
        <v>462.5</v>
      </c>
      <c r="Q47" s="10" t="s">
        <v>39</v>
      </c>
      <c r="R47" s="10">
        <f t="shared" ref="R47" si="95">IF(S47="中金买入",1,-1)</f>
        <v>-1</v>
      </c>
      <c r="S47" s="10" t="s">
        <v>20</v>
      </c>
      <c r="T47" s="14">
        <f t="shared" ref="T47" si="96">O47/P47</f>
        <v>2.487701301947285E-2</v>
      </c>
      <c r="U47" s="13">
        <f>_xll.dnetGBlackScholesNGreeks("delta",$Q47,$P47,$G47,$I47,$C$3,$J47,$K47,$C$4)*R47</f>
        <v>-0.30588187626392482</v>
      </c>
      <c r="V47" s="13">
        <f>_xll.dnetGBlackScholesNGreeks("vega",$Q47,$P47,$G47,$I47,$C$3,$J47,$K47,$C$4)*R47</f>
        <v>-0.75270417222883168</v>
      </c>
      <c r="W47" s="114"/>
      <c r="X47" s="115">
        <v>400</v>
      </c>
      <c r="Y47" s="6">
        <f t="shared" si="78"/>
        <v>-122.35275050556993</v>
      </c>
    </row>
    <row r="48" spans="1:25" ht="10.5" customHeight="1" x14ac:dyDescent="0.15">
      <c r="A48" s="34"/>
      <c r="B48" s="13"/>
      <c r="C48" s="10"/>
      <c r="D48" s="10"/>
      <c r="E48" s="8"/>
      <c r="F48" s="8"/>
      <c r="G48" s="11"/>
      <c r="H48" s="10"/>
      <c r="I48" s="12"/>
      <c r="J48" s="12"/>
      <c r="K48" s="116"/>
      <c r="L48" s="13"/>
      <c r="M48" s="15"/>
      <c r="N48" s="13"/>
      <c r="O48" s="13"/>
      <c r="P48" s="11"/>
      <c r="Q48" s="10"/>
      <c r="R48" s="10"/>
      <c r="S48" s="10"/>
      <c r="T48" s="14"/>
      <c r="U48" s="13"/>
      <c r="V48" s="13"/>
      <c r="W48" s="114"/>
      <c r="X48" s="115"/>
    </row>
    <row r="49" spans="1:25" ht="10.5" customHeight="1" x14ac:dyDescent="0.15">
      <c r="A49" s="34"/>
      <c r="B49" s="13" t="s">
        <v>172</v>
      </c>
      <c r="C49" s="10" t="s">
        <v>160</v>
      </c>
      <c r="D49" s="10" t="s">
        <v>241</v>
      </c>
      <c r="E49" s="8">
        <f t="shared" ca="1" si="9"/>
        <v>43251</v>
      </c>
      <c r="F49" s="8">
        <f t="shared" ref="F49" ca="1" si="97">E49+H49</f>
        <v>43252</v>
      </c>
      <c r="G49" s="11">
        <v>3500</v>
      </c>
      <c r="H49" s="10">
        <v>1</v>
      </c>
      <c r="I49" s="12">
        <f t="shared" ref="I49" si="98">H49/365</f>
        <v>2.7397260273972603E-3</v>
      </c>
      <c r="J49" s="12">
        <v>0</v>
      </c>
      <c r="K49" s="116">
        <v>0.18</v>
      </c>
      <c r="L49" s="13">
        <f>_xll.dnetGBlackScholesNGreeks("price",$Q49,$P49,$G49,$I49,$C$3,$J49,$K49,$C$4)*R49</f>
        <v>2.0332720391934576E-8</v>
      </c>
      <c r="M49" s="15"/>
      <c r="N49" s="13">
        <f t="shared" ref="N49" si="99">M49/10000*I49*P49</f>
        <v>0</v>
      </c>
      <c r="O49" s="13">
        <f t="shared" ref="O49" si="100">IF(L49&lt;=0,ABS(L49)+N49,L49-N49)</f>
        <v>2.0332720391934576E-8</v>
      </c>
      <c r="P49" s="11">
        <f>RTD("wdf.rtq",,D49,"LastPrice")</f>
        <v>3696</v>
      </c>
      <c r="Q49" s="10" t="s">
        <v>85</v>
      </c>
      <c r="R49" s="10">
        <f t="shared" ref="R49" si="101">IF(S49="中金买入",1,-1)</f>
        <v>1</v>
      </c>
      <c r="S49" s="10" t="s">
        <v>151</v>
      </c>
      <c r="T49" s="14">
        <f t="shared" ref="T49" si="102">O49/P49</f>
        <v>5.5012771623199611E-12</v>
      </c>
      <c r="U49" s="13">
        <f>_xll.dnetGBlackScholesNGreeks("delta",$Q49,$P49,$G49,$I49,$C$3,$J49,$K49,$C$4)*R49</f>
        <v>-3.5608926762036269E-9</v>
      </c>
      <c r="V49" s="13">
        <f>_xll.dnetGBlackScholesNGreeks("vega",$Q49,$P49,$G49,$I49,$C$3,$J49,$K49,$C$4)*R49</f>
        <v>6.467357557267713E-8</v>
      </c>
      <c r="W49" s="114"/>
      <c r="X49" s="115">
        <v>400</v>
      </c>
      <c r="Y49" s="6">
        <f>X49*U49</f>
        <v>-1.4243570704814508E-6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241</v>
      </c>
      <c r="E52" s="8">
        <f t="shared" ref="E52:E79" ca="1" si="103">TODAY()</f>
        <v>43251</v>
      </c>
      <c r="F52" s="8">
        <f t="shared" ref="F52:F55" ca="1" si="104">E52+H52</f>
        <v>43281</v>
      </c>
      <c r="G52" s="11">
        <v>3500</v>
      </c>
      <c r="H52" s="10">
        <v>30</v>
      </c>
      <c r="I52" s="12">
        <f t="shared" ref="I52:I55" si="105">H52/365</f>
        <v>8.2191780821917804E-2</v>
      </c>
      <c r="J52" s="12">
        <v>0</v>
      </c>
      <c r="K52" s="116">
        <v>0.18</v>
      </c>
      <c r="L52" s="13">
        <f>_xll.dnetGBlackScholesNGreeks("price",$Q52,$P52,$G52,$I52,$C$3,$J52,$K52,$C$4)*R52</f>
        <v>96.164182921139854</v>
      </c>
      <c r="M52" s="15"/>
      <c r="N52" s="13">
        <f t="shared" ref="N52:N55" si="106">M52/10000*I52*P52</f>
        <v>0</v>
      </c>
      <c r="O52" s="13">
        <f t="shared" ref="O52:O55" si="107">IF(L52&lt;=0,ABS(L52)+N52,L52-N52)</f>
        <v>96.164182921139854</v>
      </c>
      <c r="P52" s="11">
        <v>3455</v>
      </c>
      <c r="Q52" s="10" t="s">
        <v>85</v>
      </c>
      <c r="R52" s="10">
        <f t="shared" ref="R52:R55" si="108">IF(S52="中金买入",1,-1)</f>
        <v>1</v>
      </c>
      <c r="S52" s="10" t="s">
        <v>151</v>
      </c>
      <c r="T52" s="14">
        <f t="shared" ref="T52:T55" si="109">O52/P52</f>
        <v>2.7833338037956543E-2</v>
      </c>
      <c r="U52" s="13">
        <f>_xll.dnetGBlackScholesNGreeks("delta",$Q52,$P52,$G52,$I52,$C$3,$J52,$K52,$C$4)*R52</f>
        <v>-0.58802798674832957</v>
      </c>
      <c r="V52" s="13">
        <f>_xll.dnetGBlackScholesNGreeks("vega",$Q52,$P52,$G52,$I52,$C$3,$J52,$K52,$C$4)*R52</f>
        <v>3.8461616398250271</v>
      </c>
      <c r="W52" s="114"/>
      <c r="X52" s="115">
        <v>400</v>
      </c>
      <c r="Y52" s="6">
        <f>X52*U52</f>
        <v>-235.21119469933183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241</v>
      </c>
      <c r="E53" s="8">
        <f t="shared" ca="1" si="103"/>
        <v>43251</v>
      </c>
      <c r="F53" s="8">
        <f t="shared" ca="1" si="104"/>
        <v>43254</v>
      </c>
      <c r="G53" s="11">
        <v>3500</v>
      </c>
      <c r="H53" s="10">
        <v>3</v>
      </c>
      <c r="I53" s="12">
        <f t="shared" si="105"/>
        <v>8.21917808219178E-3</v>
      </c>
      <c r="J53" s="12">
        <v>0</v>
      </c>
      <c r="K53" s="116">
        <v>0.18</v>
      </c>
      <c r="L53" s="13">
        <f>_xll.dnetGBlackScholesNGreeks("price",$Q53,$P53,$G53,$I53,$C$3,$J53,$K53,$C$4)*R53</f>
        <v>51.897508079609906</v>
      </c>
      <c r="M53" s="15"/>
      <c r="N53" s="13">
        <f t="shared" si="106"/>
        <v>0</v>
      </c>
      <c r="O53" s="13">
        <f t="shared" si="107"/>
        <v>51.897508079609906</v>
      </c>
      <c r="P53" s="11">
        <v>3455</v>
      </c>
      <c r="Q53" s="10" t="s">
        <v>85</v>
      </c>
      <c r="R53" s="10">
        <f t="shared" si="108"/>
        <v>1</v>
      </c>
      <c r="S53" s="10" t="s">
        <v>151</v>
      </c>
      <c r="T53" s="14">
        <f t="shared" si="109"/>
        <v>1.5020986419568713E-2</v>
      </c>
      <c r="U53" s="13">
        <f>_xll.dnetGBlackScholesNGreeks("delta",$Q53,$P53,$G53,$I53,$C$3,$J53,$K53,$C$4)*R53</f>
        <v>-0.78359314570661809</v>
      </c>
      <c r="V53" s="13">
        <f>_xll.dnetGBlackScholesNGreeks("vega",$Q53,$P53,$G53,$I53,$C$3,$J53,$K53,$C$4)*R53</f>
        <v>0.91751940353401551</v>
      </c>
      <c r="W53" s="114"/>
      <c r="X53" s="115">
        <v>400</v>
      </c>
      <c r="Y53" s="6">
        <f>X53*U53</f>
        <v>-313.43725828264724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241</v>
      </c>
      <c r="E54" s="8">
        <f t="shared" ca="1" si="103"/>
        <v>43251</v>
      </c>
      <c r="F54" s="8">
        <f t="shared" ca="1" si="104"/>
        <v>43254</v>
      </c>
      <c r="G54" s="11">
        <v>3500</v>
      </c>
      <c r="H54" s="10">
        <v>3</v>
      </c>
      <c r="I54" s="12">
        <f t="shared" si="105"/>
        <v>8.21917808219178E-3</v>
      </c>
      <c r="J54" s="12">
        <v>0</v>
      </c>
      <c r="K54" s="116">
        <v>0.18</v>
      </c>
      <c r="L54" s="13">
        <f>_xll.dnetGBlackScholesNGreeks("price",$Q54,$P54,$G54,$I54,$C$3,$J54,$K54,$C$4)*R54</f>
        <v>51.897508079609906</v>
      </c>
      <c r="M54" s="15"/>
      <c r="N54" s="13">
        <f t="shared" si="106"/>
        <v>0</v>
      </c>
      <c r="O54" s="13">
        <f t="shared" si="107"/>
        <v>51.897508079609906</v>
      </c>
      <c r="P54" s="11">
        <v>3455</v>
      </c>
      <c r="Q54" s="10" t="s">
        <v>85</v>
      </c>
      <c r="R54" s="10">
        <f t="shared" si="108"/>
        <v>1</v>
      </c>
      <c r="S54" s="10" t="s">
        <v>151</v>
      </c>
      <c r="T54" s="14">
        <f t="shared" si="109"/>
        <v>1.5020986419568713E-2</v>
      </c>
      <c r="U54" s="13">
        <f>_xll.dnetGBlackScholesNGreeks("delta",$Q54,$P54,$G54,$I54,$C$3,$J54,$K54,$C$4)*R54</f>
        <v>-0.78359314570661809</v>
      </c>
      <c r="V54" s="13">
        <f>_xll.dnetGBlackScholesNGreeks("vega",$Q54,$P54,$G54,$I54,$C$3,$J54,$K54,$C$4)*R54</f>
        <v>0.91751940353401551</v>
      </c>
      <c r="W54" s="114"/>
      <c r="X54" s="115">
        <v>400</v>
      </c>
      <c r="Y54" s="6">
        <f>X54*U54</f>
        <v>-313.43725828264724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241</v>
      </c>
      <c r="E55" s="8">
        <f t="shared" ca="1" si="103"/>
        <v>43251</v>
      </c>
      <c r="F55" s="8">
        <f t="shared" ca="1" si="104"/>
        <v>43254</v>
      </c>
      <c r="G55" s="11">
        <v>3500</v>
      </c>
      <c r="H55" s="10">
        <v>3</v>
      </c>
      <c r="I55" s="12">
        <f t="shared" si="105"/>
        <v>8.21917808219178E-3</v>
      </c>
      <c r="J55" s="12">
        <v>0</v>
      </c>
      <c r="K55" s="116">
        <v>0.18</v>
      </c>
      <c r="L55" s="13">
        <f>_xll.dnetGBlackScholesNGreeks("price",$Q55,$P55,$G55,$I55,$C$3,$J55,$K55,$C$4)*R55</f>
        <v>51.897508079609906</v>
      </c>
      <c r="M55" s="15"/>
      <c r="N55" s="13">
        <f t="shared" si="106"/>
        <v>0</v>
      </c>
      <c r="O55" s="13">
        <f t="shared" si="107"/>
        <v>51.897508079609906</v>
      </c>
      <c r="P55" s="11">
        <v>3455</v>
      </c>
      <c r="Q55" s="10" t="s">
        <v>85</v>
      </c>
      <c r="R55" s="10">
        <f t="shared" si="108"/>
        <v>1</v>
      </c>
      <c r="S55" s="10" t="s">
        <v>151</v>
      </c>
      <c r="T55" s="14">
        <f t="shared" si="109"/>
        <v>1.5020986419568713E-2</v>
      </c>
      <c r="U55" s="13">
        <f>_xll.dnetGBlackScholesNGreeks("delta",$Q55,$P55,$G55,$I55,$C$3,$J55,$K55,$C$4)*R55</f>
        <v>-0.78359314570661809</v>
      </c>
      <c r="V55" s="13">
        <f>_xll.dnetGBlackScholesNGreeks("vega",$Q55,$P55,$G55,$I55,$C$3,$J55,$K55,$C$4)*R55</f>
        <v>0.91751940353401551</v>
      </c>
      <c r="W55" s="114"/>
      <c r="X55" s="115">
        <v>400</v>
      </c>
      <c r="Y55" s="6">
        <f>X55*U55</f>
        <v>-313.43725828264724</v>
      </c>
    </row>
    <row r="57" spans="1:25" ht="10.5" customHeight="1" x14ac:dyDescent="0.15">
      <c r="A57" s="34"/>
      <c r="B57" s="13" t="s">
        <v>172</v>
      </c>
      <c r="C57" s="10" t="s">
        <v>160</v>
      </c>
      <c r="D57" s="10" t="s">
        <v>246</v>
      </c>
      <c r="E57" s="8">
        <f t="shared" ca="1" si="103"/>
        <v>43251</v>
      </c>
      <c r="F57" s="8">
        <f t="shared" ref="F57:F58" ca="1" si="110">E57+H57</f>
        <v>43280</v>
      </c>
      <c r="G57" s="11">
        <v>53500</v>
      </c>
      <c r="H57" s="10">
        <v>29</v>
      </c>
      <c r="I57" s="12">
        <f t="shared" ref="I57:I58" si="111">H57/365</f>
        <v>7.9452054794520555E-2</v>
      </c>
      <c r="J57" s="12">
        <v>0</v>
      </c>
      <c r="K57" s="116">
        <v>0.12</v>
      </c>
      <c r="L57" s="13">
        <f>_xll.dnetGBlackScholesNGreeks("price",$Q57,$P57,$G57,$I57,$C$3,$J57,$K57,$C$4)*R57</f>
        <v>115.41411183967375</v>
      </c>
      <c r="M57" s="15">
        <v>30</v>
      </c>
      <c r="N57" s="13">
        <f t="shared" ref="N57:N58" si="112">M57/10000*I57*P57</f>
        <v>12.275342465753425</v>
      </c>
      <c r="O57" s="13">
        <f t="shared" ref="O57:O58" si="113">IF(L57&lt;=0,ABS(L57)+N57,L57-N57)</f>
        <v>103.13876937392033</v>
      </c>
      <c r="P57" s="11">
        <v>51500</v>
      </c>
      <c r="Q57" s="10" t="s">
        <v>39</v>
      </c>
      <c r="R57" s="10">
        <f t="shared" ref="R57:R58" si="114">IF(S57="中金买入",1,-1)</f>
        <v>1</v>
      </c>
      <c r="S57" s="10" t="s">
        <v>151</v>
      </c>
      <c r="T57" s="14">
        <f t="shared" ref="T57:T58" si="115">O57/P57</f>
        <v>2.0026945509499091E-3</v>
      </c>
      <c r="U57" s="13">
        <f>_xll.dnetGBlackScholesNGreeks("delta",$Q57,$P57,$G57,$I57,$C$3,$J57,$K57,$C$4)*R57</f>
        <v>0.13339959427867143</v>
      </c>
      <c r="V57" s="13">
        <f>_xll.dnetGBlackScholesNGreeks("vega",$Q57,$P57,$G57,$I57,$C$3,$J57,$K57,$C$4)*R57</f>
        <v>31.165884300774451</v>
      </c>
      <c r="W57" s="114"/>
      <c r="X57" s="115">
        <v>400</v>
      </c>
      <c r="Y57" s="6">
        <f>X57*U57</f>
        <v>53.359837711468572</v>
      </c>
    </row>
    <row r="58" spans="1:25" ht="10.5" customHeight="1" x14ac:dyDescent="0.15">
      <c r="A58" s="34"/>
      <c r="B58" s="13" t="s">
        <v>172</v>
      </c>
      <c r="C58" s="10" t="s">
        <v>160</v>
      </c>
      <c r="D58" s="10" t="s">
        <v>246</v>
      </c>
      <c r="E58" s="8">
        <f t="shared" ca="1" si="103"/>
        <v>43251</v>
      </c>
      <c r="F58" s="8">
        <f t="shared" ca="1" si="110"/>
        <v>43278</v>
      </c>
      <c r="G58" s="11">
        <v>49500</v>
      </c>
      <c r="H58" s="10">
        <v>27</v>
      </c>
      <c r="I58" s="12">
        <f t="shared" si="111"/>
        <v>7.3972602739726029E-2</v>
      </c>
      <c r="J58" s="12">
        <v>0</v>
      </c>
      <c r="K58" s="116">
        <v>0.12</v>
      </c>
      <c r="L58" s="13">
        <f>_xll.dnetGBlackScholesNGreeks("price",$Q58,$P58,$G58,$I58,$C$3,$J58,$K58,$C$4)*R58</f>
        <v>83.4027457277125</v>
      </c>
      <c r="M58" s="15">
        <v>30</v>
      </c>
      <c r="N58" s="13">
        <f t="shared" si="112"/>
        <v>11.442082191780823</v>
      </c>
      <c r="O58" s="13">
        <f t="shared" si="113"/>
        <v>71.960663535931673</v>
      </c>
      <c r="P58" s="11">
        <f>RTD("wdf.rtq",,D58,"LastPrice")</f>
        <v>51560</v>
      </c>
      <c r="Q58" s="10" t="s">
        <v>85</v>
      </c>
      <c r="R58" s="10">
        <f t="shared" si="114"/>
        <v>1</v>
      </c>
      <c r="S58" s="10" t="s">
        <v>151</v>
      </c>
      <c r="T58" s="14">
        <f t="shared" si="115"/>
        <v>1.3956684161352147E-3</v>
      </c>
      <c r="U58" s="13">
        <f>_xll.dnetGBlackScholesNGreeks("delta",$Q58,$P58,$G58,$I58,$C$3,$J58,$K58,$C$4)*R58</f>
        <v>-0.10267554789606947</v>
      </c>
      <c r="V58" s="13">
        <f>_xll.dnetGBlackScholesNGreeks("vega",$Q58,$P58,$G58,$I58,$C$3,$J58,$K58,$C$4)*R58</f>
        <v>25.013442406371269</v>
      </c>
      <c r="W58" s="114"/>
      <c r="X58" s="115">
        <v>400</v>
      </c>
      <c r="Y58" s="6">
        <f>X58*U58</f>
        <v>-41.07021915842779</v>
      </c>
    </row>
    <row r="60" spans="1:25" ht="10.5" customHeight="1" x14ac:dyDescent="0.15">
      <c r="A60" s="34"/>
      <c r="B60" s="13" t="s">
        <v>172</v>
      </c>
      <c r="C60" s="10" t="s">
        <v>160</v>
      </c>
      <c r="D60" s="10" t="s">
        <v>247</v>
      </c>
      <c r="E60" s="8">
        <f t="shared" ca="1" si="103"/>
        <v>43251</v>
      </c>
      <c r="F60" s="8">
        <f t="shared" ref="F60:F61" ca="1" si="116">E60+H60</f>
        <v>43282</v>
      </c>
      <c r="G60" s="11">
        <v>495</v>
      </c>
      <c r="H60" s="10">
        <v>31</v>
      </c>
      <c r="I60" s="12">
        <f t="shared" ref="I60:I61" si="117">H60/365</f>
        <v>8.4931506849315067E-2</v>
      </c>
      <c r="J60" s="12">
        <v>0</v>
      </c>
      <c r="K60" s="116">
        <v>0.27500000000000002</v>
      </c>
      <c r="L60" s="13">
        <f>_xll.dnetGBlackScholesNGreeks("price",$Q60,$P60,$G60,$I60,$C$3,$J60,$K60,$C$4)*R60</f>
        <v>3.7281121224938403</v>
      </c>
      <c r="M60" s="15"/>
      <c r="N60" s="13">
        <f t="shared" ref="N60:N61" si="118">M60/10000*I60*P60</f>
        <v>0</v>
      </c>
      <c r="O60" s="13">
        <f t="shared" ref="O60:O61" si="119">IF(L60&lt;=0,ABS(L60)+N60,L60-N60)</f>
        <v>3.7281121224938403</v>
      </c>
      <c r="P60" s="11">
        <v>460</v>
      </c>
      <c r="Q60" s="10" t="s">
        <v>39</v>
      </c>
      <c r="R60" s="10">
        <f t="shared" ref="R60:R61" si="120">IF(S60="中金买入",1,-1)</f>
        <v>1</v>
      </c>
      <c r="S60" s="10" t="s">
        <v>151</v>
      </c>
      <c r="T60" s="14">
        <f t="shared" ref="T60:T61" si="121">O60/P60</f>
        <v>8.104591570638784E-3</v>
      </c>
      <c r="U60" s="13">
        <f>_xll.dnetGBlackScholesNGreeks("delta",$Q60,$P60,$G60,$I60,$C$3,$J60,$K60,$C$4)*R60</f>
        <v>0.19048202664535552</v>
      </c>
      <c r="V60" s="13">
        <f>_xll.dnetGBlackScholesNGreeks("vega",$Q60,$P60,$G60,$I60,$C$3,$J60,$K60,$C$4)*R60</f>
        <v>0.36396854316031835</v>
      </c>
      <c r="W60" s="114"/>
      <c r="X60" s="115">
        <v>400</v>
      </c>
      <c r="Y60" s="6">
        <f>X60*U60</f>
        <v>76.192810658142207</v>
      </c>
    </row>
    <row r="61" spans="1:25" ht="10.5" customHeight="1" x14ac:dyDescent="0.15">
      <c r="A61" s="34"/>
      <c r="B61" s="13" t="s">
        <v>172</v>
      </c>
      <c r="C61" s="10" t="s">
        <v>160</v>
      </c>
      <c r="D61" s="10" t="s">
        <v>247</v>
      </c>
      <c r="E61" s="8">
        <f t="shared" ca="1" si="103"/>
        <v>43251</v>
      </c>
      <c r="F61" s="8">
        <f t="shared" ca="1" si="116"/>
        <v>43282</v>
      </c>
      <c r="G61" s="11">
        <v>500</v>
      </c>
      <c r="H61" s="10">
        <v>31</v>
      </c>
      <c r="I61" s="12">
        <f t="shared" si="117"/>
        <v>8.4931506849315067E-2</v>
      </c>
      <c r="J61" s="12">
        <v>0</v>
      </c>
      <c r="K61" s="116">
        <v>0.26</v>
      </c>
      <c r="L61" s="13">
        <f>_xll.dnetGBlackScholesNGreeks("price",$Q61,$P61,$G61,$I61,$C$3,$J61,$K61,$C$4)*R61</f>
        <v>2.4860394008728051</v>
      </c>
      <c r="M61" s="15"/>
      <c r="N61" s="13">
        <f t="shared" si="118"/>
        <v>0</v>
      </c>
      <c r="O61" s="13">
        <f t="shared" si="119"/>
        <v>2.4860394008728051</v>
      </c>
      <c r="P61" s="11">
        <v>460</v>
      </c>
      <c r="Q61" s="10" t="s">
        <v>39</v>
      </c>
      <c r="R61" s="10">
        <f t="shared" si="120"/>
        <v>1</v>
      </c>
      <c r="S61" s="10" t="s">
        <v>151</v>
      </c>
      <c r="T61" s="14">
        <f t="shared" si="121"/>
        <v>5.4044334801582718E-3</v>
      </c>
      <c r="U61" s="13">
        <f>_xll.dnetGBlackScholesNGreeks("delta",$Q61,$P61,$G61,$I61,$C$3,$J61,$K61,$C$4)*R61</f>
        <v>0.14374994525425677</v>
      </c>
      <c r="V61" s="13">
        <f>_xll.dnetGBlackScholesNGreeks("vega",$Q61,$P61,$G61,$I61,$C$3,$J61,$K61,$C$4)*R61</f>
        <v>0.30343996845244092</v>
      </c>
      <c r="W61" s="114"/>
      <c r="X61" s="115">
        <v>400</v>
      </c>
      <c r="Y61" s="6">
        <f>X61*U61</f>
        <v>57.499978101702709</v>
      </c>
    </row>
    <row r="63" spans="1:25" ht="10.5" customHeight="1" x14ac:dyDescent="0.15">
      <c r="A63" s="34"/>
      <c r="B63" s="13" t="s">
        <v>172</v>
      </c>
      <c r="C63" s="10" t="s">
        <v>160</v>
      </c>
      <c r="D63" s="10" t="s">
        <v>248</v>
      </c>
      <c r="E63" s="8">
        <f t="shared" ca="1" si="103"/>
        <v>43251</v>
      </c>
      <c r="F63" s="8">
        <f t="shared" ref="F63" ca="1" si="122">E63+H63</f>
        <v>43373</v>
      </c>
      <c r="G63" s="11">
        <v>100</v>
      </c>
      <c r="H63" s="10">
        <v>122</v>
      </c>
      <c r="I63" s="12">
        <f t="shared" ref="I63" si="123">H63/365</f>
        <v>0.33424657534246577</v>
      </c>
      <c r="J63" s="12">
        <v>0</v>
      </c>
      <c r="K63" s="116">
        <v>0.1125</v>
      </c>
      <c r="L63" s="13">
        <f>_xll.dnetGBlackScholesNGreeks("price",$Q63,$P63,$G63,$I63,$C$3,$J63,$K63,$C$4)*R63</f>
        <v>-2.5770111518076675</v>
      </c>
      <c r="M63" s="15"/>
      <c r="N63" s="13">
        <f t="shared" ref="N63" si="124">M63/10000*I63*P63</f>
        <v>0</v>
      </c>
      <c r="O63" s="13">
        <f t="shared" ref="O63" si="125">IF(L63&lt;=0,ABS(L63)+N63,L63-N63)</f>
        <v>2.5770111518076675</v>
      </c>
      <c r="P63" s="11">
        <v>100</v>
      </c>
      <c r="Q63" s="10" t="s">
        <v>85</v>
      </c>
      <c r="R63" s="10">
        <f t="shared" ref="R63" si="126">IF(S63="中金买入",1,-1)</f>
        <v>-1</v>
      </c>
      <c r="S63" s="10" t="s">
        <v>20</v>
      </c>
      <c r="T63" s="14">
        <f t="shared" ref="T63" si="127">O63/P63</f>
        <v>2.5770111518076674E-2</v>
      </c>
      <c r="U63" s="13">
        <f>_xll.dnetGBlackScholesNGreeks("delta",$Q63,$P63,$G63,$I63,$C$3,$J63,$K63,$C$4)*R63</f>
        <v>0.48378364093615289</v>
      </c>
      <c r="V63" s="13">
        <f>_xll.dnetGBlackScholesNGreeks("vega",$Q63,$P63,$G63,$I63,$C$3,$J63,$K63,$C$4)*R63</f>
        <v>-0.22898659852072001</v>
      </c>
      <c r="W63" s="114"/>
      <c r="X63" s="115">
        <v>400</v>
      </c>
      <c r="Y63" s="6">
        <f>X63*U63</f>
        <v>193.51345637446116</v>
      </c>
    </row>
    <row r="64" spans="1:25" ht="10.5" customHeight="1" x14ac:dyDescent="0.15">
      <c r="A64" s="34"/>
      <c r="B64" s="13" t="s">
        <v>172</v>
      </c>
      <c r="C64" s="10" t="s">
        <v>160</v>
      </c>
      <c r="D64" s="10" t="s">
        <v>248</v>
      </c>
      <c r="E64" s="8">
        <f t="shared" ca="1" si="103"/>
        <v>43251</v>
      </c>
      <c r="F64" s="8">
        <f t="shared" ref="F64" ca="1" si="128">E64+H64</f>
        <v>43373</v>
      </c>
      <c r="G64" s="11">
        <v>100</v>
      </c>
      <c r="H64" s="10">
        <v>122</v>
      </c>
      <c r="I64" s="12">
        <f t="shared" ref="I64" si="129">H64/365</f>
        <v>0.33424657534246577</v>
      </c>
      <c r="J64" s="12">
        <v>0</v>
      </c>
      <c r="K64" s="116">
        <v>0.115</v>
      </c>
      <c r="L64" s="13">
        <f>_xll.dnetGBlackScholesNGreeks("price",$Q64,$P64,$G64,$I64,$C$3,$J64,$K64,$C$4)*R64</f>
        <v>-2.6342572034049425</v>
      </c>
      <c r="M64" s="15"/>
      <c r="N64" s="13">
        <f t="shared" ref="N64" si="130">M64/10000*I64*P64</f>
        <v>0</v>
      </c>
      <c r="O64" s="13">
        <f t="shared" ref="O64" si="131">IF(L64&lt;=0,ABS(L64)+N64,L64-N64)</f>
        <v>2.6342572034049425</v>
      </c>
      <c r="P64" s="11">
        <v>100</v>
      </c>
      <c r="Q64" s="10" t="s">
        <v>85</v>
      </c>
      <c r="R64" s="10">
        <f t="shared" ref="R64" si="132">IF(S64="中金买入",1,-1)</f>
        <v>-1</v>
      </c>
      <c r="S64" s="10" t="s">
        <v>20</v>
      </c>
      <c r="T64" s="14">
        <f t="shared" ref="T64" si="133">O64/P64</f>
        <v>2.6342572034049425E-2</v>
      </c>
      <c r="U64" s="13">
        <f>_xll.dnetGBlackScholesNGreeks("delta",$Q64,$P64,$G64,$I64,$C$3,$J64,$K64,$C$4)*R64</f>
        <v>0.48349741034741101</v>
      </c>
      <c r="V64" s="13">
        <f>_xll.dnetGBlackScholesNGreeks("vega",$Q64,$P64,$G64,$I64,$C$3,$J64,$K64,$C$4)*R64</f>
        <v>-0.22898115722805912</v>
      </c>
      <c r="W64" s="114"/>
      <c r="X64" s="115">
        <v>400</v>
      </c>
      <c r="Y64" s="6">
        <f>X64*U64</f>
        <v>193.3989641389644</v>
      </c>
    </row>
    <row r="65" spans="1:25" ht="12" customHeight="1" x14ac:dyDescent="0.15"/>
    <row r="66" spans="1:25" ht="10.5" customHeight="1" x14ac:dyDescent="0.15">
      <c r="A66" s="34"/>
      <c r="B66" s="13" t="s">
        <v>172</v>
      </c>
      <c r="C66" s="10" t="s">
        <v>160</v>
      </c>
      <c r="D66" s="10" t="s">
        <v>233</v>
      </c>
      <c r="E66" s="8">
        <f t="shared" ca="1" si="103"/>
        <v>43251</v>
      </c>
      <c r="F66" s="8">
        <f t="shared" ref="F66:F68" ca="1" si="134">E66+H66</f>
        <v>43294</v>
      </c>
      <c r="G66" s="11">
        <v>14500</v>
      </c>
      <c r="H66" s="10">
        <v>43</v>
      </c>
      <c r="I66" s="12">
        <f t="shared" ref="I66:I68" si="135">H66/365</f>
        <v>0.11780821917808219</v>
      </c>
      <c r="J66" s="12">
        <v>0</v>
      </c>
      <c r="K66" s="116">
        <v>0.13</v>
      </c>
      <c r="L66" s="13">
        <f>_xll.dnetGBlackScholesNGreeks("price",$Q66,$P66,$G66,$I66,$C$3,$J66,$K66,$C$4)*R66</f>
        <v>182.9784557862813</v>
      </c>
      <c r="M66" s="15">
        <v>30</v>
      </c>
      <c r="N66" s="13">
        <f t="shared" ref="N66:N68" si="136">M66/10000*I66*P66</f>
        <v>5.1847397260273977</v>
      </c>
      <c r="O66" s="13">
        <f t="shared" ref="O66:O68" si="137">IF(L66&lt;=0,ABS(L66)+N66,L66-N66)</f>
        <v>177.7937160602539</v>
      </c>
      <c r="P66" s="11">
        <f>RTD("wdf.rtq",,D66,"LastPrice")</f>
        <v>14670</v>
      </c>
      <c r="Q66" s="10" t="s">
        <v>85</v>
      </c>
      <c r="R66" s="10">
        <f t="shared" ref="R66:R68" si="138">IF(S66="中金买入",1,-1)</f>
        <v>1</v>
      </c>
      <c r="S66" s="10" t="s">
        <v>151</v>
      </c>
      <c r="T66" s="14">
        <f t="shared" ref="T66:T68" si="139">O66/P66</f>
        <v>1.2119544380385405E-2</v>
      </c>
      <c r="U66" s="13">
        <f>_xll.dnetGBlackScholesNGreeks("delta",$Q66,$P66,$G66,$I66,$C$3,$J66,$K66,$C$4)*R66</f>
        <v>-0.38746897957935289</v>
      </c>
      <c r="V66" s="13">
        <f>_xll.dnetGBlackScholesNGreeks("vega",$Q66,$P66,$G66,$I66,$C$3,$J66,$K66,$C$4)*R66</f>
        <v>19.246920274060813</v>
      </c>
      <c r="W66" s="114"/>
      <c r="X66" s="115">
        <v>400</v>
      </c>
      <c r="Y66" s="6">
        <f>X66*U66</f>
        <v>-154.98759183174116</v>
      </c>
    </row>
    <row r="67" spans="1:25" ht="10.5" customHeight="1" x14ac:dyDescent="0.15">
      <c r="A67" s="34"/>
      <c r="B67" s="13" t="s">
        <v>172</v>
      </c>
      <c r="C67" s="10" t="s">
        <v>160</v>
      </c>
      <c r="D67" s="10" t="s">
        <v>231</v>
      </c>
      <c r="E67" s="8">
        <f t="shared" ca="1" si="103"/>
        <v>43251</v>
      </c>
      <c r="F67" s="8">
        <f t="shared" ca="1" si="134"/>
        <v>43325</v>
      </c>
      <c r="G67" s="11">
        <v>14500</v>
      </c>
      <c r="H67" s="10">
        <v>74</v>
      </c>
      <c r="I67" s="12">
        <f t="shared" si="135"/>
        <v>0.20273972602739726</v>
      </c>
      <c r="J67" s="12">
        <v>0</v>
      </c>
      <c r="K67" s="116">
        <v>0.13</v>
      </c>
      <c r="L67" s="13">
        <f>_xll.dnetGBlackScholesNGreeks("price",$Q67,$P67,$G67,$I67,$C$3,$J67,$K67,$C$4)*R67</f>
        <v>231.86111817349411</v>
      </c>
      <c r="M67" s="15">
        <v>30</v>
      </c>
      <c r="N67" s="13">
        <f t="shared" si="136"/>
        <v>8.9681917808219183</v>
      </c>
      <c r="O67" s="13">
        <f t="shared" si="137"/>
        <v>222.89292639267219</v>
      </c>
      <c r="P67" s="11">
        <f>RTD("wdf.rtq",,D67,"LastPrice")</f>
        <v>14745</v>
      </c>
      <c r="Q67" s="10" t="s">
        <v>85</v>
      </c>
      <c r="R67" s="10">
        <f t="shared" si="138"/>
        <v>1</v>
      </c>
      <c r="S67" s="10" t="s">
        <v>151</v>
      </c>
      <c r="T67" s="14">
        <f t="shared" si="139"/>
        <v>1.5116509080547453E-2</v>
      </c>
      <c r="U67" s="13">
        <f>_xll.dnetGBlackScholesNGreeks("delta",$Q67,$P67,$G67,$I67,$C$3,$J67,$K67,$C$4)*R67</f>
        <v>-0.37466310550371418</v>
      </c>
      <c r="V67" s="13">
        <f>_xll.dnetGBlackScholesNGreeks("vega",$Q67,$P67,$G67,$I67,$C$3,$J67,$K67,$C$4)*R67</f>
        <v>25.092443523190923</v>
      </c>
      <c r="W67" s="114"/>
      <c r="X67" s="115">
        <v>400</v>
      </c>
      <c r="Y67" s="6">
        <f>X67*U67</f>
        <v>-149.86524220148567</v>
      </c>
    </row>
    <row r="68" spans="1:25" ht="10.5" customHeight="1" x14ac:dyDescent="0.15">
      <c r="A68" s="34"/>
      <c r="B68" s="13" t="s">
        <v>172</v>
      </c>
      <c r="C68" s="10" t="s">
        <v>160</v>
      </c>
      <c r="D68" s="10" t="s">
        <v>251</v>
      </c>
      <c r="E68" s="8">
        <f t="shared" ca="1" si="103"/>
        <v>43251</v>
      </c>
      <c r="F68" s="8">
        <f t="shared" ca="1" si="134"/>
        <v>43294</v>
      </c>
      <c r="G68" s="11">
        <v>14500</v>
      </c>
      <c r="H68" s="10">
        <v>43</v>
      </c>
      <c r="I68" s="12">
        <f t="shared" si="135"/>
        <v>0.11780821917808219</v>
      </c>
      <c r="J68" s="12">
        <v>0</v>
      </c>
      <c r="K68" s="116">
        <v>0.13</v>
      </c>
      <c r="L68" s="13">
        <f>_xll.dnetGBlackScholesNGreeks("price",$Q68,$P68,$G68,$I68,$C$3,$J68,$K68,$C$4)*R68</f>
        <v>128.22909692829035</v>
      </c>
      <c r="M68" s="15">
        <v>30</v>
      </c>
      <c r="N68" s="13">
        <f t="shared" si="136"/>
        <v>5.2412876712328771</v>
      </c>
      <c r="O68" s="13">
        <f t="shared" si="137"/>
        <v>122.98780925705746</v>
      </c>
      <c r="P68" s="11">
        <f>RTD("wdf.rtq",,D68,"LastPrice")</f>
        <v>14830</v>
      </c>
      <c r="Q68" s="10" t="s">
        <v>85</v>
      </c>
      <c r="R68" s="10">
        <f t="shared" si="138"/>
        <v>1</v>
      </c>
      <c r="S68" s="10" t="s">
        <v>151</v>
      </c>
      <c r="T68" s="14">
        <f t="shared" si="139"/>
        <v>8.2931766188170906E-3</v>
      </c>
      <c r="U68" s="13">
        <f>_xll.dnetGBlackScholesNGreeks("delta",$Q68,$P68,$G68,$I68,$C$3,$J68,$K68,$C$4)*R68</f>
        <v>-0.29851588096789783</v>
      </c>
      <c r="V68" s="13">
        <f>_xll.dnetGBlackScholesNGreeks("vega",$Q68,$P68,$G68,$I68,$C$3,$J68,$K68,$C$4)*R68</f>
        <v>17.623330275526769</v>
      </c>
      <c r="W68" s="114"/>
      <c r="X68" s="115">
        <v>400</v>
      </c>
      <c r="Y68" s="6">
        <f>X68*U68</f>
        <v>-119.40635238715913</v>
      </c>
    </row>
    <row r="69" spans="1:25" x14ac:dyDescent="0.15">
      <c r="H69" s="121"/>
      <c r="I69" s="121"/>
    </row>
    <row r="70" spans="1:25" ht="10.5" customHeight="1" x14ac:dyDescent="0.15">
      <c r="A70" s="34"/>
      <c r="B70" s="13" t="s">
        <v>172</v>
      </c>
      <c r="C70" s="10" t="s">
        <v>160</v>
      </c>
      <c r="D70" s="10" t="s">
        <v>250</v>
      </c>
      <c r="E70" s="8">
        <f t="shared" ca="1" si="103"/>
        <v>43251</v>
      </c>
      <c r="F70" s="8">
        <f t="shared" ref="F70:F71" ca="1" si="140">E70+H70</f>
        <v>43312</v>
      </c>
      <c r="G70" s="11">
        <v>2090</v>
      </c>
      <c r="H70" s="10">
        <v>61</v>
      </c>
      <c r="I70" s="12">
        <f t="shared" ref="I70:I71" si="141">H70/365</f>
        <v>0.16712328767123288</v>
      </c>
      <c r="J70" s="12">
        <v>0</v>
      </c>
      <c r="K70" s="116">
        <v>0.375</v>
      </c>
      <c r="L70" s="13">
        <f>_xll.dnetGBlackScholesNGreeks("price",$Q70,$P70,$G70,$I70,$C$3,$J70,$K70,$C$4)*R70</f>
        <v>-129.86307802255146</v>
      </c>
      <c r="M70" s="15"/>
      <c r="N70" s="13">
        <f t="shared" ref="N70:N71" si="142">M70/10000*I70*P70</f>
        <v>0</v>
      </c>
      <c r="O70" s="13">
        <f t="shared" ref="O70:O71" si="143">IF(L70&lt;=0,ABS(L70)+N70,L70-N70)</f>
        <v>129.86307802255146</v>
      </c>
      <c r="P70" s="11">
        <f>RTD("wdf.rtq",,D70,"LastPrice")</f>
        <v>2084.5</v>
      </c>
      <c r="Q70" s="10" t="s">
        <v>85</v>
      </c>
      <c r="R70" s="10">
        <f t="shared" ref="R70:R71" si="144">IF(S70="中金买入",1,-1)</f>
        <v>-1</v>
      </c>
      <c r="S70" s="10" t="s">
        <v>20</v>
      </c>
      <c r="T70" s="14">
        <f t="shared" ref="T70:T71" si="145">O70/P70</f>
        <v>6.2299389792540877E-2</v>
      </c>
      <c r="U70" s="13">
        <f>_xll.dnetGBlackScholesNGreeks("delta",$Q70,$P70,$G70,$I70,$C$3,$J70,$K70,$C$4)*R70</f>
        <v>0.47470241128735324</v>
      </c>
      <c r="V70" s="13">
        <f>_xll.dnetGBlackScholesNGreeks("vega",$Q70,$P70,$G70,$I70,$C$3,$J70,$K70,$C$4)*R70</f>
        <v>-3.3822888568589065</v>
      </c>
      <c r="W70" s="114"/>
      <c r="X70" s="115">
        <v>400</v>
      </c>
      <c r="Y70" s="6">
        <f>X70*U70</f>
        <v>189.8809645149413</v>
      </c>
    </row>
    <row r="71" spans="1:25" ht="10.5" customHeight="1" x14ac:dyDescent="0.15">
      <c r="A71" s="34"/>
      <c r="B71" s="13" t="s">
        <v>172</v>
      </c>
      <c r="C71" s="10" t="s">
        <v>160</v>
      </c>
      <c r="D71" s="10" t="s">
        <v>250</v>
      </c>
      <c r="E71" s="8">
        <f t="shared" ca="1" si="103"/>
        <v>43251</v>
      </c>
      <c r="F71" s="8">
        <f t="shared" ca="1" si="140"/>
        <v>43312</v>
      </c>
      <c r="G71" s="11">
        <v>2000</v>
      </c>
      <c r="H71" s="10">
        <v>61</v>
      </c>
      <c r="I71" s="12">
        <f t="shared" si="141"/>
        <v>0.16712328767123288</v>
      </c>
      <c r="J71" s="12">
        <v>0</v>
      </c>
      <c r="K71" s="116">
        <v>0.38</v>
      </c>
      <c r="L71" s="13">
        <f>_xll.dnetGBlackScholesNGreeks("price",$Q71,$P71,$G71,$I71,$C$3,$J71,$K71,$C$4)*R71</f>
        <v>-88.344246266038112</v>
      </c>
      <c r="M71" s="15"/>
      <c r="N71" s="13">
        <f t="shared" si="142"/>
        <v>0</v>
      </c>
      <c r="O71" s="13">
        <f t="shared" si="143"/>
        <v>88.344246266038112</v>
      </c>
      <c r="P71" s="11">
        <f>RTD("wdf.rtq",,D71,"LastPrice")</f>
        <v>2084.5</v>
      </c>
      <c r="Q71" s="10" t="s">
        <v>85</v>
      </c>
      <c r="R71" s="10">
        <f t="shared" si="144"/>
        <v>-1</v>
      </c>
      <c r="S71" s="10" t="s">
        <v>20</v>
      </c>
      <c r="T71" s="14">
        <f t="shared" si="145"/>
        <v>4.2381504565141816E-2</v>
      </c>
      <c r="U71" s="13">
        <f>_xll.dnetGBlackScholesNGreeks("delta",$Q71,$P71,$G71,$I71,$C$3,$J71,$K71,$C$4)*R71</f>
        <v>0.36418237373823104</v>
      </c>
      <c r="V71" s="13">
        <f>_xll.dnetGBlackScholesNGreeks("vega",$Q71,$P71,$G71,$I71,$C$3,$J71,$K71,$C$4)*R71</f>
        <v>-3.1934726567525331</v>
      </c>
      <c r="W71" s="114"/>
      <c r="X71" s="115">
        <v>400</v>
      </c>
      <c r="Y71" s="6">
        <f>X71*U71</f>
        <v>145.67294949529241</v>
      </c>
    </row>
    <row r="73" spans="1:25" ht="10.5" customHeight="1" x14ac:dyDescent="0.15">
      <c r="A73" s="34"/>
      <c r="B73" s="13" t="s">
        <v>172</v>
      </c>
      <c r="C73" s="10" t="s">
        <v>160</v>
      </c>
      <c r="D73" s="10" t="s">
        <v>250</v>
      </c>
      <c r="E73" s="8">
        <f t="shared" ca="1" si="103"/>
        <v>43251</v>
      </c>
      <c r="F73" s="8">
        <f t="shared" ref="F73" ca="1" si="146">E73+H73</f>
        <v>43284</v>
      </c>
      <c r="G73" s="11">
        <f>P73</f>
        <v>2084.5</v>
      </c>
      <c r="H73" s="10">
        <v>33</v>
      </c>
      <c r="I73" s="12">
        <f t="shared" ref="I73" si="147">H73/365</f>
        <v>9.0410958904109592E-2</v>
      </c>
      <c r="J73" s="12">
        <v>0</v>
      </c>
      <c r="K73" s="116">
        <v>0.34</v>
      </c>
      <c r="L73" s="13">
        <f>_xll.dnetGBlackScholesNGreeks("price",$Q73,$P73,$G73,$I73,$C$3,$J73,$K73,$C$4)*R73</f>
        <v>-84.825616954526481</v>
      </c>
      <c r="M73" s="15"/>
      <c r="N73" s="13">
        <f t="shared" ref="N73" si="148">M73/10000*I73*P73</f>
        <v>0</v>
      </c>
      <c r="O73" s="13">
        <f t="shared" ref="O73" si="149">IF(L73&lt;=0,ABS(L73)+N73,L73-N73)</f>
        <v>84.825616954526481</v>
      </c>
      <c r="P73" s="11">
        <f>RTD("wdf.rtq",,D73,"LastPrice")</f>
        <v>2084.5</v>
      </c>
      <c r="Q73" s="10" t="s">
        <v>85</v>
      </c>
      <c r="R73" s="10">
        <f t="shared" ref="R73" si="150">IF(S73="中金买入",1,-1)</f>
        <v>-1</v>
      </c>
      <c r="S73" s="10" t="s">
        <v>20</v>
      </c>
      <c r="T73" s="14">
        <f t="shared" ref="T73" si="151">O73/P73</f>
        <v>4.0693507773819373E-2</v>
      </c>
      <c r="U73" s="13">
        <f>_xll.dnetGBlackScholesNGreeks("delta",$Q73,$P73,$G73,$I73,$C$3,$J73,$K73,$C$4)*R73</f>
        <v>0.47874995349275196</v>
      </c>
      <c r="V73" s="13">
        <f>_xll.dnetGBlackScholesNGreeks("vega",$Q73,$P73,$G73,$I73,$C$3,$J73,$K73,$C$4)*R73</f>
        <v>-2.492697977052444</v>
      </c>
      <c r="W73" s="114"/>
      <c r="X73" s="115">
        <v>400</v>
      </c>
      <c r="Y73" s="6">
        <f>X73*U73</f>
        <v>191.49998139710078</v>
      </c>
    </row>
    <row r="75" spans="1:25" ht="10.5" customHeight="1" x14ac:dyDescent="0.15">
      <c r="A75" s="34"/>
      <c r="B75" s="13" t="s">
        <v>172</v>
      </c>
      <c r="C75" s="10" t="s">
        <v>160</v>
      </c>
      <c r="D75" s="10" t="s">
        <v>202</v>
      </c>
      <c r="E75" s="8">
        <f t="shared" ca="1" si="103"/>
        <v>43251</v>
      </c>
      <c r="F75" s="8">
        <f t="shared" ref="F75:F77" ca="1" si="152">E75+H75</f>
        <v>43294</v>
      </c>
      <c r="G75" s="11">
        <v>14500</v>
      </c>
      <c r="H75" s="10">
        <v>43</v>
      </c>
      <c r="I75" s="12">
        <f t="shared" ref="I75:I77" si="153">H75/365</f>
        <v>0.11780821917808219</v>
      </c>
      <c r="J75" s="12">
        <v>0</v>
      </c>
      <c r="K75" s="116">
        <v>0.13</v>
      </c>
      <c r="L75" s="13">
        <f>_xll.dnetGBlackScholesNGreeks("price",$Q75,$P75,$G75,$I75,$C$3,$J75,$K75,$C$4)*R75</f>
        <v>182.9784557862813</v>
      </c>
      <c r="M75" s="15">
        <v>30</v>
      </c>
      <c r="N75" s="13">
        <f t="shared" ref="N75:N77" si="154">M75/10000*I75*P75</f>
        <v>5.1847397260273977</v>
      </c>
      <c r="O75" s="13">
        <f t="shared" ref="O75:O77" si="155">IF(L75&lt;=0,ABS(L75)+N75,L75-N75)</f>
        <v>177.7937160602539</v>
      </c>
      <c r="P75" s="11">
        <f>RTD("wdf.rtq",,D75,"LastPrice")</f>
        <v>14670</v>
      </c>
      <c r="Q75" s="10" t="s">
        <v>85</v>
      </c>
      <c r="R75" s="10">
        <f t="shared" ref="R75:R77" si="156">IF(S75="中金买入",1,-1)</f>
        <v>1</v>
      </c>
      <c r="S75" s="10" t="s">
        <v>151</v>
      </c>
      <c r="T75" s="14">
        <f t="shared" ref="T75:T77" si="157">O75/P75</f>
        <v>1.2119544380385405E-2</v>
      </c>
      <c r="U75" s="13">
        <f>_xll.dnetGBlackScholesNGreeks("delta",$Q75,$P75,$G75,$I75,$C$3,$J75,$K75,$C$4)*R75</f>
        <v>-0.38746897957935289</v>
      </c>
      <c r="V75" s="13">
        <f>_xll.dnetGBlackScholesNGreeks("vega",$Q75,$P75,$G75,$I75,$C$3,$J75,$K75,$C$4)*R75</f>
        <v>19.246920274060813</v>
      </c>
      <c r="W75" s="114"/>
      <c r="X75" s="115">
        <v>400</v>
      </c>
      <c r="Y75" s="6">
        <f>X75*U75</f>
        <v>-154.98759183174116</v>
      </c>
    </row>
    <row r="76" spans="1:25" ht="10.5" customHeight="1" x14ac:dyDescent="0.15">
      <c r="A76" s="34"/>
      <c r="B76" s="13" t="s">
        <v>172</v>
      </c>
      <c r="C76" s="10" t="s">
        <v>160</v>
      </c>
      <c r="D76" s="10" t="s">
        <v>231</v>
      </c>
      <c r="E76" s="8">
        <f t="shared" ca="1" si="103"/>
        <v>43251</v>
      </c>
      <c r="F76" s="8">
        <f t="shared" ca="1" si="152"/>
        <v>43325</v>
      </c>
      <c r="G76" s="11">
        <v>14400</v>
      </c>
      <c r="H76" s="10">
        <v>74</v>
      </c>
      <c r="I76" s="12">
        <f t="shared" si="153"/>
        <v>0.20273972602739726</v>
      </c>
      <c r="J76" s="12">
        <v>0</v>
      </c>
      <c r="K76" s="116">
        <v>0.13</v>
      </c>
      <c r="L76" s="13">
        <f>_xll.dnetGBlackScholesNGreeks("price",$Q76,$P76,$G76,$I76,$C$3,$J76,$K76,$C$4)*R76</f>
        <v>156.23745391153716</v>
      </c>
      <c r="M76" s="15">
        <v>30</v>
      </c>
      <c r="N76" s="13">
        <f t="shared" si="154"/>
        <v>9.0442191780821926</v>
      </c>
      <c r="O76" s="13">
        <f t="shared" si="155"/>
        <v>147.19323473345497</v>
      </c>
      <c r="P76" s="11">
        <v>14870</v>
      </c>
      <c r="Q76" s="10" t="s">
        <v>85</v>
      </c>
      <c r="R76" s="10">
        <f t="shared" si="156"/>
        <v>1</v>
      </c>
      <c r="S76" s="10" t="s">
        <v>151</v>
      </c>
      <c r="T76" s="14">
        <f t="shared" si="157"/>
        <v>9.8986707957938787E-3</v>
      </c>
      <c r="U76" s="13">
        <f>_xll.dnetGBlackScholesNGreeks("delta",$Q76,$P76,$G76,$I76,$C$3,$J76,$K76,$C$4)*R76</f>
        <v>-0.28050564492332342</v>
      </c>
      <c r="V76" s="13">
        <f>_xll.dnetGBlackScholesNGreeks("vega",$Q76,$P76,$G76,$I76,$C$3,$J76,$K76,$C$4)*R76</f>
        <v>22.492809757810392</v>
      </c>
      <c r="W76" s="114"/>
      <c r="X76" s="115">
        <v>400</v>
      </c>
      <c r="Y76" s="6">
        <f>X76*U76</f>
        <v>-112.20225796932937</v>
      </c>
    </row>
    <row r="77" spans="1:25" ht="10.5" customHeight="1" x14ac:dyDescent="0.15">
      <c r="A77" s="34"/>
      <c r="B77" s="13" t="s">
        <v>172</v>
      </c>
      <c r="C77" s="10" t="s">
        <v>160</v>
      </c>
      <c r="D77" s="10" t="s">
        <v>251</v>
      </c>
      <c r="E77" s="8">
        <f t="shared" ca="1" si="103"/>
        <v>43251</v>
      </c>
      <c r="F77" s="8">
        <f t="shared" ca="1" si="152"/>
        <v>43294</v>
      </c>
      <c r="G77" s="11">
        <v>14500</v>
      </c>
      <c r="H77" s="10">
        <v>43</v>
      </c>
      <c r="I77" s="12">
        <f t="shared" si="153"/>
        <v>0.11780821917808219</v>
      </c>
      <c r="J77" s="12">
        <v>0</v>
      </c>
      <c r="K77" s="116">
        <v>0.13</v>
      </c>
      <c r="L77" s="13">
        <f>_xll.dnetGBlackScholesNGreeks("price",$Q77,$P77,$G77,$I77,$C$3,$J77,$K77,$C$4)*R77</f>
        <v>128.22909692829035</v>
      </c>
      <c r="M77" s="15">
        <v>30</v>
      </c>
      <c r="N77" s="13">
        <f t="shared" si="154"/>
        <v>5.2412876712328771</v>
      </c>
      <c r="O77" s="13">
        <f t="shared" si="155"/>
        <v>122.98780925705746</v>
      </c>
      <c r="P77" s="11">
        <f>RTD("wdf.rtq",,D77,"LastPrice")</f>
        <v>14830</v>
      </c>
      <c r="Q77" s="10" t="s">
        <v>85</v>
      </c>
      <c r="R77" s="10">
        <f t="shared" si="156"/>
        <v>1</v>
      </c>
      <c r="S77" s="10" t="s">
        <v>151</v>
      </c>
      <c r="T77" s="14">
        <f t="shared" si="157"/>
        <v>8.2931766188170906E-3</v>
      </c>
      <c r="U77" s="13">
        <f>_xll.dnetGBlackScholesNGreeks("delta",$Q77,$P77,$G77,$I77,$C$3,$J77,$K77,$C$4)*R77</f>
        <v>-0.29851588096789783</v>
      </c>
      <c r="V77" s="13">
        <f>_xll.dnetGBlackScholesNGreeks("vega",$Q77,$P77,$G77,$I77,$C$3,$J77,$K77,$C$4)*R77</f>
        <v>17.623330275526769</v>
      </c>
      <c r="W77" s="114"/>
      <c r="X77" s="115">
        <v>400</v>
      </c>
      <c r="Y77" s="6">
        <f>X77*U77</f>
        <v>-119.40635238715913</v>
      </c>
    </row>
    <row r="79" spans="1:25" ht="10.5" customHeight="1" x14ac:dyDescent="0.15">
      <c r="A79" s="34"/>
      <c r="B79" s="13" t="s">
        <v>172</v>
      </c>
      <c r="C79" s="10" t="s">
        <v>160</v>
      </c>
      <c r="D79" s="10" t="s">
        <v>202</v>
      </c>
      <c r="E79" s="8">
        <f t="shared" ca="1" si="103"/>
        <v>43251</v>
      </c>
      <c r="F79" s="8">
        <f t="shared" ref="F79" ca="1" si="158">E79+H79</f>
        <v>43294</v>
      </c>
      <c r="G79" s="11">
        <v>14500</v>
      </c>
      <c r="H79" s="10">
        <v>43</v>
      </c>
      <c r="I79" s="12">
        <f t="shared" ref="I79" si="159">H79/365</f>
        <v>0.11780821917808219</v>
      </c>
      <c r="J79" s="12">
        <v>0</v>
      </c>
      <c r="K79" s="116">
        <v>0.1275</v>
      </c>
      <c r="L79" s="13">
        <f>_xll.dnetGBlackScholesNGreeks("price",$Q79,$P79,$G79,$I79,$C$3,$J79,$K79,$C$4)*R79</f>
        <v>178.1689636289484</v>
      </c>
      <c r="M79" s="15"/>
      <c r="N79" s="13">
        <f t="shared" ref="N79" si="160">M79/10000*I79*P79</f>
        <v>0</v>
      </c>
      <c r="O79" s="13">
        <f t="shared" ref="O79" si="161">IF(L79&lt;=0,ABS(L79)+N79,L79-N79)</f>
        <v>178.1689636289484</v>
      </c>
      <c r="P79" s="11">
        <f>RTD("wdf.rtq",,D79,"LastPrice")</f>
        <v>14670</v>
      </c>
      <c r="Q79" s="10" t="s">
        <v>85</v>
      </c>
      <c r="R79" s="10">
        <f t="shared" ref="R79" si="162">IF(S79="中金买入",1,-1)</f>
        <v>1</v>
      </c>
      <c r="S79" s="10" t="s">
        <v>151</v>
      </c>
      <c r="T79" s="14">
        <f t="shared" ref="T79" si="163">O79/P79</f>
        <v>1.2145123628421841E-2</v>
      </c>
      <c r="U79" s="13">
        <f>_xll.dnetGBlackScholesNGreeks("delta",$Q79,$P79,$G79,$I79,$C$3,$J79,$K79,$C$4)*R79</f>
        <v>-0.38567592632716696</v>
      </c>
      <c r="V79" s="13">
        <f>_xll.dnetGBlackScholesNGreeks("vega",$Q79,$P79,$G79,$I79,$C$3,$J79,$K79,$C$4)*R79</f>
        <v>19.220809655752873</v>
      </c>
      <c r="W79" s="114"/>
      <c r="X79" s="115">
        <v>400</v>
      </c>
      <c r="Y79" s="6">
        <f>X79*U79</f>
        <v>-154.27037053086678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S12:S14 S17:S21 S23:S28 S30:S34 S36:S40 S52:S55 S42:S49 S57:S58 S60:S61 S63:S64 S66:S68 S70:S71 S73 S75:S77 S79</xm:sqref>
        </x14:dataValidation>
        <x14:dataValidation type="list" allowBlank="1" showInputMessage="1" showErrorMessage="1">
          <x14:formula1>
            <xm:f>configs!$C$1:$C$2</xm:f>
          </x14:formula1>
          <xm:sqref>Q8:Q9 Q12:Q14 Q17:Q21 Q23:Q28 Q30:Q34 Q36:Q40 Q52:Q55 Q42:Q49 Q57:Q58 Q60:Q61 Q63:Q64 Q66:Q68 Q70:Q71 Q73 Q75:Q77 Q79</xm:sqref>
        </x14:dataValidation>
        <x14:dataValidation type="list" allowBlank="1" showInputMessage="1">
          <x14:formula1>
            <xm:f>configs!$A$1:$A$36</xm:f>
          </x14:formula1>
          <xm:sqref>C8:C9 C12:C14 C17:C21 C23:C28 C30:C34 C36:C40 C52:C55 C42:C49 C57:C58 C60:C61 C63:C64 C66:C68 C70:C71 C73 C75:C77 C79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N29" sqref="N2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6" t="s">
        <v>37</v>
      </c>
      <c r="C1" s="145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43251</v>
      </c>
      <c r="F8" s="46">
        <f ca="1">E8+H8</f>
        <v>43281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43251</v>
      </c>
      <c r="F9" s="54">
        <f ca="1">F8</f>
        <v>43281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43251</v>
      </c>
      <c r="F10" s="62">
        <f ca="1">F9</f>
        <v>43281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201</v>
      </c>
      <c r="E11" s="46">
        <f ca="1">TODAY()</f>
        <v>43251</v>
      </c>
      <c r="F11" s="46">
        <f ca="1">E11+H11</f>
        <v>43266</v>
      </c>
      <c r="G11" s="113">
        <f>P11-20</f>
        <v>442.5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-3.7510711663684617</v>
      </c>
      <c r="M11" s="49"/>
      <c r="N11" s="43"/>
      <c r="O11" s="43">
        <f t="shared" ref="O11:O13" si="1">IF(L11&lt;=0,ABS(L11)+N11,L11-N11)</f>
        <v>3.7510711663684617</v>
      </c>
      <c r="P11" s="110">
        <f>RTD("wdf.rtq",,D11,"LastPrice")</f>
        <v>462.5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0.22425474818206226</v>
      </c>
      <c r="V11" s="43">
        <f>_xll.dnetGBlackScholesNGreeks("vega",$Q11,$P11,$G11,$I11,$C$3,$J11,$K11,$C$4)*R11</f>
        <v>-0.28049724346595895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201</v>
      </c>
      <c r="E12" s="54">
        <f t="shared" ref="E12:F12" ca="1" si="2">E11</f>
        <v>43251</v>
      </c>
      <c r="F12" s="54">
        <f t="shared" ca="1" si="2"/>
        <v>43266</v>
      </c>
      <c r="G12" s="52">
        <f>G11+50</f>
        <v>492.5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2.0438857381246862</v>
      </c>
      <c r="M12" s="57"/>
      <c r="N12" s="51"/>
      <c r="O12" s="51">
        <f t="shared" si="1"/>
        <v>2.0438857381246862</v>
      </c>
      <c r="P12" s="94">
        <f>P11</f>
        <v>462.5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0.14912991748801119</v>
      </c>
      <c r="V12" s="51">
        <f>_xll.dnetGBlackScholesNGreeks("vega",$Q12,$P12,$G12,$I12,$C$3,$J12,$K12,$C$4)*R12</f>
        <v>0.21760815838811354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43251</v>
      </c>
      <c r="F13" s="62">
        <f t="shared" ca="1" si="3"/>
        <v>43266</v>
      </c>
      <c r="G13" s="60" t="str">
        <f>G11 &amp; "|" &amp; G12</f>
        <v>442.5|492.5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-1.7071854282437755</v>
      </c>
      <c r="M13" s="60">
        <v>0</v>
      </c>
      <c r="N13" s="59">
        <f>M13/10000*I13*P13</f>
        <v>0</v>
      </c>
      <c r="O13" s="59">
        <f t="shared" si="1"/>
        <v>1.7071854282437755</v>
      </c>
      <c r="P13" s="111">
        <f>P12</f>
        <v>462.5</v>
      </c>
      <c r="Q13" s="60"/>
      <c r="R13" s="60"/>
      <c r="S13" s="56" t="s">
        <v>151</v>
      </c>
      <c r="T13" s="64">
        <f>O13/P13</f>
        <v>3.6912117367432985E-3</v>
      </c>
      <c r="U13" s="64">
        <f>U12+U11</f>
        <v>0.37338466567007345</v>
      </c>
      <c r="V13" s="64">
        <f>V12+V11</f>
        <v>-6.2889085077845408E-2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210</v>
      </c>
      <c r="E14" s="46">
        <f ca="1">TODAY()</f>
        <v>43251</v>
      </c>
      <c r="F14" s="46">
        <f ca="1">E14+H14</f>
        <v>43342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-337.57089050453942</v>
      </c>
      <c r="M14" s="49"/>
      <c r="N14" s="43"/>
      <c r="O14" s="43">
        <f t="shared" ref="O14:O16" si="4">IF(L14&lt;=0,ABS(L14)+N14,L14-N14)</f>
        <v>337.57089050453942</v>
      </c>
      <c r="P14" s="110">
        <f>RTD("wdf.rtq",,D14,"LastPrice")</f>
        <v>3696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-0.67988735556809843</v>
      </c>
      <c r="V14" s="43">
        <f>_xll.dnetGBlackScholesNGreeks("vega",$Q14,$P14,$G14,$I14,$C$3,$J14,$K14,$C$4)*R14</f>
        <v>-6.5377023793557782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43251</v>
      </c>
      <c r="F15" s="54">
        <f t="shared" ca="1" si="5"/>
        <v>43342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52.798478270966825</v>
      </c>
      <c r="M15" s="57"/>
      <c r="N15" s="51"/>
      <c r="O15" s="51">
        <f t="shared" si="4"/>
        <v>52.798478270966825</v>
      </c>
      <c r="P15" s="94">
        <f>P14</f>
        <v>3696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-0.17686240107650519</v>
      </c>
      <c r="V15" s="51">
        <f>_xll.dnetGBlackScholesNGreeks("vega",$Q15,$P15,$G15,$I15,$C$3,$J15,$K15,$C$4)*R15</f>
        <v>4.7786662093917585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43251</v>
      </c>
      <c r="F16" s="62">
        <f t="shared" ca="1" si="6"/>
        <v>43342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-284.7724122335726</v>
      </c>
      <c r="M16" s="60">
        <v>0</v>
      </c>
      <c r="N16" s="59">
        <f>M16/10000*I16*P16</f>
        <v>0</v>
      </c>
      <c r="O16" s="59">
        <f t="shared" si="4"/>
        <v>284.7724122335726</v>
      </c>
      <c r="P16" s="111">
        <f>P15</f>
        <v>3696</v>
      </c>
      <c r="Q16" s="60"/>
      <c r="R16" s="60"/>
      <c r="S16" s="56" t="s">
        <v>151</v>
      </c>
      <c r="T16" s="64">
        <f>O16/P16</f>
        <v>7.704881283375882E-2</v>
      </c>
      <c r="U16" s="64">
        <f>U15+U14</f>
        <v>-0.85674975664460362</v>
      </c>
      <c r="V16" s="64">
        <f>V15+V14</f>
        <v>-1.7590361699640198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228</v>
      </c>
      <c r="E18" s="46">
        <f ca="1">TODAY()</f>
        <v>43251</v>
      </c>
      <c r="F18" s="46">
        <f ca="1">E18+H18</f>
        <v>43282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46.475929704560713</v>
      </c>
      <c r="M18" s="49"/>
      <c r="N18" s="43"/>
      <c r="O18" s="43">
        <f t="shared" ref="O18:O20" si="7">IF(L18&lt;=0,ABS(L18)+N18,L18-N18)</f>
        <v>46.475929704560713</v>
      </c>
      <c r="P18" s="110">
        <f>RTD("wdf.rtq",,D18,"LastPrice")</f>
        <v>3020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-0.43341520329249761</v>
      </c>
      <c r="V18" s="43">
        <f>_xll.dnetGBlackScholesNGreeks("vega",$Q18,$P18,$G18,$I18,$C$3,$J18,$K18,$C$4)*R18</f>
        <v>3.4572130653763224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43251</v>
      </c>
      <c r="F19" s="54">
        <f t="shared" ca="1" si="8"/>
        <v>43282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-4.067433666149185</v>
      </c>
      <c r="M19" s="57"/>
      <c r="N19" s="51"/>
      <c r="O19" s="51">
        <f t="shared" si="7"/>
        <v>4.067433666149185</v>
      </c>
      <c r="P19" s="94">
        <f>P18</f>
        <v>3020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-6.0692785498872581E-2</v>
      </c>
      <c r="V19" s="51">
        <f>_xll.dnetGBlackScholesNGreeks("vega",$Q19,$P19,$G19,$I19,$C$3,$J19,$K19,$C$4)*R19</f>
        <v>-1.0567956338801991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43251</v>
      </c>
      <c r="F20" s="62">
        <f t="shared" ca="1" si="9"/>
        <v>43282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42.408496038411528</v>
      </c>
      <c r="M20" s="60">
        <v>0</v>
      </c>
      <c r="N20" s="59">
        <f>M20/10000*I20*P20</f>
        <v>0</v>
      </c>
      <c r="O20" s="59">
        <f t="shared" si="7"/>
        <v>42.408496038411528</v>
      </c>
      <c r="P20" s="111">
        <f>P19</f>
        <v>3020</v>
      </c>
      <c r="Q20" s="60"/>
      <c r="R20" s="60"/>
      <c r="S20" s="56"/>
      <c r="T20" s="64">
        <f>O20/P20</f>
        <v>1.404254835708991E-2</v>
      </c>
      <c r="U20" s="64">
        <f>U19+U18</f>
        <v>-0.49410798879137019</v>
      </c>
      <c r="V20" s="64">
        <f>V19+V18</f>
        <v>2.4004174314961233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228</v>
      </c>
      <c r="E21" s="46">
        <f ca="1">TODAY()</f>
        <v>43251</v>
      </c>
      <c r="F21" s="46">
        <f ca="1">E21+H21</f>
        <v>43343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86.326616047717835</v>
      </c>
      <c r="M21" s="49"/>
      <c r="N21" s="43"/>
      <c r="O21" s="43">
        <f t="shared" ref="O21:O23" si="10">IF(L21&lt;=0,ABS(L21)+N21,L21-N21)</f>
        <v>86.326616047717835</v>
      </c>
      <c r="P21" s="110">
        <f>RTD("wdf.rtq",,D21,"LastPrice")</f>
        <v>3020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-0.44883211313617721</v>
      </c>
      <c r="V21" s="43">
        <f>_xll.dnetGBlackScholesNGreeks("vega",$Q21,$P21,$G21,$I21,$C$3,$J21,$K21,$C$4)*R21</f>
        <v>5.9729653704141583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43251</v>
      </c>
      <c r="F22" s="54">
        <f t="shared" ca="1" si="11"/>
        <v>43343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-27.687795825339094</v>
      </c>
      <c r="M22" s="57"/>
      <c r="N22" s="51"/>
      <c r="O22" s="51">
        <f t="shared" si="10"/>
        <v>27.687795825339094</v>
      </c>
      <c r="P22" s="94">
        <f>P21</f>
        <v>3020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-0.19153864488998806</v>
      </c>
      <c r="V22" s="51">
        <f>_xll.dnetGBlackScholesNGreeks("vega",$Q22,$P22,$G22,$I22,$C$3,$J22,$K22,$C$4)*R22</f>
        <v>-4.1229025597809539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43251</v>
      </c>
      <c r="F23" s="62">
        <f t="shared" ca="1" si="12"/>
        <v>43343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58.63882022237874</v>
      </c>
      <c r="M23" s="60">
        <v>0</v>
      </c>
      <c r="N23" s="59">
        <f>M23/10000*I23*P23</f>
        <v>0</v>
      </c>
      <c r="O23" s="59">
        <f t="shared" si="10"/>
        <v>58.63882022237874</v>
      </c>
      <c r="P23" s="111">
        <f>P22</f>
        <v>3020</v>
      </c>
      <c r="Q23" s="60"/>
      <c r="R23" s="60"/>
      <c r="S23" s="56"/>
      <c r="T23" s="64">
        <f>O23/P23</f>
        <v>1.9416827888204882E-2</v>
      </c>
      <c r="U23" s="64">
        <f>U22+U21</f>
        <v>-0.64037075802616528</v>
      </c>
      <c r="V23" s="64">
        <f>V22+V21</f>
        <v>1.8500628106332044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228</v>
      </c>
      <c r="E26" s="46">
        <f ca="1">TODAY()</f>
        <v>43251</v>
      </c>
      <c r="F26" s="46">
        <f ca="1">E26+H26</f>
        <v>43282</v>
      </c>
      <c r="G26" s="118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27.352328799648831</v>
      </c>
      <c r="M26" s="49"/>
      <c r="N26" s="43"/>
      <c r="O26" s="43">
        <f t="shared" ref="O26:O31" si="13">IF(L26&lt;=0,ABS(L26)+N26,L26-N26)</f>
        <v>27.352328799648831</v>
      </c>
      <c r="P26" s="110">
        <f>RTD("wdf.rtq",,D26,"LastPrice")</f>
        <v>3020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-0.29884644663979998</v>
      </c>
      <c r="V26" s="43">
        <f>_xll.dnetGBlackScholesNGreeks("vega",$Q26,$P26,$G26,$I26,$C$3,$J26,$K26,$C$4)*R26</f>
        <v>3.0505490783374967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43251</v>
      </c>
      <c r="F27" s="54">
        <f t="shared" ca="1" si="14"/>
        <v>43282</v>
      </c>
      <c r="G27" s="119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-1.5038251352431047</v>
      </c>
      <c r="M27" s="57"/>
      <c r="N27" s="51"/>
      <c r="O27" s="51">
        <f t="shared" si="13"/>
        <v>1.5038251352431047</v>
      </c>
      <c r="P27" s="94">
        <f>P26</f>
        <v>3020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-2.5504219240701786E-2</v>
      </c>
      <c r="V27" s="51">
        <f>_xll.dnetGBlackScholesNGreeks("vega",$Q27,$P27,$G27,$I27,$C$3,$J27,$K27,$C$4)*R27</f>
        <v>-0.52387638043976281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43251</v>
      </c>
      <c r="F28" s="62">
        <f t="shared" ca="1" si="15"/>
        <v>43282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25.848503664405726</v>
      </c>
      <c r="M28" s="60">
        <v>0</v>
      </c>
      <c r="N28" s="59">
        <f>M28/10000*I28*P28</f>
        <v>0</v>
      </c>
      <c r="O28" s="59">
        <f t="shared" si="13"/>
        <v>25.848503664405726</v>
      </c>
      <c r="P28" s="111">
        <f>P27</f>
        <v>3020</v>
      </c>
      <c r="Q28" s="60"/>
      <c r="R28" s="60"/>
      <c r="S28" s="56"/>
      <c r="T28" s="64">
        <f>O28/P28</f>
        <v>8.5591071736442793E-3</v>
      </c>
      <c r="U28" s="64">
        <f>U27+U26</f>
        <v>-0.32435066588050177</v>
      </c>
      <c r="V28" s="64">
        <f>V27+V26</f>
        <v>2.5266726978977339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228</v>
      </c>
      <c r="E29" s="46">
        <f ca="1">TODAY()</f>
        <v>43251</v>
      </c>
      <c r="F29" s="46">
        <f ca="1">E29+H29</f>
        <v>43343</v>
      </c>
      <c r="G29" s="118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64.351642048160329</v>
      </c>
      <c r="M29" s="49"/>
      <c r="N29" s="43"/>
      <c r="O29" s="43">
        <f t="shared" si="13"/>
        <v>64.351642048160329</v>
      </c>
      <c r="P29" s="110">
        <f>RTD("wdf.rtq",,D29,"LastPrice")</f>
        <v>3020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-0.36804214439598582</v>
      </c>
      <c r="V29" s="43">
        <f>_xll.dnetGBlackScholesNGreeks("vega",$Q29,$P29,$G29,$I29,$C$3,$J29,$K29,$C$4)*R29</f>
        <v>5.6944669316015961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43251</v>
      </c>
      <c r="F30" s="54">
        <f t="shared" ca="1" si="16"/>
        <v>43343</v>
      </c>
      <c r="G30" s="119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-17.83676573058284</v>
      </c>
      <c r="M30" s="57"/>
      <c r="N30" s="51"/>
      <c r="O30" s="51">
        <f t="shared" si="13"/>
        <v>17.83676573058284</v>
      </c>
      <c r="P30" s="94">
        <f>P29</f>
        <v>3020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-0.1344707480342322</v>
      </c>
      <c r="V30" s="51">
        <f>_xll.dnetGBlackScholesNGreeks("vega",$Q30,$P30,$G30,$I30,$C$3,$J30,$K30,$C$4)*R30</f>
        <v>-3.2741362030536436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43251</v>
      </c>
      <c r="F31" s="62">
        <f t="shared" ca="1" si="17"/>
        <v>43343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46.514876317577489</v>
      </c>
      <c r="M31" s="60">
        <v>0</v>
      </c>
      <c r="N31" s="59">
        <f>M31/10000*I31*P31</f>
        <v>0</v>
      </c>
      <c r="O31" s="59">
        <f t="shared" si="13"/>
        <v>46.514876317577489</v>
      </c>
      <c r="P31" s="111">
        <f>P30</f>
        <v>3020</v>
      </c>
      <c r="Q31" s="60"/>
      <c r="R31" s="60"/>
      <c r="S31" s="56"/>
      <c r="T31" s="64">
        <f>O31/P31</f>
        <v>1.5402276926350163E-2</v>
      </c>
      <c r="U31" s="64">
        <f>U30+U29</f>
        <v>-0.50251289243021802</v>
      </c>
      <c r="V31" s="64">
        <f>V30+V29</f>
        <v>2.4203307285479525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2" t="s">
        <v>158</v>
      </c>
      <c r="C1" s="122"/>
      <c r="D1" s="122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214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43251</v>
      </c>
      <c r="L10" s="38">
        <f ca="1">pricer_sf!N11</f>
        <v>43342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215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43251</v>
      </c>
      <c r="L11" s="38">
        <f ca="1">pricer_sf!N12</f>
        <v>43342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216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43251</v>
      </c>
      <c r="L12" s="38">
        <f ca="1">pricer_sf!N13</f>
        <v>43342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214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43251</v>
      </c>
      <c r="L13" s="38">
        <f ca="1">pricer_sf!N14</f>
        <v>43434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215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43251</v>
      </c>
      <c r="L14" s="38">
        <f ca="1">pricer_sf!N15</f>
        <v>43434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216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43251</v>
      </c>
      <c r="L15" s="38">
        <f ca="1">pricer_sf!N16</f>
        <v>43434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H28" sqref="H2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5" t="s">
        <v>38</v>
      </c>
      <c r="C1" s="145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43251</v>
      </c>
      <c r="N8" s="21">
        <f ca="1">M8+O8</f>
        <v>43281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>
        <f>T8/10000*P8*H8</f>
        <v>0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43251</v>
      </c>
      <c r="N9" s="8">
        <f ca="1">M9+O9</f>
        <v>43431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211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43251</v>
      </c>
      <c r="N11" s="8">
        <f t="shared" ref="N11:N16" ca="1" si="2">M11+O11</f>
        <v>43342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212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43251</v>
      </c>
      <c r="N12" s="8">
        <f t="shared" ca="1" si="2"/>
        <v>43342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213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43251</v>
      </c>
      <c r="N13" s="8">
        <f t="shared" ca="1" si="2"/>
        <v>43342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211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43251</v>
      </c>
      <c r="N14" s="8">
        <f t="shared" ca="1" si="2"/>
        <v>43434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212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43251</v>
      </c>
      <c r="N15" s="8">
        <f t="shared" ca="1" si="2"/>
        <v>43434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213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43251</v>
      </c>
      <c r="N16" s="8">
        <f t="shared" ca="1" si="2"/>
        <v>43434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2018-05-31T08:47:20Z</dcterms:modified>
</cp:coreProperties>
</file>