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firstSheet="1" activeTab="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8" i="1" l="1"/>
  <c r="I18" i="1"/>
  <c r="E18" i="1"/>
  <c r="F18" i="1" s="1"/>
  <c r="V18" i="1"/>
  <c r="N18" i="1" l="1"/>
  <c r="L18" i="1"/>
  <c r="U18" i="1"/>
  <c r="O18" i="1" l="1"/>
  <c r="T18" i="1" s="1"/>
  <c r="R16" i="1" l="1"/>
  <c r="I16" i="1"/>
  <c r="E16" i="1"/>
  <c r="F16" i="1" s="1"/>
  <c r="R15" i="1"/>
  <c r="I15" i="1"/>
  <c r="E15" i="1"/>
  <c r="F15" i="1" s="1"/>
  <c r="P16" i="1"/>
  <c r="P15" i="1"/>
  <c r="V16" i="1"/>
  <c r="L15" i="1"/>
  <c r="L16" i="1"/>
  <c r="N16" i="1" l="1"/>
  <c r="O16" i="1" s="1"/>
  <c r="T16" i="1" s="1"/>
  <c r="N15" i="1"/>
  <c r="O15" i="1" s="1"/>
  <c r="T15" i="1" s="1"/>
  <c r="R14" i="1"/>
  <c r="I14" i="1"/>
  <c r="E14" i="1"/>
  <c r="F14" i="1" s="1"/>
  <c r="U16" i="1"/>
  <c r="U15" i="1"/>
  <c r="V15" i="1"/>
  <c r="P14" i="1"/>
  <c r="P13" i="1"/>
  <c r="L14" i="1"/>
  <c r="N14" i="1" l="1"/>
  <c r="O14" i="1" s="1"/>
  <c r="T14" i="1" s="1"/>
  <c r="V14" i="1"/>
  <c r="U14" i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V32" i="9"/>
  <c r="L29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L32" i="9"/>
  <c r="L30" i="9"/>
  <c r="V33" i="9"/>
  <c r="V30" i="9"/>
  <c r="L33" i="9"/>
  <c r="U33" i="9"/>
  <c r="U30" i="9"/>
  <c r="V29" i="9"/>
  <c r="U29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I13" i="1"/>
  <c r="R13" i="1"/>
  <c r="E13" i="1"/>
  <c r="F13" i="1" s="1"/>
  <c r="P26" i="9"/>
  <c r="P11" i="9"/>
  <c r="P17" i="9"/>
  <c r="P23" i="9"/>
  <c r="L23" i="9" s="1"/>
  <c r="P20" i="9"/>
  <c r="L20" i="9"/>
  <c r="P14" i="9"/>
  <c r="U13" i="1"/>
  <c r="V11" i="9"/>
  <c r="U14" i="9"/>
  <c r="V20" i="9"/>
  <c r="O23" i="9" l="1"/>
  <c r="O20" i="9"/>
  <c r="F23" i="9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N13" i="1"/>
  <c r="I11" i="1"/>
  <c r="R11" i="1"/>
  <c r="E11" i="1"/>
  <c r="F11" i="1" s="1"/>
  <c r="R10" i="1"/>
  <c r="I10" i="1"/>
  <c r="E10" i="1"/>
  <c r="F10" i="1" s="1"/>
  <c r="U20" i="9"/>
  <c r="V26" i="9"/>
  <c r="U23" i="9"/>
  <c r="U17" i="9"/>
  <c r="L18" i="9"/>
  <c r="V17" i="9"/>
  <c r="U12" i="9"/>
  <c r="V24" i="9"/>
  <c r="L27" i="9"/>
  <c r="U15" i="9"/>
  <c r="L15" i="9"/>
  <c r="V11" i="1"/>
  <c r="V13" i="1"/>
  <c r="L12" i="9"/>
  <c r="L21" i="9"/>
  <c r="L26" i="9"/>
  <c r="U24" i="9"/>
  <c r="U11" i="9"/>
  <c r="V27" i="9"/>
  <c r="L17" i="9"/>
  <c r="U27" i="9"/>
  <c r="U18" i="9"/>
  <c r="V12" i="9"/>
  <c r="L24" i="9"/>
  <c r="V18" i="9"/>
  <c r="L13" i="1"/>
  <c r="V23" i="9"/>
  <c r="L14" i="9"/>
  <c r="U26" i="9"/>
  <c r="V14" i="9"/>
  <c r="V21" i="9"/>
  <c r="U21" i="9"/>
  <c r="L11" i="9"/>
  <c r="V15" i="9"/>
  <c r="L10" i="1"/>
  <c r="O26" i="9" l="1"/>
  <c r="O13" i="1"/>
  <c r="T13" i="1" s="1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N11" i="1"/>
  <c r="N10" i="1"/>
  <c r="O10" i="1" s="1"/>
  <c r="T10" i="1" s="1"/>
  <c r="R9" i="1"/>
  <c r="I9" i="1"/>
  <c r="N9" i="1" s="1"/>
  <c r="E9" i="1"/>
  <c r="F9" i="1" s="1"/>
  <c r="L11" i="1"/>
  <c r="U11" i="1"/>
  <c r="U10" i="1"/>
  <c r="V10" i="1"/>
  <c r="U9" i="1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O11" i="1"/>
  <c r="T11" i="1" s="1"/>
  <c r="V9" i="1"/>
  <c r="O9" i="1" l="1"/>
  <c r="T9" i="1" s="1"/>
  <c r="D40" i="2" l="1"/>
  <c r="D37" i="2"/>
  <c r="I26" i="2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V9" i="9"/>
  <c r="L9" i="9"/>
  <c r="L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H8" i="7"/>
  <c r="U10" i="7"/>
  <c r="T9" i="7"/>
  <c r="U9" i="7"/>
  <c r="H8" i="8"/>
  <c r="O10" i="7"/>
  <c r="K9" i="8"/>
  <c r="O9" i="7"/>
  <c r="U8" i="8" l="1"/>
  <c r="Q9" i="7"/>
  <c r="R9" i="7" s="1"/>
  <c r="S9" i="7" s="1"/>
  <c r="Q10" i="7"/>
  <c r="R10" i="7" s="1"/>
  <c r="S10" i="7" s="1"/>
  <c r="Q8" i="7"/>
  <c r="X9" i="8"/>
  <c r="S9" i="8"/>
  <c r="K8" i="8"/>
  <c r="U8" i="7"/>
  <c r="O8" i="7"/>
  <c r="T8" i="7"/>
  <c r="Y9" i="8"/>
  <c r="V9" i="8" l="1"/>
  <c r="W9" i="8" s="1"/>
  <c r="R8" i="7"/>
  <c r="S8" i="7" s="1"/>
  <c r="Y8" i="8"/>
  <c r="X8" i="8"/>
  <c r="S8" i="8"/>
  <c r="V8" i="8" l="1"/>
  <c r="W8" i="8" s="1"/>
  <c r="R8" i="1"/>
  <c r="I8" i="1" l="1"/>
  <c r="E8" i="1"/>
  <c r="F8" i="1" s="1"/>
  <c r="P8" i="1"/>
  <c r="N8" i="1" l="1"/>
  <c r="L8" i="1"/>
  <c r="V8" i="1"/>
  <c r="U8" i="1"/>
  <c r="O8" i="1" l="1"/>
  <c r="T8" i="1" s="1"/>
</calcChain>
</file>

<file path=xl/sharedStrings.xml><?xml version="1.0" encoding="utf-8"?>
<sst xmlns="http://schemas.openxmlformats.org/spreadsheetml/2006/main" count="839" uniqueCount="216">
  <si>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</si>
  <si>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</si>
  <si>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</si>
  <si>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</si>
  <si>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</si>
  <si>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</si>
  <si>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</si>
  <si>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</si>
  <si>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</si>
  <si>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</si>
  <si>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</si>
  <si>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</si>
  <si>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</si>
  <si>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</si>
  <si>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</si>
  <si>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</si>
  <si>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</si>
  <si>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</si>
  <si>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</si>
  <si>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</si>
  <si>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</si>
  <si>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</si>
  <si>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</si>
  <si>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</si>
  <si>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</si>
  <si>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</si>
  <si>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</si>
  <si>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</si>
  <si>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</si>
  <si>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</si>
  <si>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</si>
  <si>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</si>
  <si>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</si>
  <si>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</si>
  <si>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</si>
  <si>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</si>
  <si>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</si>
  <si>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</si>
  <si>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</si>
  <si>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</si>
  <si>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</si>
  <si>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</si>
  <si>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</si>
  <si>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</si>
  <si>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</si>
  <si>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</si>
  <si>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</si>
  <si>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</si>
  <si>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</si>
  <si>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</si>
  <si>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</si>
  <si>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</si>
  <si>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</si>
  <si>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</si>
  <si>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</si>
  <si>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</si>
  <si>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</si>
  <si>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</si>
  <si>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</si>
  <si>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</si>
  <si>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</si>
  <si>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</si>
  <si>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</si>
  <si>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</si>
  <si>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</si>
  <si>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</si>
  <si>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</si>
  <si>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</si>
  <si>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</si>
  <si>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</si>
  <si>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</si>
  <si>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</si>
  <si>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</si>
  <si>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</si>
  <si>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</si>
  <si>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</si>
  <si>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</si>
  <si>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</si>
  <si>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</si>
  <si>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</si>
  <si>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</si>
  <si>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</si>
  <si>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</si>
  <si>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</si>
  <si>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</si>
  <si>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</si>
  <si>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</si>
  <si>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</si>
  <si>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</si>
  <si>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</si>
  <si>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</si>
  <si>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</si>
  <si>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</si>
  <si>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</si>
  <si>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</si>
  <si>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</si>
  <si>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</si>
  <si>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</si>
  <si>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</si>
  <si>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</si>
  <si>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</si>
  <si>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</si>
  <si>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</si>
  <si>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</si>
  <si>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</si>
  <si>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</si>
  <si>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</si>
  <si>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</si>
  <si>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</si>
  <si>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</si>
  <si>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</si>
  <si>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</si>
  <si>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</si>
  <si>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</si>
  <si>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</si>
  <si>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</si>
  <si>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</si>
  <si>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</si>
  <si>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</si>
  <si>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</si>
  <si>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</si>
  <si>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</si>
  <si>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</si>
  <si>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</si>
  <si>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</si>
  <si>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</si>
  <si>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</si>
  <si>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</si>
  <si>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</si>
  <si>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</si>
  <si>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</si>
  <si>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</si>
  <si>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</si>
  <si>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</si>
  <si>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</si>
  <si>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</si>
  <si>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</si>
  <si>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</si>
  <si>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</si>
  <si>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</si>
  <si>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</si>
  <si>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</si>
  <si>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</si>
  <si>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</si>
  <si>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</si>
  <si>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</si>
  <si>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</si>
  <si>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</si>
  <si>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</si>
  <si>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</si>
  <si>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</si>
  <si>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</si>
  <si>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</si>
  <si>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</si>
  <si>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</si>
  <si>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</si>
  <si>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</si>
  <si>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</si>
  <si>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</si>
  <si>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</si>
  <si>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</si>
  <si>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</si>
  <si>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</si>
  <si>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</si>
  <si>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</si>
  <si>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</si>
  <si>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</si>
  <si>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</si>
  <si>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</si>
  <si>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</si>
  <si>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</si>
  <si>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</si>
  <si>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</si>
  <si>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</si>
  <si>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</si>
  <si>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</si>
  <si>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</si>
  <si>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</si>
  <si>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</si>
  <si>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</si>
  <si>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</si>
  <si>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</si>
  <si>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</si>
  <si>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</si>
  <si>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</si>
  <si>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</si>
  <si>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</si>
  <si>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</si>
  <si>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</si>
  <si>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</si>
  <si>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</si>
  <si>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</si>
  <si>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</si>
  <si>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</si>
  <si>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</si>
  <si>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</si>
  <si>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</si>
  <si>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</si>
  <si>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</si>
  <si>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</si>
  <si>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</si>
  <si>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</si>
  <si>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</si>
  <si>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`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</si>
  <si>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</si>
  <si>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</si>
  <si>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</si>
  <si>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</si>
  <si>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</si>
  <si>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</si>
  <si>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</si>
  <si>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</si>
  <si>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</si>
  <si>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</si>
  <si>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hc1810</t>
    <phoneticPr fontId="1" type="noConversion"/>
  </si>
  <si>
    <t>rb1805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</si>
</sst>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6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2" fontId="12" fillId="12" borderId="14" xfId="0" applyNumberFormat="1" applyFont="1" applyFill="1" applyBorder="1"/>
    <xf numFmtId="0" fontId="12" fillId="12" borderId="14" xfId="0" applyFont="1" applyFill="1" applyBorder="1"/>
    <xf numFmtId="14" fontId="12" fillId="12" borderId="14" xfId="0" applyNumberFormat="1" applyFont="1" applyFill="1" applyBorder="1"/>
    <xf numFmtId="177" fontId="12" fillId="12" borderId="14" xfId="0" applyNumberFormat="1" applyFont="1" applyFill="1" applyBorder="1"/>
    <xf numFmtId="178" fontId="12" fillId="12" borderId="14" xfId="0" applyNumberFormat="1" applyFont="1" applyFill="1" applyBorder="1"/>
    <xf numFmtId="0" fontId="12" fillId="4" borderId="14" xfId="0" applyFont="1" applyFill="1" applyBorder="1"/>
    <xf numFmtId="10" fontId="12" fillId="12" borderId="14" xfId="1" applyNumberFormat="1" applyFont="1" applyFill="1" applyBorder="1" applyAlignment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3648</v>
        <stp/>
        <stp>rb1805</stp>
        <stp>LastPrice</stp>
        <tr r="P15" s="1"/>
        <tr r="P16" s="1"/>
      </tp>
      <tp>
        <v>3470</v>
        <stp/>
        <stp>rb1810</stp>
        <stp>LastPrice</stp>
        <tr r="P14" s="9"/>
        <tr r="P20" s="9"/>
        <tr r="P23" s="9"/>
        <tr r="P17" s="9"/>
        <tr r="P11" s="9"/>
        <tr r="P26" s="9"/>
        <tr r="P13" s="1"/>
        <tr r="P14" s="1"/>
      </tp>
      <tp>
        <v>3648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41"/>
  <sheetViews>
    <sheetView topLeftCell="A19" zoomScaleNormal="100" workbookViewId="0">
      <selection activeCell="T36" sqref="T3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7.5" style="6" bestFit="1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0.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35" t="s">
        <v>158</v>
      </c>
      <c r="C1" s="135"/>
      <c r="D1" s="135"/>
    </row>
    <row r="2" spans="2:18" ht="12" thickTop="1" x14ac:dyDescent="0.15"/>
    <row r="3" spans="2:18" ht="13.5" x14ac:dyDescent="0.15">
      <c r="I3" s="134" t="s">
        <v>204</v>
      </c>
    </row>
    <row r="5" spans="2:18" x14ac:dyDescent="0.15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185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18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185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18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185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18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18"/>
      <c r="O12" s="101"/>
      <c r="P12" s="101"/>
      <c r="Q12" s="101"/>
      <c r="R12" s="101"/>
    </row>
    <row r="13" spans="2:18" x14ac:dyDescent="0.15">
      <c r="B13" s="41"/>
      <c r="C13" s="41" t="s">
        <v>181</v>
      </c>
      <c r="D13" s="41" t="s">
        <v>180</v>
      </c>
      <c r="E13" s="41" t="s">
        <v>10</v>
      </c>
      <c r="F13" s="41" t="s">
        <v>184</v>
      </c>
      <c r="G13" s="41" t="s">
        <v>11</v>
      </c>
      <c r="H13" s="41" t="s">
        <v>12</v>
      </c>
      <c r="I13" s="41" t="s">
        <v>47</v>
      </c>
      <c r="J13" s="41" t="s">
        <v>13</v>
      </c>
      <c r="K13" s="41" t="s">
        <v>14</v>
      </c>
      <c r="L13" s="41" t="s">
        <v>26</v>
      </c>
      <c r="M13" s="41" t="s">
        <v>28</v>
      </c>
      <c r="N13" s="41" t="s">
        <v>182</v>
      </c>
      <c r="O13" s="41" t="s">
        <v>8</v>
      </c>
      <c r="P13" s="41" t="s">
        <v>23</v>
      </c>
      <c r="Q13" s="41"/>
      <c r="R13" s="41" t="s">
        <v>30</v>
      </c>
    </row>
    <row r="14" spans="2:18" x14ac:dyDescent="0.15">
      <c r="B14" s="129" t="s">
        <v>160</v>
      </c>
      <c r="C14" s="129" t="s">
        <v>193</v>
      </c>
      <c r="D14" s="130">
        <v>43172</v>
      </c>
      <c r="E14" s="130">
        <v>43210</v>
      </c>
      <c r="F14" s="129">
        <v>4000</v>
      </c>
      <c r="G14" s="129">
        <v>38</v>
      </c>
      <c r="H14" s="129">
        <v>9.8630136986301367E-2</v>
      </c>
      <c r="I14" s="129">
        <v>0</v>
      </c>
      <c r="J14" s="129">
        <v>0.155</v>
      </c>
      <c r="K14" s="129">
        <v>19.562648233948153</v>
      </c>
      <c r="L14" s="129">
        <v>0</v>
      </c>
      <c r="M14" s="129">
        <v>0</v>
      </c>
      <c r="N14" s="131">
        <v>19.562648233948153</v>
      </c>
      <c r="O14" s="129">
        <v>3831</v>
      </c>
      <c r="P14" s="129" t="s">
        <v>39</v>
      </c>
      <c r="Q14" s="129">
        <v>1</v>
      </c>
      <c r="R14" s="129" t="s">
        <v>151</v>
      </c>
    </row>
    <row r="15" spans="2:18" x14ac:dyDescent="0.15">
      <c r="B15" s="129" t="s">
        <v>160</v>
      </c>
      <c r="C15" s="129" t="s">
        <v>193</v>
      </c>
      <c r="D15" s="130">
        <v>43172</v>
      </c>
      <c r="E15" s="130">
        <v>43210</v>
      </c>
      <c r="F15" s="129">
        <v>3950</v>
      </c>
      <c r="G15" s="129">
        <v>38</v>
      </c>
      <c r="H15" s="129">
        <v>9.8630136986301367E-2</v>
      </c>
      <c r="I15" s="129">
        <v>0</v>
      </c>
      <c r="J15" s="129">
        <v>0.155</v>
      </c>
      <c r="K15" s="129">
        <v>30.425281860261634</v>
      </c>
      <c r="L15" s="129">
        <v>0</v>
      </c>
      <c r="M15" s="129">
        <v>0</v>
      </c>
      <c r="N15" s="131">
        <v>30.425281860261634</v>
      </c>
      <c r="O15" s="129">
        <v>3831</v>
      </c>
      <c r="P15" s="129" t="s">
        <v>39</v>
      </c>
      <c r="Q15" s="129">
        <v>1</v>
      </c>
      <c r="R15" s="129" t="s">
        <v>151</v>
      </c>
    </row>
    <row r="16" spans="2:18" x14ac:dyDescent="0.15">
      <c r="B16" s="41"/>
      <c r="C16" s="41" t="s">
        <v>181</v>
      </c>
      <c r="D16" s="41" t="s">
        <v>180</v>
      </c>
      <c r="E16" s="41" t="s">
        <v>10</v>
      </c>
      <c r="F16" s="41" t="s">
        <v>184</v>
      </c>
      <c r="G16" s="41" t="s">
        <v>11</v>
      </c>
      <c r="H16" s="41" t="s">
        <v>12</v>
      </c>
      <c r="I16" s="41" t="s">
        <v>47</v>
      </c>
      <c r="J16" s="41" t="s">
        <v>13</v>
      </c>
      <c r="K16" s="41" t="s">
        <v>14</v>
      </c>
      <c r="L16" s="41" t="s">
        <v>26</v>
      </c>
      <c r="M16" s="41" t="s">
        <v>28</v>
      </c>
      <c r="N16" s="41" t="s">
        <v>182</v>
      </c>
      <c r="O16" s="41" t="s">
        <v>8</v>
      </c>
      <c r="P16" s="41" t="s">
        <v>23</v>
      </c>
      <c r="Q16" s="41"/>
      <c r="R16" s="41" t="s">
        <v>30</v>
      </c>
    </row>
    <row r="17" spans="2:18" x14ac:dyDescent="0.15">
      <c r="B17" s="129" t="s">
        <v>160</v>
      </c>
      <c r="C17" s="129" t="s">
        <v>205</v>
      </c>
      <c r="D17" s="130">
        <v>43172</v>
      </c>
      <c r="E17" s="130">
        <v>43262</v>
      </c>
      <c r="F17" s="129">
        <v>12500</v>
      </c>
      <c r="G17" s="129">
        <v>90</v>
      </c>
      <c r="H17" s="129">
        <v>0.24657534246575341</v>
      </c>
      <c r="I17" s="129">
        <v>0</v>
      </c>
      <c r="J17" s="129">
        <v>0.19</v>
      </c>
      <c r="K17" s="129">
        <v>-68.407402851303004</v>
      </c>
      <c r="L17" s="129">
        <v>0</v>
      </c>
      <c r="M17" s="129">
        <v>0</v>
      </c>
      <c r="N17" s="131">
        <v>68.407402851303004</v>
      </c>
      <c r="O17" s="129">
        <v>14010</v>
      </c>
      <c r="P17" s="129" t="s">
        <v>85</v>
      </c>
      <c r="Q17" s="129">
        <v>-1</v>
      </c>
      <c r="R17" s="129" t="s">
        <v>20</v>
      </c>
    </row>
    <row r="18" spans="2:18" x14ac:dyDescent="0.15">
      <c r="B18" s="41"/>
      <c r="C18" s="41" t="s">
        <v>181</v>
      </c>
      <c r="D18" s="41" t="s">
        <v>180</v>
      </c>
      <c r="E18" s="41" t="s">
        <v>10</v>
      </c>
      <c r="F18" s="41" t="s">
        <v>184</v>
      </c>
      <c r="G18" s="41" t="s">
        <v>11</v>
      </c>
      <c r="H18" s="41" t="s">
        <v>12</v>
      </c>
      <c r="I18" s="41" t="s">
        <v>47</v>
      </c>
      <c r="J18" s="41" t="s">
        <v>13</v>
      </c>
      <c r="K18" s="41" t="s">
        <v>14</v>
      </c>
      <c r="L18" s="41" t="s">
        <v>26</v>
      </c>
      <c r="M18" s="41" t="s">
        <v>28</v>
      </c>
      <c r="N18" s="41" t="s">
        <v>182</v>
      </c>
      <c r="O18" s="41" t="s">
        <v>8</v>
      </c>
      <c r="P18" s="41" t="s">
        <v>23</v>
      </c>
      <c r="Q18" s="41"/>
      <c r="R18" s="41" t="s">
        <v>30</v>
      </c>
    </row>
    <row r="19" spans="2:18" x14ac:dyDescent="0.15">
      <c r="B19" s="129" t="s">
        <v>160</v>
      </c>
      <c r="C19" s="129" t="s">
        <v>206</v>
      </c>
      <c r="D19" s="130">
        <v>43172</v>
      </c>
      <c r="E19" s="130">
        <v>43203</v>
      </c>
      <c r="F19" s="129">
        <v>8800</v>
      </c>
      <c r="G19" s="129">
        <v>31</v>
      </c>
      <c r="H19" s="129">
        <v>8.4931506849315067E-2</v>
      </c>
      <c r="I19" s="129">
        <v>0</v>
      </c>
      <c r="J19" s="129">
        <v>0.1875</v>
      </c>
      <c r="K19" s="129">
        <v>-236.0723801769891</v>
      </c>
      <c r="L19" s="129">
        <v>70</v>
      </c>
      <c r="M19" s="129">
        <v>5.2805315068493144</v>
      </c>
      <c r="N19" s="131">
        <v>241.35291168383841</v>
      </c>
      <c r="O19" s="129">
        <v>8882</v>
      </c>
      <c r="P19" s="129" t="s">
        <v>39</v>
      </c>
      <c r="Q19" s="129">
        <v>-1</v>
      </c>
      <c r="R19" s="129" t="s">
        <v>20</v>
      </c>
    </row>
    <row r="20" spans="2:18" x14ac:dyDescent="0.15">
      <c r="B20" s="129" t="s">
        <v>160</v>
      </c>
      <c r="C20" s="129" t="s">
        <v>206</v>
      </c>
      <c r="D20" s="130">
        <v>43172</v>
      </c>
      <c r="E20" s="130">
        <v>43203</v>
      </c>
      <c r="F20" s="129">
        <v>8900</v>
      </c>
      <c r="G20" s="129">
        <v>31</v>
      </c>
      <c r="H20" s="129">
        <v>8.4931506849315067E-2</v>
      </c>
      <c r="I20" s="129">
        <v>0</v>
      </c>
      <c r="J20" s="129">
        <v>0.1875</v>
      </c>
      <c r="K20" s="129">
        <v>-184.6140002711727</v>
      </c>
      <c r="L20" s="129">
        <v>70</v>
      </c>
      <c r="M20" s="129">
        <v>5.2805315068493144</v>
      </c>
      <c r="N20" s="131">
        <v>189.89453177802201</v>
      </c>
      <c r="O20" s="129">
        <v>8882</v>
      </c>
      <c r="P20" s="129" t="s">
        <v>39</v>
      </c>
      <c r="Q20" s="129">
        <v>-1</v>
      </c>
      <c r="R20" s="129" t="s">
        <v>20</v>
      </c>
    </row>
    <row r="21" spans="2:18" x14ac:dyDescent="0.15">
      <c r="B21" s="129" t="s">
        <v>160</v>
      </c>
      <c r="C21" s="129" t="s">
        <v>206</v>
      </c>
      <c r="D21" s="130">
        <v>43172</v>
      </c>
      <c r="E21" s="130">
        <v>43203</v>
      </c>
      <c r="F21" s="129">
        <v>9000</v>
      </c>
      <c r="G21" s="129">
        <v>31</v>
      </c>
      <c r="H21" s="129">
        <v>8.4931506849315067E-2</v>
      </c>
      <c r="I21" s="129">
        <v>0</v>
      </c>
      <c r="J21" s="129">
        <v>0.1875</v>
      </c>
      <c r="K21" s="129">
        <v>-141.29988107518739</v>
      </c>
      <c r="L21" s="129">
        <v>70</v>
      </c>
      <c r="M21" s="129">
        <v>5.2805315068493144</v>
      </c>
      <c r="N21" s="131">
        <v>146.5804125820367</v>
      </c>
      <c r="O21" s="129">
        <v>8882</v>
      </c>
      <c r="P21" s="129" t="s">
        <v>39</v>
      </c>
      <c r="Q21" s="129">
        <v>-1</v>
      </c>
      <c r="R21" s="129" t="s">
        <v>20</v>
      </c>
    </row>
    <row r="22" spans="2:18" x14ac:dyDescent="0.15">
      <c r="B22" s="129" t="s">
        <v>160</v>
      </c>
      <c r="C22" s="129" t="s">
        <v>206</v>
      </c>
      <c r="D22" s="130">
        <v>43172</v>
      </c>
      <c r="E22" s="130">
        <v>43203</v>
      </c>
      <c r="F22" s="129">
        <v>9100</v>
      </c>
      <c r="G22" s="129">
        <v>31</v>
      </c>
      <c r="H22" s="129">
        <v>8.4931506849315067E-2</v>
      </c>
      <c r="I22" s="129">
        <v>0</v>
      </c>
      <c r="J22" s="129">
        <v>0.1875</v>
      </c>
      <c r="K22" s="129">
        <v>-105.77307588048689</v>
      </c>
      <c r="L22" s="129">
        <v>70</v>
      </c>
      <c r="M22" s="129">
        <v>5.2805315068493144</v>
      </c>
      <c r="N22" s="131">
        <v>111.0536073873362</v>
      </c>
      <c r="O22" s="129">
        <v>8882</v>
      </c>
      <c r="P22" s="129" t="s">
        <v>39</v>
      </c>
      <c r="Q22" s="129">
        <v>-1</v>
      </c>
      <c r="R22" s="129" t="s">
        <v>20</v>
      </c>
    </row>
    <row r="23" spans="2:18" x14ac:dyDescent="0.15">
      <c r="B23" s="41"/>
      <c r="C23" s="41" t="s">
        <v>181</v>
      </c>
      <c r="D23" s="41" t="s">
        <v>180</v>
      </c>
      <c r="E23" s="41" t="s">
        <v>10</v>
      </c>
      <c r="F23" s="41" t="s">
        <v>184</v>
      </c>
      <c r="G23" s="41" t="s">
        <v>11</v>
      </c>
      <c r="H23" s="41" t="s">
        <v>12</v>
      </c>
      <c r="I23" s="41" t="s">
        <v>47</v>
      </c>
      <c r="J23" s="41" t="s">
        <v>13</v>
      </c>
      <c r="K23" s="41" t="s">
        <v>14</v>
      </c>
      <c r="L23" s="41" t="s">
        <v>26</v>
      </c>
      <c r="M23" s="41" t="s">
        <v>28</v>
      </c>
      <c r="N23" s="41" t="s">
        <v>182</v>
      </c>
      <c r="O23" s="41" t="s">
        <v>8</v>
      </c>
      <c r="P23" s="41" t="s">
        <v>23</v>
      </c>
      <c r="Q23" s="41"/>
      <c r="R23" s="41" t="s">
        <v>30</v>
      </c>
    </row>
    <row r="24" spans="2:18" x14ac:dyDescent="0.15">
      <c r="B24" s="129" t="s">
        <v>160</v>
      </c>
      <c r="C24" s="129" t="s">
        <v>205</v>
      </c>
      <c r="D24" s="130">
        <v>43172</v>
      </c>
      <c r="E24" s="130">
        <v>43262</v>
      </c>
      <c r="F24" s="129">
        <v>12000</v>
      </c>
      <c r="G24" s="129">
        <v>90</v>
      </c>
      <c r="H24" s="129">
        <v>0.24657534246575341</v>
      </c>
      <c r="I24" s="129">
        <v>0</v>
      </c>
      <c r="J24" s="129">
        <v>0.18</v>
      </c>
      <c r="K24" s="129">
        <v>-19.455144995082719</v>
      </c>
      <c r="L24" s="129">
        <v>0</v>
      </c>
      <c r="M24" s="129">
        <v>0</v>
      </c>
      <c r="N24" s="131">
        <v>19.455144995082719</v>
      </c>
      <c r="O24" s="129">
        <v>14010</v>
      </c>
      <c r="P24" s="129" t="s">
        <v>85</v>
      </c>
      <c r="Q24" s="129">
        <v>-1</v>
      </c>
      <c r="R24" s="129" t="s">
        <v>20</v>
      </c>
    </row>
    <row r="26" spans="2:18" x14ac:dyDescent="0.15">
      <c r="B26" s="41"/>
      <c r="C26" s="41" t="s">
        <v>181</v>
      </c>
      <c r="D26" s="41" t="s">
        <v>180</v>
      </c>
      <c r="E26" s="41" t="s">
        <v>10</v>
      </c>
      <c r="F26" s="41" t="s">
        <v>184</v>
      </c>
      <c r="G26" s="41" t="s">
        <v>11</v>
      </c>
      <c r="H26" s="41" t="s">
        <v>12</v>
      </c>
      <c r="I26" s="41" t="s">
        <v>47</v>
      </c>
      <c r="J26" s="41" t="s">
        <v>13</v>
      </c>
      <c r="K26" s="41" t="s">
        <v>14</v>
      </c>
      <c r="L26" s="41" t="s">
        <v>26</v>
      </c>
      <c r="M26" s="41" t="s">
        <v>28</v>
      </c>
      <c r="N26" s="41" t="s">
        <v>182</v>
      </c>
      <c r="O26" s="41" t="s">
        <v>8</v>
      </c>
      <c r="P26" s="41" t="s">
        <v>23</v>
      </c>
      <c r="Q26" s="41"/>
      <c r="R26" s="41" t="s">
        <v>30</v>
      </c>
    </row>
    <row r="27" spans="2:18" x14ac:dyDescent="0.15">
      <c r="B27" s="129" t="s">
        <v>160</v>
      </c>
      <c r="C27" s="129" t="s">
        <v>185</v>
      </c>
      <c r="D27" s="130">
        <v>43173</v>
      </c>
      <c r="E27" s="130">
        <v>43251</v>
      </c>
      <c r="F27" s="129">
        <v>3500</v>
      </c>
      <c r="G27" s="129">
        <v>78</v>
      </c>
      <c r="H27" s="129">
        <v>0.21369863013698631</v>
      </c>
      <c r="I27" s="129">
        <v>0</v>
      </c>
      <c r="J27" s="129">
        <v>0.22500000000000001</v>
      </c>
      <c r="K27" s="129">
        <v>-101.42329162416991</v>
      </c>
      <c r="L27" s="129">
        <v>0</v>
      </c>
      <c r="M27" s="129">
        <v>0</v>
      </c>
      <c r="N27" s="131">
        <v>101.42329162416991</v>
      </c>
      <c r="O27" s="129">
        <v>3602</v>
      </c>
      <c r="P27" s="129" t="s">
        <v>85</v>
      </c>
      <c r="Q27" s="129">
        <v>-1</v>
      </c>
      <c r="R27" s="129" t="s">
        <v>20</v>
      </c>
    </row>
    <row r="28" spans="2:18" x14ac:dyDescent="0.15">
      <c r="B28" s="41"/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29" t="s">
        <v>160</v>
      </c>
      <c r="C29" s="129" t="s">
        <v>207</v>
      </c>
      <c r="D29" s="130">
        <v>43173</v>
      </c>
      <c r="E29" s="130">
        <v>43203</v>
      </c>
      <c r="F29" s="129" t="s">
        <v>209</v>
      </c>
      <c r="G29" s="129">
        <v>30</v>
      </c>
      <c r="H29" s="129">
        <v>8.2191780821917804E-2</v>
      </c>
      <c r="I29" s="129"/>
      <c r="J29" s="129"/>
      <c r="K29" s="129">
        <v>0.3660793967580851</v>
      </c>
      <c r="L29" s="129">
        <v>50</v>
      </c>
      <c r="M29" s="129">
        <v>4.1095890410958902E-2</v>
      </c>
      <c r="N29" s="131">
        <v>0.32498350634712619</v>
      </c>
      <c r="O29" s="129">
        <v>100</v>
      </c>
      <c r="P29" s="129"/>
      <c r="Q29" s="129"/>
      <c r="R29" s="129" t="s">
        <v>151</v>
      </c>
    </row>
    <row r="30" spans="2:18" x14ac:dyDescent="0.15">
      <c r="B30" s="129" t="s">
        <v>160</v>
      </c>
      <c r="C30" s="129" t="s">
        <v>207</v>
      </c>
      <c r="D30" s="130">
        <v>43173</v>
      </c>
      <c r="E30" s="130">
        <v>43203</v>
      </c>
      <c r="F30" s="129" t="s">
        <v>210</v>
      </c>
      <c r="G30" s="129">
        <v>30</v>
      </c>
      <c r="H30" s="129">
        <v>8.2191780821917804E-2</v>
      </c>
      <c r="I30" s="129"/>
      <c r="J30" s="129"/>
      <c r="K30" s="129">
        <v>0.49604829188830735</v>
      </c>
      <c r="L30" s="129">
        <v>50</v>
      </c>
      <c r="M30" s="129">
        <v>4.1095890410958902E-2</v>
      </c>
      <c r="N30" s="131">
        <v>0.45495240147734844</v>
      </c>
      <c r="O30" s="129">
        <v>100</v>
      </c>
      <c r="P30" s="129"/>
      <c r="Q30" s="129"/>
      <c r="R30" s="129" t="s">
        <v>151</v>
      </c>
    </row>
    <row r="31" spans="2:18" x14ac:dyDescent="0.15">
      <c r="B31" s="41"/>
      <c r="C31" s="41" t="s">
        <v>181</v>
      </c>
      <c r="D31" s="41" t="s">
        <v>180</v>
      </c>
      <c r="E31" s="41" t="s">
        <v>10</v>
      </c>
      <c r="F31" s="41" t="s">
        <v>184</v>
      </c>
      <c r="G31" s="41" t="s">
        <v>11</v>
      </c>
      <c r="H31" s="41" t="s">
        <v>12</v>
      </c>
      <c r="I31" s="41" t="s">
        <v>47</v>
      </c>
      <c r="J31" s="41" t="s">
        <v>13</v>
      </c>
      <c r="K31" s="41" t="s">
        <v>14</v>
      </c>
      <c r="L31" s="41" t="s">
        <v>26</v>
      </c>
      <c r="M31" s="41" t="s">
        <v>28</v>
      </c>
      <c r="N31" s="41" t="s">
        <v>182</v>
      </c>
      <c r="O31" s="41" t="s">
        <v>8</v>
      </c>
      <c r="P31" s="41" t="s">
        <v>23</v>
      </c>
      <c r="Q31" s="41"/>
      <c r="R31" s="41" t="s">
        <v>30</v>
      </c>
    </row>
    <row r="32" spans="2:18" x14ac:dyDescent="0.15">
      <c r="B32" s="129" t="s">
        <v>160</v>
      </c>
      <c r="C32" s="129" t="s">
        <v>211</v>
      </c>
      <c r="D32" s="130">
        <v>43174</v>
      </c>
      <c r="E32" s="130">
        <v>43206</v>
      </c>
      <c r="F32" s="129">
        <v>270</v>
      </c>
      <c r="G32" s="129">
        <v>32</v>
      </c>
      <c r="H32" s="129">
        <v>8.7671232876712329E-2</v>
      </c>
      <c r="I32" s="129">
        <v>0.03</v>
      </c>
      <c r="J32" s="129">
        <v>0.13</v>
      </c>
      <c r="K32" s="129">
        <v>-5.09179079711177</v>
      </c>
      <c r="L32" s="129">
        <v>50</v>
      </c>
      <c r="M32" s="129">
        <v>0.11881643835616439</v>
      </c>
      <c r="N32" s="131">
        <v>5.2106072354679345</v>
      </c>
      <c r="O32" s="129">
        <v>271.05</v>
      </c>
      <c r="P32" s="129" t="s">
        <v>39</v>
      </c>
      <c r="Q32" s="129">
        <v>-1</v>
      </c>
      <c r="R32" s="129" t="s">
        <v>20</v>
      </c>
    </row>
    <row r="33" spans="2:18" x14ac:dyDescent="0.15">
      <c r="B33" s="129" t="s">
        <v>160</v>
      </c>
      <c r="C33" s="129" t="s">
        <v>211</v>
      </c>
      <c r="D33" s="130">
        <v>43174</v>
      </c>
      <c r="E33" s="130">
        <v>43235</v>
      </c>
      <c r="F33" s="129">
        <v>270</v>
      </c>
      <c r="G33" s="129">
        <v>61</v>
      </c>
      <c r="H33" s="129">
        <v>0.16712328767123288</v>
      </c>
      <c r="I33" s="129">
        <v>0.03</v>
      </c>
      <c r="J33" s="129">
        <v>0.13</v>
      </c>
      <c r="K33" s="129">
        <v>-7.0124054757578733</v>
      </c>
      <c r="L33" s="129">
        <v>50</v>
      </c>
      <c r="M33" s="129">
        <v>0.2264938356164384</v>
      </c>
      <c r="N33" s="131">
        <v>7.2388993113743121</v>
      </c>
      <c r="O33" s="129">
        <v>271.05</v>
      </c>
      <c r="P33" s="129" t="s">
        <v>39</v>
      </c>
      <c r="Q33" s="129">
        <v>-1</v>
      </c>
      <c r="R33" s="129" t="s">
        <v>20</v>
      </c>
    </row>
    <row r="35" spans="2:18" x14ac:dyDescent="0.15">
      <c r="B35" s="41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29" t="s">
        <v>160</v>
      </c>
      <c r="C36" s="129" t="s">
        <v>212</v>
      </c>
      <c r="D36" s="130">
        <v>43174</v>
      </c>
      <c r="E36" s="130">
        <v>43206</v>
      </c>
      <c r="F36" s="129">
        <v>9008</v>
      </c>
      <c r="G36" s="129">
        <v>32</v>
      </c>
      <c r="H36" s="129">
        <v>8.7671232876712329E-2</v>
      </c>
      <c r="I36" s="129"/>
      <c r="J36" s="129">
        <v>0.17</v>
      </c>
      <c r="K36" s="129">
        <v>-180.55460609729562</v>
      </c>
      <c r="L36" s="129"/>
      <c r="M36" s="129">
        <v>3.9487123287671233</v>
      </c>
      <c r="N36" s="131">
        <v>184.50331842606275</v>
      </c>
      <c r="O36" s="129">
        <v>9008</v>
      </c>
      <c r="P36" s="129" t="s">
        <v>39</v>
      </c>
      <c r="Q36" s="129">
        <v>-1</v>
      </c>
      <c r="R36" s="129" t="s">
        <v>20</v>
      </c>
    </row>
    <row r="37" spans="2:18" x14ac:dyDescent="0.15">
      <c r="B37" s="129" t="s">
        <v>160</v>
      </c>
      <c r="C37" s="129" t="s">
        <v>212</v>
      </c>
      <c r="D37" s="130">
        <v>43174</v>
      </c>
      <c r="E37" s="130">
        <v>43266</v>
      </c>
      <c r="F37" s="129">
        <v>9008</v>
      </c>
      <c r="G37" s="129">
        <v>92</v>
      </c>
      <c r="H37" s="129">
        <v>0.25205479452054796</v>
      </c>
      <c r="I37" s="129"/>
      <c r="J37" s="129">
        <v>0.18</v>
      </c>
      <c r="K37" s="129">
        <v>-323.01400365912923</v>
      </c>
      <c r="L37" s="129"/>
      <c r="M37" s="129">
        <v>11.35254794520548</v>
      </c>
      <c r="N37" s="131">
        <v>334.36655160433469</v>
      </c>
      <c r="O37" s="129">
        <v>9008</v>
      </c>
      <c r="P37" s="129" t="s">
        <v>39</v>
      </c>
      <c r="Q37" s="129">
        <v>-1</v>
      </c>
      <c r="R37" s="129" t="s">
        <v>20</v>
      </c>
    </row>
    <row r="38" spans="2:18" x14ac:dyDescent="0.15">
      <c r="B38" s="129" t="s">
        <v>160</v>
      </c>
      <c r="C38" s="129" t="s">
        <v>212</v>
      </c>
      <c r="D38" s="130">
        <v>43174</v>
      </c>
      <c r="E38" s="130">
        <v>43327</v>
      </c>
      <c r="F38" s="129">
        <v>9008</v>
      </c>
      <c r="G38" s="129">
        <v>153</v>
      </c>
      <c r="H38" s="129">
        <v>0.41917808219178082</v>
      </c>
      <c r="I38" s="129"/>
      <c r="J38" s="129">
        <v>0.19</v>
      </c>
      <c r="K38" s="129">
        <v>-438.10340978749991</v>
      </c>
      <c r="L38" s="129"/>
      <c r="M38" s="129">
        <v>0</v>
      </c>
      <c r="N38" s="131">
        <v>438.10340978749991</v>
      </c>
      <c r="O38" s="129">
        <v>9008</v>
      </c>
      <c r="P38" s="129" t="s">
        <v>39</v>
      </c>
      <c r="Q38" s="129">
        <v>-1</v>
      </c>
      <c r="R38" s="129" t="s">
        <v>20</v>
      </c>
    </row>
    <row r="39" spans="2:18" x14ac:dyDescent="0.15">
      <c r="B39" s="129" t="s">
        <v>160</v>
      </c>
      <c r="C39" s="129" t="s">
        <v>213</v>
      </c>
      <c r="D39" s="130">
        <v>43174</v>
      </c>
      <c r="E39" s="130">
        <v>43206</v>
      </c>
      <c r="F39" s="129">
        <v>53180</v>
      </c>
      <c r="G39" s="129">
        <v>32</v>
      </c>
      <c r="H39" s="129">
        <v>8.7671232876712329E-2</v>
      </c>
      <c r="I39" s="129"/>
      <c r="J39" s="129">
        <v>0.18</v>
      </c>
      <c r="K39" s="129">
        <v>-1128.6169261420218</v>
      </c>
      <c r="L39" s="129"/>
      <c r="M39" s="129">
        <v>0</v>
      </c>
      <c r="N39" s="131">
        <v>1128.6169261420218</v>
      </c>
      <c r="O39" s="129">
        <v>53180</v>
      </c>
      <c r="P39" s="129" t="s">
        <v>39</v>
      </c>
      <c r="Q39" s="129">
        <v>-1</v>
      </c>
      <c r="R39" s="129" t="s">
        <v>20</v>
      </c>
    </row>
    <row r="40" spans="2:18" x14ac:dyDescent="0.15">
      <c r="B40" s="129" t="s">
        <v>160</v>
      </c>
      <c r="C40" s="129" t="s">
        <v>213</v>
      </c>
      <c r="D40" s="130">
        <v>43174</v>
      </c>
      <c r="E40" s="130">
        <v>43266</v>
      </c>
      <c r="F40" s="129">
        <v>53180</v>
      </c>
      <c r="G40" s="129">
        <v>92</v>
      </c>
      <c r="H40" s="129">
        <v>0.25205479452054796</v>
      </c>
      <c r="I40" s="129"/>
      <c r="J40" s="129">
        <v>0.19</v>
      </c>
      <c r="K40" s="129">
        <v>-2012.822743117471</v>
      </c>
      <c r="L40" s="129"/>
      <c r="M40" s="129">
        <v>0</v>
      </c>
      <c r="N40" s="131">
        <v>2012.822743117471</v>
      </c>
      <c r="O40" s="129">
        <v>53180</v>
      </c>
      <c r="P40" s="129" t="s">
        <v>39</v>
      </c>
      <c r="Q40" s="129">
        <v>-1</v>
      </c>
      <c r="R40" s="129" t="s">
        <v>20</v>
      </c>
    </row>
    <row r="41" spans="2:18" x14ac:dyDescent="0.15">
      <c r="B41" s="129" t="s">
        <v>160</v>
      </c>
      <c r="C41" s="129" t="s">
        <v>213</v>
      </c>
      <c r="D41" s="130">
        <v>43174</v>
      </c>
      <c r="E41" s="130">
        <v>43357</v>
      </c>
      <c r="F41" s="129">
        <v>53180</v>
      </c>
      <c r="G41" s="129">
        <v>183</v>
      </c>
      <c r="H41" s="129">
        <v>0.50136986301369868</v>
      </c>
      <c r="I41" s="129"/>
      <c r="J41" s="129">
        <v>0.19</v>
      </c>
      <c r="K41" s="129">
        <v>-2823.6368912623439</v>
      </c>
      <c r="L41" s="129"/>
      <c r="M41" s="129">
        <v>0</v>
      </c>
      <c r="N41" s="131">
        <v>2823.6368912623439</v>
      </c>
      <c r="O41" s="129">
        <v>53180</v>
      </c>
      <c r="P41" s="129" t="s">
        <v>39</v>
      </c>
      <c r="Q41" s="129">
        <v>-1</v>
      </c>
      <c r="R41" s="129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5" t="s">
        <v>158</v>
      </c>
      <c r="C1" s="135"/>
      <c r="D1" s="13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abSelected="1" zoomScale="115" zoomScaleNormal="115" workbookViewId="0">
      <pane ySplit="17" topLeftCell="A21" activePane="bottomLeft" state="frozen"/>
      <selection pane="bottomLeft" activeCell="G43" sqref="G43"/>
    </sheetView>
  </sheetViews>
  <sheetFormatPr defaultColWidth="9" defaultRowHeight="10.5" x14ac:dyDescent="0.15"/>
  <cols>
    <col min="1" max="3" width="9" style="119"/>
    <col min="4" max="4" width="9" style="119" customWidth="1"/>
    <col min="5" max="7" width="9" style="119"/>
    <col min="8" max="8" width="9.625" style="119" customWidth="1"/>
    <col min="9" max="9" width="9" style="119"/>
    <col min="10" max="10" width="9.25" style="119" customWidth="1"/>
    <col min="11" max="16384" width="9" style="119"/>
  </cols>
  <sheetData>
    <row r="1" spans="2:20" ht="11.25" thickBot="1" x14ac:dyDescent="0.2">
      <c r="B1" s="151" t="s">
        <v>118</v>
      </c>
      <c r="C1" s="151"/>
    </row>
    <row r="2" spans="2:20" ht="11.25" thickTop="1" x14ac:dyDescent="0.15"/>
    <row r="3" spans="2:20" ht="11.25" thickBot="1" x14ac:dyDescent="0.2">
      <c r="B3" s="152" t="s">
        <v>119</v>
      </c>
      <c r="C3" s="152"/>
      <c r="D3" s="152"/>
      <c r="E3" s="152"/>
      <c r="G3" s="156" t="s">
        <v>120</v>
      </c>
      <c r="H3" s="156"/>
      <c r="I3" s="156"/>
      <c r="J3" s="156"/>
      <c r="L3" s="152" t="s">
        <v>165</v>
      </c>
      <c r="M3" s="152"/>
      <c r="N3" s="152"/>
      <c r="O3" s="152"/>
      <c r="Q3" s="156" t="s">
        <v>166</v>
      </c>
      <c r="R3" s="156"/>
      <c r="S3" s="156"/>
      <c r="T3" s="156"/>
    </row>
    <row r="4" spans="2:20" ht="12" thickTop="1" thickBot="1" x14ac:dyDescent="0.2">
      <c r="B4" s="153" t="s">
        <v>121</v>
      </c>
      <c r="C4" s="153"/>
      <c r="D4" s="153"/>
      <c r="E4" s="153"/>
      <c r="G4" s="153" t="s">
        <v>34</v>
      </c>
      <c r="H4" s="153"/>
      <c r="I4" s="153"/>
      <c r="J4" s="153"/>
      <c r="L4" s="153" t="s">
        <v>121</v>
      </c>
      <c r="M4" s="153"/>
      <c r="N4" s="153"/>
      <c r="O4" s="153"/>
      <c r="Q4" s="153" t="s">
        <v>34</v>
      </c>
      <c r="R4" s="153"/>
      <c r="S4" s="153"/>
      <c r="T4" s="153"/>
    </row>
    <row r="5" spans="2:20" ht="15" customHeight="1" thickTop="1" x14ac:dyDescent="0.15">
      <c r="B5" s="150" t="s">
        <v>122</v>
      </c>
      <c r="C5" s="150"/>
      <c r="D5" s="154"/>
      <c r="E5" s="155"/>
      <c r="G5" s="150" t="s">
        <v>123</v>
      </c>
      <c r="H5" s="150"/>
      <c r="I5" s="122"/>
      <c r="J5" s="123"/>
      <c r="L5" s="120" t="s">
        <v>122</v>
      </c>
      <c r="M5" s="121"/>
      <c r="N5" s="122"/>
      <c r="O5" s="123"/>
      <c r="Q5" s="150" t="s">
        <v>123</v>
      </c>
      <c r="R5" s="150"/>
      <c r="S5" s="122"/>
      <c r="T5" s="123"/>
    </row>
    <row r="6" spans="2:20" x14ac:dyDescent="0.15">
      <c r="B6" s="150" t="s">
        <v>124</v>
      </c>
      <c r="C6" s="150"/>
      <c r="D6" s="148" t="s">
        <v>125</v>
      </c>
      <c r="E6" s="149"/>
      <c r="G6" s="150" t="s">
        <v>126</v>
      </c>
      <c r="H6" s="150"/>
      <c r="I6" s="148"/>
      <c r="J6" s="149"/>
      <c r="L6" s="150" t="s">
        <v>124</v>
      </c>
      <c r="M6" s="150"/>
      <c r="N6" s="148" t="s">
        <v>125</v>
      </c>
      <c r="O6" s="149"/>
      <c r="Q6" s="150" t="s">
        <v>126</v>
      </c>
      <c r="R6" s="150"/>
      <c r="S6" s="148"/>
      <c r="T6" s="149"/>
    </row>
    <row r="7" spans="2:20" ht="2.25" customHeight="1" x14ac:dyDescent="0.15">
      <c r="B7" s="150" t="s">
        <v>127</v>
      </c>
      <c r="C7" s="150"/>
      <c r="D7" s="148" t="s">
        <v>125</v>
      </c>
      <c r="E7" s="149"/>
      <c r="G7" s="150" t="s">
        <v>128</v>
      </c>
      <c r="H7" s="150"/>
      <c r="I7" s="148"/>
      <c r="J7" s="149"/>
      <c r="L7" s="150" t="s">
        <v>127</v>
      </c>
      <c r="M7" s="150"/>
      <c r="N7" s="148" t="s">
        <v>125</v>
      </c>
      <c r="O7" s="149"/>
      <c r="Q7" s="150" t="s">
        <v>128</v>
      </c>
      <c r="R7" s="150"/>
      <c r="S7" s="148"/>
      <c r="T7" s="149"/>
    </row>
    <row r="8" spans="2:20" hidden="1" x14ac:dyDescent="0.15">
      <c r="B8" s="150" t="s">
        <v>129</v>
      </c>
      <c r="C8" s="150"/>
      <c r="D8" s="148">
        <f>D13*D15</f>
        <v>305000</v>
      </c>
      <c r="E8" s="149"/>
      <c r="G8" s="150" t="s">
        <v>130</v>
      </c>
      <c r="H8" s="150"/>
      <c r="I8" s="148"/>
      <c r="J8" s="149"/>
      <c r="L8" s="150" t="s">
        <v>129</v>
      </c>
      <c r="M8" s="150"/>
      <c r="N8" s="148">
        <f>N14*N16</f>
        <v>305000</v>
      </c>
      <c r="O8" s="149"/>
      <c r="Q8" s="150" t="s">
        <v>130</v>
      </c>
      <c r="R8" s="150"/>
      <c r="S8" s="148"/>
      <c r="T8" s="149"/>
    </row>
    <row r="9" spans="2:20" hidden="1" x14ac:dyDescent="0.15">
      <c r="B9" s="150" t="s">
        <v>131</v>
      </c>
      <c r="C9" s="150"/>
      <c r="D9" s="148" t="s">
        <v>132</v>
      </c>
      <c r="E9" s="149"/>
      <c r="G9" s="150" t="s">
        <v>133</v>
      </c>
      <c r="H9" s="150"/>
      <c r="I9" s="148"/>
      <c r="J9" s="149"/>
      <c r="L9" s="150" t="s">
        <v>131</v>
      </c>
      <c r="M9" s="150"/>
      <c r="N9" s="148" t="s">
        <v>132</v>
      </c>
      <c r="O9" s="149"/>
      <c r="Q9" s="150" t="s">
        <v>133</v>
      </c>
      <c r="R9" s="150"/>
      <c r="S9" s="148"/>
      <c r="T9" s="149"/>
    </row>
    <row r="10" spans="2:20" hidden="1" x14ac:dyDescent="0.15">
      <c r="B10" s="150" t="s">
        <v>134</v>
      </c>
      <c r="C10" s="150"/>
      <c r="D10" s="148">
        <v>43084</v>
      </c>
      <c r="E10" s="149"/>
      <c r="G10" s="124" t="s">
        <v>135</v>
      </c>
      <c r="H10" s="124"/>
      <c r="I10" s="148"/>
      <c r="J10" s="149"/>
      <c r="L10" s="150" t="s">
        <v>134</v>
      </c>
      <c r="M10" s="150"/>
      <c r="N10" s="148">
        <v>43084</v>
      </c>
      <c r="O10" s="149"/>
      <c r="Q10" s="124" t="s">
        <v>135</v>
      </c>
      <c r="R10" s="124"/>
      <c r="S10" s="148"/>
      <c r="T10" s="149"/>
    </row>
    <row r="11" spans="2:20" hidden="1" x14ac:dyDescent="0.15">
      <c r="B11" s="150" t="s">
        <v>136</v>
      </c>
      <c r="C11" s="150"/>
      <c r="D11" s="148">
        <v>3935</v>
      </c>
      <c r="E11" s="149"/>
      <c r="G11" s="150" t="s">
        <v>137</v>
      </c>
      <c r="H11" s="150"/>
      <c r="I11" s="148"/>
      <c r="J11" s="149"/>
      <c r="L11" s="150" t="s">
        <v>136</v>
      </c>
      <c r="M11" s="150"/>
      <c r="N11" s="148">
        <v>3935</v>
      </c>
      <c r="O11" s="149"/>
      <c r="Q11" s="150" t="s">
        <v>137</v>
      </c>
      <c r="R11" s="150"/>
      <c r="S11" s="148"/>
      <c r="T11" s="149"/>
    </row>
    <row r="12" spans="2:20" hidden="1" x14ac:dyDescent="0.15">
      <c r="B12" s="150" t="s">
        <v>138</v>
      </c>
      <c r="C12" s="150"/>
      <c r="D12" s="148">
        <v>3800</v>
      </c>
      <c r="E12" s="149"/>
      <c r="G12" s="150" t="s">
        <v>139</v>
      </c>
      <c r="H12" s="150"/>
      <c r="I12" s="148"/>
      <c r="J12" s="149"/>
      <c r="L12" s="150" t="s">
        <v>163</v>
      </c>
      <c r="M12" s="150"/>
      <c r="N12" s="148">
        <v>3800</v>
      </c>
      <c r="O12" s="149"/>
      <c r="Q12" s="150" t="s">
        <v>167</v>
      </c>
      <c r="R12" s="150"/>
      <c r="S12" s="148"/>
      <c r="T12" s="149"/>
    </row>
    <row r="13" spans="2:20" hidden="1" x14ac:dyDescent="0.15">
      <c r="B13" s="150" t="s">
        <v>140</v>
      </c>
      <c r="C13" s="150"/>
      <c r="D13" s="148">
        <v>61</v>
      </c>
      <c r="E13" s="149"/>
      <c r="G13" s="150" t="s">
        <v>141</v>
      </c>
      <c r="H13" s="150"/>
      <c r="I13" s="148"/>
      <c r="J13" s="149"/>
      <c r="L13" s="150" t="s">
        <v>164</v>
      </c>
      <c r="M13" s="150"/>
      <c r="N13" s="148">
        <v>3800</v>
      </c>
      <c r="O13" s="149"/>
      <c r="Q13" s="150" t="s">
        <v>168</v>
      </c>
      <c r="R13" s="150"/>
      <c r="S13" s="148"/>
      <c r="T13" s="149"/>
    </row>
    <row r="14" spans="2:20" hidden="1" x14ac:dyDescent="0.15">
      <c r="B14" s="150" t="s">
        <v>142</v>
      </c>
      <c r="C14" s="150"/>
      <c r="D14" s="148" t="s">
        <v>143</v>
      </c>
      <c r="E14" s="149"/>
      <c r="G14" s="150" t="s">
        <v>144</v>
      </c>
      <c r="H14" s="150"/>
      <c r="I14" s="125"/>
      <c r="J14" s="126"/>
      <c r="L14" s="150" t="s">
        <v>140</v>
      </c>
      <c r="M14" s="150"/>
      <c r="N14" s="148">
        <v>61</v>
      </c>
      <c r="O14" s="149"/>
      <c r="Q14" s="150" t="s">
        <v>141</v>
      </c>
      <c r="R14" s="150"/>
      <c r="S14" s="148"/>
      <c r="T14" s="149"/>
    </row>
    <row r="15" spans="2:20" hidden="1" x14ac:dyDescent="0.15">
      <c r="B15" s="150" t="s">
        <v>145</v>
      </c>
      <c r="C15" s="150"/>
      <c r="D15" s="148">
        <v>5000</v>
      </c>
      <c r="E15" s="149"/>
      <c r="G15" s="150" t="s">
        <v>146</v>
      </c>
      <c r="H15" s="150"/>
      <c r="I15" s="148"/>
      <c r="J15" s="149"/>
      <c r="L15" s="150" t="s">
        <v>142</v>
      </c>
      <c r="M15" s="150"/>
      <c r="N15" s="148" t="s">
        <v>143</v>
      </c>
      <c r="O15" s="149"/>
      <c r="Q15" s="150" t="s">
        <v>144</v>
      </c>
      <c r="R15" s="150"/>
      <c r="S15" s="125"/>
      <c r="T15" s="126"/>
    </row>
    <row r="16" spans="2:20" ht="11.25" hidden="1" thickBot="1" x14ac:dyDescent="0.2">
      <c r="B16" s="145" t="s">
        <v>147</v>
      </c>
      <c r="C16" s="145"/>
      <c r="D16" s="146" t="s">
        <v>148</v>
      </c>
      <c r="E16" s="147"/>
      <c r="G16" s="145" t="s">
        <v>149</v>
      </c>
      <c r="H16" s="145"/>
      <c r="I16" s="146"/>
      <c r="J16" s="147"/>
      <c r="L16" s="150" t="s">
        <v>145</v>
      </c>
      <c r="M16" s="150"/>
      <c r="N16" s="148">
        <v>5000</v>
      </c>
      <c r="O16" s="149"/>
      <c r="Q16" s="150" t="s">
        <v>146</v>
      </c>
      <c r="R16" s="150"/>
      <c r="S16" s="148"/>
      <c r="T16" s="149"/>
    </row>
    <row r="17" spans="2:25" ht="12" hidden="1" thickTop="1" thickBot="1" x14ac:dyDescent="0.2">
      <c r="L17" s="145" t="s">
        <v>147</v>
      </c>
      <c r="M17" s="145"/>
      <c r="N17" s="146" t="s">
        <v>148</v>
      </c>
      <c r="O17" s="147"/>
      <c r="Q17" s="145" t="s">
        <v>149</v>
      </c>
      <c r="R17" s="145"/>
      <c r="S17" s="146"/>
      <c r="T17" s="147"/>
    </row>
    <row r="19" spans="2:25" x14ac:dyDescent="0.15">
      <c r="B19" s="127" t="s">
        <v>150</v>
      </c>
    </row>
    <row r="21" spans="2:25" ht="11.25" thickBot="1" x14ac:dyDescent="0.2">
      <c r="B21" s="128"/>
      <c r="C21" s="128"/>
      <c r="D21" s="128"/>
      <c r="E21" s="128"/>
      <c r="G21" s="128"/>
      <c r="H21" s="128"/>
      <c r="I21" s="128"/>
      <c r="J21" s="128"/>
      <c r="L21" s="128"/>
      <c r="M21" s="128"/>
      <c r="N21" s="128"/>
      <c r="O21" s="128"/>
      <c r="Q21" s="128"/>
      <c r="R21" s="128"/>
      <c r="S21" s="128"/>
      <c r="T21" s="128"/>
      <c r="V21" s="128"/>
      <c r="W21" s="128"/>
      <c r="X21" s="128"/>
      <c r="Y21" s="128"/>
    </row>
    <row r="22" spans="2:25" ht="12.75" thickTop="1" thickBot="1" x14ac:dyDescent="0.2">
      <c r="B22" s="143" t="s">
        <v>188</v>
      </c>
      <c r="C22" s="143"/>
      <c r="D22" s="143"/>
      <c r="E22" s="143"/>
      <c r="G22" s="143" t="s">
        <v>189</v>
      </c>
      <c r="H22" s="143"/>
      <c r="I22" s="143"/>
      <c r="J22" s="143"/>
      <c r="L22" s="153" t="s">
        <v>189</v>
      </c>
      <c r="M22" s="153"/>
      <c r="N22" s="153"/>
      <c r="O22" s="153"/>
      <c r="Q22" s="143" t="s">
        <v>188</v>
      </c>
      <c r="R22" s="143"/>
      <c r="S22" s="143"/>
      <c r="T22" s="143"/>
      <c r="V22" s="153" t="s">
        <v>189</v>
      </c>
      <c r="W22" s="153"/>
      <c r="X22" s="153"/>
      <c r="Y22" s="153"/>
    </row>
    <row r="23" spans="2:25" ht="12" thickTop="1" x14ac:dyDescent="0.15">
      <c r="B23" s="136" t="s">
        <v>122</v>
      </c>
      <c r="C23" s="136"/>
      <c r="D23" s="142">
        <f ca="1">TODAY()</f>
        <v>43179</v>
      </c>
      <c r="E23" s="144"/>
      <c r="G23" s="136" t="s">
        <v>122</v>
      </c>
      <c r="H23" s="136"/>
      <c r="I23" s="142">
        <f ca="1">TODAY()</f>
        <v>43179</v>
      </c>
      <c r="J23" s="144"/>
      <c r="L23" s="136" t="s">
        <v>122</v>
      </c>
      <c r="M23" s="136"/>
      <c r="N23" s="142">
        <f ca="1">TODAY()</f>
        <v>43179</v>
      </c>
      <c r="O23" s="144"/>
      <c r="Q23" s="136" t="s">
        <v>122</v>
      </c>
      <c r="R23" s="136"/>
      <c r="S23" s="142">
        <f ca="1">TODAY()-1</f>
        <v>43178</v>
      </c>
      <c r="T23" s="144"/>
      <c r="V23" s="136" t="s">
        <v>122</v>
      </c>
      <c r="W23" s="136"/>
      <c r="X23" s="142">
        <f ca="1">TODAY()-1</f>
        <v>43178</v>
      </c>
      <c r="Y23" s="144"/>
    </row>
    <row r="24" spans="2:25" ht="11.25" x14ac:dyDescent="0.15">
      <c r="B24" s="136" t="s">
        <v>124</v>
      </c>
      <c r="C24" s="136"/>
      <c r="D24" s="137" t="s">
        <v>186</v>
      </c>
      <c r="E24" s="138"/>
      <c r="G24" s="136" t="s">
        <v>124</v>
      </c>
      <c r="H24" s="136"/>
      <c r="I24" s="137" t="s">
        <v>186</v>
      </c>
      <c r="J24" s="138"/>
      <c r="L24" s="136" t="s">
        <v>124</v>
      </c>
      <c r="M24" s="136"/>
      <c r="N24" s="137" t="s">
        <v>36</v>
      </c>
      <c r="O24" s="138"/>
      <c r="Q24" s="136" t="s">
        <v>124</v>
      </c>
      <c r="R24" s="136"/>
      <c r="S24" s="137" t="s">
        <v>36</v>
      </c>
      <c r="T24" s="138"/>
      <c r="V24" s="136" t="s">
        <v>124</v>
      </c>
      <c r="W24" s="136"/>
      <c r="X24" s="137" t="s">
        <v>36</v>
      </c>
      <c r="Y24" s="138"/>
    </row>
    <row r="25" spans="2:25" ht="11.25" x14ac:dyDescent="0.15">
      <c r="B25" s="136" t="s">
        <v>127</v>
      </c>
      <c r="C25" s="136"/>
      <c r="D25" s="137" t="s">
        <v>5</v>
      </c>
      <c r="E25" s="138"/>
      <c r="G25" s="136" t="s">
        <v>127</v>
      </c>
      <c r="H25" s="136"/>
      <c r="I25" s="137" t="s">
        <v>5</v>
      </c>
      <c r="J25" s="138"/>
      <c r="L25" s="136" t="s">
        <v>127</v>
      </c>
      <c r="M25" s="136"/>
      <c r="N25" s="137" t="s">
        <v>196</v>
      </c>
      <c r="O25" s="138"/>
      <c r="Q25" s="136" t="s">
        <v>127</v>
      </c>
      <c r="R25" s="136"/>
      <c r="S25" s="137" t="s">
        <v>187</v>
      </c>
      <c r="T25" s="138"/>
      <c r="V25" s="136" t="s">
        <v>127</v>
      </c>
      <c r="W25" s="136"/>
      <c r="X25" s="137" t="s">
        <v>187</v>
      </c>
      <c r="Y25" s="138"/>
    </row>
    <row r="26" spans="2:25" ht="11.25" x14ac:dyDescent="0.15">
      <c r="B26" s="136" t="s">
        <v>129</v>
      </c>
      <c r="C26" s="136"/>
      <c r="D26" s="137">
        <f>D31*D33</f>
        <v>388800</v>
      </c>
      <c r="E26" s="138"/>
      <c r="G26" s="136" t="s">
        <v>179</v>
      </c>
      <c r="H26" s="136"/>
      <c r="I26" s="137">
        <f>I31*I33</f>
        <v>271800</v>
      </c>
      <c r="J26" s="138"/>
      <c r="L26" s="136" t="s">
        <v>129</v>
      </c>
      <c r="M26" s="136"/>
      <c r="N26" s="137">
        <f>N31*N33</f>
        <v>275000</v>
      </c>
      <c r="O26" s="138"/>
      <c r="Q26" s="136" t="s">
        <v>129</v>
      </c>
      <c r="R26" s="136"/>
      <c r="S26" s="137">
        <f>S31*S33</f>
        <v>235799.99999999997</v>
      </c>
      <c r="T26" s="138"/>
      <c r="V26" s="136" t="s">
        <v>129</v>
      </c>
      <c r="W26" s="136"/>
      <c r="X26" s="137">
        <f>X31*X33</f>
        <v>235799.99999999997</v>
      </c>
      <c r="Y26" s="138"/>
    </row>
    <row r="27" spans="2:25" ht="11.25" x14ac:dyDescent="0.15">
      <c r="B27" s="136" t="s">
        <v>131</v>
      </c>
      <c r="C27" s="136"/>
      <c r="D27" s="137" t="s">
        <v>132</v>
      </c>
      <c r="E27" s="138"/>
      <c r="G27" s="136" t="s">
        <v>131</v>
      </c>
      <c r="H27" s="136"/>
      <c r="I27" s="137" t="s">
        <v>198</v>
      </c>
      <c r="J27" s="138"/>
      <c r="L27" s="136" t="s">
        <v>131</v>
      </c>
      <c r="M27" s="136"/>
      <c r="N27" s="137" t="s">
        <v>190</v>
      </c>
      <c r="O27" s="138"/>
      <c r="Q27" s="136" t="s">
        <v>131</v>
      </c>
      <c r="R27" s="136"/>
      <c r="S27" s="137" t="s">
        <v>191</v>
      </c>
      <c r="T27" s="138"/>
      <c r="V27" s="136" t="s">
        <v>131</v>
      </c>
      <c r="W27" s="136"/>
      <c r="X27" s="137" t="s">
        <v>190</v>
      </c>
      <c r="Y27" s="138"/>
    </row>
    <row r="28" spans="2:25" ht="11.25" x14ac:dyDescent="0.15">
      <c r="B28" s="136" t="s">
        <v>134</v>
      </c>
      <c r="C28" s="136"/>
      <c r="D28" s="142">
        <v>43182</v>
      </c>
      <c r="E28" s="138"/>
      <c r="G28" s="136" t="s">
        <v>134</v>
      </c>
      <c r="H28" s="136"/>
      <c r="I28" s="142">
        <v>43182</v>
      </c>
      <c r="J28" s="138"/>
      <c r="L28" s="136" t="s">
        <v>134</v>
      </c>
      <c r="M28" s="136"/>
      <c r="N28" s="142">
        <v>43219</v>
      </c>
      <c r="O28" s="138"/>
      <c r="Q28" s="136" t="s">
        <v>134</v>
      </c>
      <c r="R28" s="136"/>
      <c r="S28" s="142">
        <v>43201</v>
      </c>
      <c r="T28" s="138"/>
      <c r="V28" s="136" t="s">
        <v>134</v>
      </c>
      <c r="W28" s="136"/>
      <c r="X28" s="142">
        <v>43201</v>
      </c>
      <c r="Y28" s="138"/>
    </row>
    <row r="29" spans="2:25" ht="11.25" x14ac:dyDescent="0.15">
      <c r="B29" s="136" t="s">
        <v>136</v>
      </c>
      <c r="C29" s="136"/>
      <c r="D29" s="137">
        <v>3856</v>
      </c>
      <c r="E29" s="138"/>
      <c r="G29" s="136" t="s">
        <v>136</v>
      </c>
      <c r="H29" s="136"/>
      <c r="I29" s="137">
        <v>3856</v>
      </c>
      <c r="J29" s="138"/>
      <c r="L29" s="136" t="s">
        <v>136</v>
      </c>
      <c r="M29" s="136"/>
      <c r="N29" s="137">
        <v>3760</v>
      </c>
      <c r="O29" s="138"/>
      <c r="Q29" s="136" t="s">
        <v>136</v>
      </c>
      <c r="R29" s="136"/>
      <c r="S29" s="137">
        <v>524</v>
      </c>
      <c r="T29" s="138"/>
      <c r="V29" s="136" t="s">
        <v>136</v>
      </c>
      <c r="W29" s="136"/>
      <c r="X29" s="137">
        <v>524</v>
      </c>
      <c r="Y29" s="138"/>
    </row>
    <row r="30" spans="2:25" ht="11.25" x14ac:dyDescent="0.15">
      <c r="B30" s="136" t="s">
        <v>138</v>
      </c>
      <c r="C30" s="136"/>
      <c r="D30" s="137">
        <v>3800</v>
      </c>
      <c r="E30" s="138"/>
      <c r="G30" s="136" t="s">
        <v>138</v>
      </c>
      <c r="H30" s="136"/>
      <c r="I30" s="137">
        <v>3930</v>
      </c>
      <c r="J30" s="138"/>
      <c r="L30" s="136" t="s">
        <v>138</v>
      </c>
      <c r="M30" s="136"/>
      <c r="N30" s="137">
        <v>3700</v>
      </c>
      <c r="O30" s="138"/>
      <c r="Q30" s="136" t="s">
        <v>138</v>
      </c>
      <c r="R30" s="136"/>
      <c r="S30" s="137">
        <v>524</v>
      </c>
      <c r="T30" s="138"/>
      <c r="V30" s="136" t="s">
        <v>138</v>
      </c>
      <c r="W30" s="136"/>
      <c r="X30" s="137">
        <v>524</v>
      </c>
      <c r="Y30" s="138"/>
    </row>
    <row r="31" spans="2:25" ht="11.25" x14ac:dyDescent="0.15">
      <c r="B31" s="136" t="s">
        <v>140</v>
      </c>
      <c r="C31" s="136"/>
      <c r="D31" s="137">
        <v>38.880000000000003</v>
      </c>
      <c r="E31" s="138"/>
      <c r="G31" s="136" t="s">
        <v>199</v>
      </c>
      <c r="H31" s="136"/>
      <c r="I31" s="137">
        <v>27.18</v>
      </c>
      <c r="J31" s="138"/>
      <c r="L31" s="136" t="s">
        <v>140</v>
      </c>
      <c r="M31" s="136"/>
      <c r="N31" s="137">
        <v>55</v>
      </c>
      <c r="O31" s="138"/>
      <c r="Q31" s="136" t="s">
        <v>140</v>
      </c>
      <c r="R31" s="136"/>
      <c r="S31" s="137">
        <v>23.58</v>
      </c>
      <c r="T31" s="138"/>
      <c r="V31" s="136" t="s">
        <v>140</v>
      </c>
      <c r="W31" s="136"/>
      <c r="X31" s="137">
        <v>23.58</v>
      </c>
      <c r="Y31" s="138"/>
    </row>
    <row r="32" spans="2:25" ht="11.25" x14ac:dyDescent="0.15">
      <c r="B32" s="136" t="s">
        <v>142</v>
      </c>
      <c r="C32" s="136"/>
      <c r="D32" s="137" t="s">
        <v>197</v>
      </c>
      <c r="E32" s="138"/>
      <c r="G32" s="136" t="s">
        <v>200</v>
      </c>
      <c r="H32" s="136"/>
      <c r="I32" s="137" t="s">
        <v>197</v>
      </c>
      <c r="J32" s="138"/>
      <c r="L32" s="136" t="s">
        <v>142</v>
      </c>
      <c r="M32" s="136"/>
      <c r="N32" s="137" t="s">
        <v>195</v>
      </c>
      <c r="O32" s="138"/>
      <c r="Q32" s="136" t="s">
        <v>142</v>
      </c>
      <c r="R32" s="136"/>
      <c r="S32" s="137" t="s">
        <v>192</v>
      </c>
      <c r="T32" s="138"/>
      <c r="V32" s="136" t="s">
        <v>142</v>
      </c>
      <c r="W32" s="136"/>
      <c r="X32" s="137" t="s">
        <v>192</v>
      </c>
      <c r="Y32" s="138"/>
    </row>
    <row r="33" spans="2:25" ht="11.25" x14ac:dyDescent="0.15">
      <c r="B33" s="136" t="s">
        <v>145</v>
      </c>
      <c r="C33" s="136"/>
      <c r="D33" s="137">
        <v>10000</v>
      </c>
      <c r="E33" s="138"/>
      <c r="G33" s="136" t="s">
        <v>201</v>
      </c>
      <c r="H33" s="136"/>
      <c r="I33" s="137">
        <v>10000</v>
      </c>
      <c r="J33" s="138"/>
      <c r="L33" s="136" t="s">
        <v>145</v>
      </c>
      <c r="M33" s="136"/>
      <c r="N33" s="137">
        <v>5000</v>
      </c>
      <c r="O33" s="138"/>
      <c r="Q33" s="136" t="s">
        <v>145</v>
      </c>
      <c r="R33" s="136"/>
      <c r="S33" s="137">
        <v>10000</v>
      </c>
      <c r="T33" s="138"/>
      <c r="V33" s="136" t="s">
        <v>145</v>
      </c>
      <c r="W33" s="136"/>
      <c r="X33" s="137">
        <v>10000</v>
      </c>
      <c r="Y33" s="138"/>
    </row>
    <row r="34" spans="2:25" ht="12" thickBot="1" x14ac:dyDescent="0.2">
      <c r="B34" s="139" t="s">
        <v>147</v>
      </c>
      <c r="C34" s="139"/>
      <c r="D34" s="140" t="s">
        <v>148</v>
      </c>
      <c r="E34" s="141"/>
      <c r="G34" s="139" t="s">
        <v>147</v>
      </c>
      <c r="H34" s="139"/>
      <c r="I34" s="140" t="s">
        <v>148</v>
      </c>
      <c r="J34" s="141"/>
      <c r="L34" s="139" t="s">
        <v>147</v>
      </c>
      <c r="M34" s="139"/>
      <c r="N34" s="140" t="s">
        <v>148</v>
      </c>
      <c r="O34" s="141"/>
      <c r="Q34" s="139" t="s">
        <v>147</v>
      </c>
      <c r="R34" s="139"/>
      <c r="S34" s="140" t="s">
        <v>148</v>
      </c>
      <c r="T34" s="141"/>
      <c r="V34" s="139" t="s">
        <v>147</v>
      </c>
      <c r="W34" s="139"/>
      <c r="X34" s="140" t="s">
        <v>148</v>
      </c>
      <c r="Y34" s="141"/>
    </row>
    <row r="35" spans="2:25" ht="11.25" thickTop="1" x14ac:dyDescent="0.15"/>
    <row r="36" spans="2:25" ht="12" thickBot="1" x14ac:dyDescent="0.2">
      <c r="B36" s="143" t="s">
        <v>121</v>
      </c>
      <c r="C36" s="143"/>
      <c r="D36" s="143"/>
      <c r="E36" s="143"/>
    </row>
    <row r="37" spans="2:25" ht="12" thickTop="1" x14ac:dyDescent="0.15">
      <c r="B37" s="136" t="s">
        <v>122</v>
      </c>
      <c r="C37" s="136"/>
      <c r="D37" s="142">
        <f ca="1">TODAY()</f>
        <v>43179</v>
      </c>
      <c r="E37" s="144"/>
    </row>
    <row r="38" spans="2:25" ht="11.25" x14ac:dyDescent="0.15">
      <c r="B38" s="136" t="s">
        <v>124</v>
      </c>
      <c r="C38" s="136"/>
      <c r="D38" s="137" t="s">
        <v>4</v>
      </c>
      <c r="E38" s="138"/>
    </row>
    <row r="39" spans="2:25" ht="11.25" x14ac:dyDescent="0.15">
      <c r="B39" s="136" t="s">
        <v>127</v>
      </c>
      <c r="C39" s="136"/>
      <c r="D39" s="137" t="s">
        <v>186</v>
      </c>
      <c r="E39" s="138"/>
    </row>
    <row r="40" spans="2:25" ht="11.25" x14ac:dyDescent="0.15">
      <c r="B40" s="136" t="s">
        <v>179</v>
      </c>
      <c r="C40" s="136"/>
      <c r="D40" s="137">
        <f>D45*D47</f>
        <v>266600</v>
      </c>
      <c r="E40" s="138"/>
    </row>
    <row r="41" spans="2:25" ht="11.25" x14ac:dyDescent="0.15">
      <c r="B41" s="136" t="s">
        <v>131</v>
      </c>
      <c r="C41" s="136"/>
      <c r="D41" s="137" t="s">
        <v>190</v>
      </c>
      <c r="E41" s="138"/>
    </row>
    <row r="42" spans="2:25" ht="11.25" x14ac:dyDescent="0.15">
      <c r="B42" s="136" t="s">
        <v>134</v>
      </c>
      <c r="C42" s="136"/>
      <c r="D42" s="142">
        <v>43311</v>
      </c>
      <c r="E42" s="138"/>
    </row>
    <row r="43" spans="2:25" ht="11.25" x14ac:dyDescent="0.15">
      <c r="B43" s="136" t="s">
        <v>136</v>
      </c>
      <c r="C43" s="136"/>
      <c r="D43" s="137">
        <v>3605</v>
      </c>
      <c r="E43" s="138"/>
    </row>
    <row r="44" spans="2:25" ht="11.25" x14ac:dyDescent="0.15">
      <c r="B44" s="136" t="s">
        <v>138</v>
      </c>
      <c r="C44" s="136"/>
      <c r="D44" s="137">
        <v>3000</v>
      </c>
      <c r="E44" s="138"/>
    </row>
    <row r="45" spans="2:25" ht="11.25" x14ac:dyDescent="0.15">
      <c r="B45" s="136" t="s">
        <v>199</v>
      </c>
      <c r="C45" s="136"/>
      <c r="D45" s="137">
        <v>26.66</v>
      </c>
      <c r="E45" s="138"/>
    </row>
    <row r="46" spans="2:25" ht="11.25" x14ac:dyDescent="0.15">
      <c r="B46" s="136" t="s">
        <v>200</v>
      </c>
      <c r="C46" s="136"/>
      <c r="D46" s="137" t="s">
        <v>214</v>
      </c>
      <c r="E46" s="138"/>
    </row>
    <row r="47" spans="2:25" ht="11.25" x14ac:dyDescent="0.15">
      <c r="B47" s="136" t="s">
        <v>201</v>
      </c>
      <c r="C47" s="136"/>
      <c r="D47" s="137">
        <v>10000</v>
      </c>
      <c r="E47" s="138"/>
    </row>
    <row r="48" spans="2:25" ht="12" thickBot="1" x14ac:dyDescent="0.2">
      <c r="B48" s="139" t="s">
        <v>147</v>
      </c>
      <c r="C48" s="139"/>
      <c r="D48" s="140" t="s">
        <v>148</v>
      </c>
      <c r="E48" s="141"/>
    </row>
    <row r="49" ht="11.25" thickTop="1" x14ac:dyDescent="0.15"/>
  </sheetData>
  <mergeCells count="251"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8"/>
  <sheetViews>
    <sheetView topLeftCell="E1" zoomScaleNormal="100" workbookViewId="0">
      <selection activeCell="H11" sqref="H11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9.125" style="6" customWidth="1"/>
    <col min="4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57" t="s">
        <v>37</v>
      </c>
      <c r="C1" s="157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47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8" ca="1" si="0">TODAY()</f>
        <v>43179</v>
      </c>
      <c r="F8" s="21">
        <f ca="1">E8+H8</f>
        <v>43259</v>
      </c>
      <c r="G8" s="19">
        <v>3800</v>
      </c>
      <c r="H8" s="19">
        <v>80</v>
      </c>
      <c r="I8" s="22">
        <f>H8/365</f>
        <v>0.21917808219178081</v>
      </c>
      <c r="J8" s="22">
        <v>0</v>
      </c>
      <c r="K8" s="23">
        <v>0.3</v>
      </c>
      <c r="L8" s="24">
        <f>_xll.dnetGBlackScholesNGreeks("price",$Q8,$P8,$G8,$I8,$C$3,$J8,$K8,$C$4)*R8</f>
        <v>-140.60021788236645</v>
      </c>
      <c r="M8" s="25"/>
      <c r="N8" s="24">
        <f>M8/10000*I8*P8</f>
        <v>0</v>
      </c>
      <c r="O8" s="24">
        <f>IF(L8&lt;=0,ABS(L8)+N8,L8-N8)</f>
        <v>140.60021788236645</v>
      </c>
      <c r="P8" s="20">
        <f>RTD("wdf.rtq",,D8,"LastPrice")</f>
        <v>3648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3.854172639319256E-2</v>
      </c>
      <c r="U8" s="24">
        <f>_xll.dnetGBlackScholesNGreeks("delta",$Q8,$P8,$G8,$I8,$C$3,$J8,$K8,$C$4)*R8</f>
        <v>-0.41096346690210339</v>
      </c>
      <c r="V8" s="24">
        <f>_xll.dnetGBlackScholesNGreeks("vega",$Q8,$P8,$G8,$I8,$C$3,$J8,$K8,$C$4)*R8</f>
        <v>-6.620465788416027</v>
      </c>
    </row>
    <row r="9" spans="1:25" x14ac:dyDescent="0.15">
      <c r="A9" s="42"/>
      <c r="B9" s="13" t="s">
        <v>172</v>
      </c>
      <c r="C9" s="10" t="s">
        <v>161</v>
      </c>
      <c r="D9" s="10" t="s">
        <v>22</v>
      </c>
      <c r="E9" s="8">
        <f t="shared" ca="1" si="0"/>
        <v>43179</v>
      </c>
      <c r="F9" s="8">
        <f ca="1">E9+H9</f>
        <v>43351</v>
      </c>
      <c r="G9" s="10">
        <v>62.9</v>
      </c>
      <c r="H9" s="10">
        <v>172</v>
      </c>
      <c r="I9" s="12">
        <f>H9/365</f>
        <v>0.47123287671232877</v>
      </c>
      <c r="J9" s="12">
        <v>0</v>
      </c>
      <c r="K9" s="9">
        <v>0.252</v>
      </c>
      <c r="L9" s="13" t="s">
        <v>203</v>
      </c>
      <c r="M9" s="15"/>
      <c r="N9" s="13">
        <f>M9/10000*I9*P9</f>
        <v>0</v>
      </c>
      <c r="O9" s="13" t="e">
        <f>IF(L9&lt;=0,ABS(L9)+N9,L9-N9)</f>
        <v>#VALUE!</v>
      </c>
      <c r="P9" s="11">
        <v>62.77</v>
      </c>
      <c r="Q9" s="10" t="s">
        <v>24</v>
      </c>
      <c r="R9" s="10">
        <f>IF(S9="中金买入",1,-1)</f>
        <v>1</v>
      </c>
      <c r="S9" s="10" t="s">
        <v>151</v>
      </c>
      <c r="T9" s="14" t="e">
        <f>O9/P9</f>
        <v>#VALUE!</v>
      </c>
      <c r="U9" s="13">
        <f>_xll.dnetGBlackScholesNGreeks("delta",$Q9,$P9,$G9,$I9,$C$3,$J9,$K9,$C$4)*R9</f>
        <v>0.52473865178725987</v>
      </c>
      <c r="V9" s="13">
        <f>_xll.dnetGBlackScholesNGreeks("vega",$Q9,$P9,$G9,$I9,$C$3,$J9,$K9,$C$4)*R9</f>
        <v>0.16981641553135773</v>
      </c>
    </row>
    <row r="10" spans="1:25" ht="10.5" customHeight="1" x14ac:dyDescent="0.15">
      <c r="A10" s="42"/>
      <c r="B10" s="13" t="s">
        <v>172</v>
      </c>
      <c r="C10" s="10" t="s">
        <v>161</v>
      </c>
      <c r="D10" s="10" t="s">
        <v>195</v>
      </c>
      <c r="E10" s="8">
        <f t="shared" ca="1" si="0"/>
        <v>43179</v>
      </c>
      <c r="F10" s="8">
        <f ca="1">E10+H10</f>
        <v>43240</v>
      </c>
      <c r="G10" s="10">
        <v>100</v>
      </c>
      <c r="H10" s="10">
        <v>61</v>
      </c>
      <c r="I10" s="12">
        <f>(H10-4)/365</f>
        <v>0.15616438356164383</v>
      </c>
      <c r="J10" s="12">
        <v>0</v>
      </c>
      <c r="K10" s="9">
        <v>0.13</v>
      </c>
      <c r="L10" s="13">
        <f>_xll.dnetGBlackScholesNGreeks("price",$Q10,$P10,$G10,$I10,$C$3,$J10,$K10,$C$4)*R10</f>
        <v>2.0428676525355272</v>
      </c>
      <c r="M10" s="15">
        <v>0</v>
      </c>
      <c r="N10" s="13">
        <f>M10/10000*I10*P10</f>
        <v>0</v>
      </c>
      <c r="O10" s="13">
        <f>IF(L10&lt;=0,ABS(L10)+N10,L10-N10)</f>
        <v>2.0428676525355272</v>
      </c>
      <c r="P10" s="11">
        <v>100</v>
      </c>
      <c r="Q10" s="10" t="s">
        <v>85</v>
      </c>
      <c r="R10" s="10">
        <f>IF(S10="中金买入",1,-1)</f>
        <v>1</v>
      </c>
      <c r="S10" s="10" t="s">
        <v>151</v>
      </c>
      <c r="T10" s="14">
        <f>O10/P10</f>
        <v>2.0428676525355273E-2</v>
      </c>
      <c r="U10" s="13">
        <f>_xll.dnetGBlackScholesNGreeks("delta",$Q10,$P10,$G10,$I10,$C$3,$J10,$K10,$C$4)*R10</f>
        <v>-0.48822647344302084</v>
      </c>
      <c r="V10" s="13">
        <f>_xll.dnetGBlackScholesNGreeks("vega",$Q10,$P10,$G10,$I10,$C$3,$J10,$K10,$C$4)*R10</f>
        <v>0.15710900561579066</v>
      </c>
    </row>
    <row r="11" spans="1:25" ht="10.5" customHeight="1" x14ac:dyDescent="0.15">
      <c r="A11" s="42"/>
      <c r="B11" s="13" t="s">
        <v>172</v>
      </c>
      <c r="C11" s="10" t="s">
        <v>161</v>
      </c>
      <c r="D11" s="10" t="s">
        <v>195</v>
      </c>
      <c r="E11" s="8">
        <f t="shared" ca="1" si="0"/>
        <v>43179</v>
      </c>
      <c r="F11" s="8">
        <f ca="1">E11+H11</f>
        <v>43240</v>
      </c>
      <c r="G11" s="10">
        <v>100</v>
      </c>
      <c r="H11" s="10">
        <v>61</v>
      </c>
      <c r="I11" s="12">
        <f>(H11)/365</f>
        <v>0.16712328767123288</v>
      </c>
      <c r="J11" s="12">
        <v>0</v>
      </c>
      <c r="K11" s="9">
        <v>0.17</v>
      </c>
      <c r="L11" s="13">
        <f>_xll.dnetGBlackScholesNGreeks("price",$Q11,$P11,$G11,$I11,$C$3,$J11,$K11,$C$4)*R11</f>
        <v>2.7627301409094542</v>
      </c>
      <c r="M11" s="15">
        <v>0</v>
      </c>
      <c r="N11" s="13">
        <f>M11/10000*I11*P11</f>
        <v>0</v>
      </c>
      <c r="O11" s="13">
        <f>IF(L11&lt;=0,ABS(L11)+N11,L11-N11)</f>
        <v>2.7627301409094542</v>
      </c>
      <c r="P11" s="11">
        <v>100</v>
      </c>
      <c r="Q11" s="10" t="s">
        <v>85</v>
      </c>
      <c r="R11" s="10">
        <f>IF(S11="中金买入",1,-1)</f>
        <v>1</v>
      </c>
      <c r="S11" s="10" t="s">
        <v>151</v>
      </c>
      <c r="T11" s="14">
        <f>O11/P11</f>
        <v>2.7627301409094543E-2</v>
      </c>
      <c r="U11" s="13">
        <f>_xll.dnetGBlackScholesNGreeks("delta",$Q11,$P11,$G11,$I11,$C$3,$J11,$K11,$C$4)*R11</f>
        <v>-0.48451792062316201</v>
      </c>
      <c r="V11" s="13">
        <f>_xll.dnetGBlackScholesNGreeks("vega",$Q11,$P11,$G11,$I11,$C$3,$J11,$K11,$C$4)*R11</f>
        <v>0.1624480254032683</v>
      </c>
    </row>
    <row r="12" spans="1:25" ht="10.5" customHeight="1" x14ac:dyDescent="0.15">
      <c r="A12" s="42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5" ht="10.5" customHeight="1" x14ac:dyDescent="0.15">
      <c r="A13" s="42"/>
      <c r="B13" s="13" t="s">
        <v>172</v>
      </c>
      <c r="C13" s="10" t="s">
        <v>161</v>
      </c>
      <c r="D13" s="10" t="s">
        <v>195</v>
      </c>
      <c r="E13" s="8">
        <f t="shared" ca="1" si="0"/>
        <v>43179</v>
      </c>
      <c r="F13" s="8">
        <f t="shared" ref="F13" ca="1" si="1">E13+H13</f>
        <v>43256</v>
      </c>
      <c r="G13" s="10">
        <v>3500</v>
      </c>
      <c r="H13" s="10">
        <v>77</v>
      </c>
      <c r="I13" s="12">
        <f t="shared" ref="I13" si="2">(H13)/365</f>
        <v>0.21095890410958903</v>
      </c>
      <c r="J13" s="12">
        <v>0</v>
      </c>
      <c r="K13" s="9">
        <v>0.23</v>
      </c>
      <c r="L13" s="13">
        <f>_xll.dnetGBlackScholesNGreeks("price",$Q13,$P13,$G13,$I13,$C$3,$J13,$K13,$C$4)*R13</f>
        <v>-161.60733512165802</v>
      </c>
      <c r="M13" s="15">
        <v>0</v>
      </c>
      <c r="N13" s="13">
        <f t="shared" ref="N13" si="3">M13/10000*I13*P13</f>
        <v>0</v>
      </c>
      <c r="O13" s="13">
        <f t="shared" ref="O13" si="4">IF(L13&lt;=0,ABS(L13)+N13,L13-N13)</f>
        <v>161.60733512165802</v>
      </c>
      <c r="P13" s="11">
        <f>RTD("wdf.rtq",,D13,"LastPrice")</f>
        <v>3470</v>
      </c>
      <c r="Q13" s="10" t="s">
        <v>85</v>
      </c>
      <c r="R13" s="10">
        <f t="shared" ref="R13" si="5">IF(S13="中金买入",1,-1)</f>
        <v>-1</v>
      </c>
      <c r="S13" s="10" t="s">
        <v>20</v>
      </c>
      <c r="T13" s="14">
        <f t="shared" ref="T13" si="6">O13/P13</f>
        <v>4.6572719055232858E-2</v>
      </c>
      <c r="U13" s="13">
        <f>_xll.dnetGBlackScholesNGreeks("delta",$Q13,$P13,$G13,$I13,$C$3,$J13,$K13,$C$4)*R13</f>
        <v>0.50928215288195133</v>
      </c>
      <c r="V13" s="13">
        <f>_xll.dnetGBlackScholesNGreeks("vega",$Q13,$P13,$G13,$I13,$C$3,$J13,$K13,$C$4)*R13</f>
        <v>-6.3288459847699414</v>
      </c>
    </row>
    <row r="14" spans="1:25" ht="10.5" customHeight="1" x14ac:dyDescent="0.15">
      <c r="A14" s="42"/>
      <c r="B14" s="13" t="s">
        <v>172</v>
      </c>
      <c r="C14" s="10" t="s">
        <v>161</v>
      </c>
      <c r="D14" s="10" t="s">
        <v>195</v>
      </c>
      <c r="E14" s="8">
        <f t="shared" ca="1" si="0"/>
        <v>43179</v>
      </c>
      <c r="F14" s="8">
        <f t="shared" ref="F14:F15" ca="1" si="7">E14+H14</f>
        <v>43316</v>
      </c>
      <c r="G14" s="10">
        <v>3000</v>
      </c>
      <c r="H14" s="10">
        <v>137</v>
      </c>
      <c r="I14" s="12">
        <f t="shared" ref="I14:I15" si="8">(H14)/365</f>
        <v>0.37534246575342467</v>
      </c>
      <c r="J14" s="12">
        <v>0</v>
      </c>
      <c r="K14" s="9">
        <v>0.23</v>
      </c>
      <c r="L14" s="13">
        <f>_xll.dnetGBlackScholesNGreeks("price",$Q14,$P14,$G14,$I14,$C$3,$J14,$K14,$C$4)*R14</f>
        <v>-35.243872402141562</v>
      </c>
      <c r="M14" s="15">
        <v>0</v>
      </c>
      <c r="N14" s="13">
        <f t="shared" ref="N14:N15" si="9">M14/10000*I14*P14</f>
        <v>0</v>
      </c>
      <c r="O14" s="13">
        <f t="shared" ref="O14:O15" si="10">IF(L14&lt;=0,ABS(L14)+N14,L14-N14)</f>
        <v>35.243872402141562</v>
      </c>
      <c r="P14" s="11">
        <f>RTD("wdf.rtq",,D14,"LastPrice")</f>
        <v>3470</v>
      </c>
      <c r="Q14" s="10" t="s">
        <v>85</v>
      </c>
      <c r="R14" s="10">
        <f t="shared" ref="R14:R15" si="11">IF(S14="中金买入",1,-1)</f>
        <v>-1</v>
      </c>
      <c r="S14" s="10" t="s">
        <v>20</v>
      </c>
      <c r="T14" s="14">
        <f t="shared" ref="T14:T15" si="12">O14/P14</f>
        <v>1.0156735562576819E-2</v>
      </c>
      <c r="U14" s="13">
        <f>_xll.dnetGBlackScholesNGreeks("delta",$Q14,$P14,$G14,$I14,$C$3,$J14,$K14,$C$4)*R14</f>
        <v>0.13393285420590928</v>
      </c>
      <c r="V14" s="13">
        <f>_xll.dnetGBlackScholesNGreeks("vega",$Q14,$P14,$G14,$I14,$C$3,$J14,$K14,$C$4)*R14</f>
        <v>-4.5768603604026055</v>
      </c>
    </row>
    <row r="15" spans="1:25" ht="10.5" customHeight="1" x14ac:dyDescent="0.15">
      <c r="A15" s="42"/>
      <c r="B15" s="13" t="s">
        <v>172</v>
      </c>
      <c r="C15" s="10" t="s">
        <v>161</v>
      </c>
      <c r="D15" s="10" t="s">
        <v>215</v>
      </c>
      <c r="E15" s="8">
        <f t="shared" ca="1" si="0"/>
        <v>43179</v>
      </c>
      <c r="F15" s="8">
        <f t="shared" ca="1" si="7"/>
        <v>43210</v>
      </c>
      <c r="G15" s="10">
        <v>3323</v>
      </c>
      <c r="H15" s="10">
        <v>31</v>
      </c>
      <c r="I15" s="12">
        <f t="shared" si="8"/>
        <v>8.4931506849315067E-2</v>
      </c>
      <c r="J15" s="12">
        <v>0</v>
      </c>
      <c r="K15" s="9">
        <v>0.24</v>
      </c>
      <c r="L15" s="13">
        <f>_xll.dnetGBlackScholesNGreeks("price",$Q15,$P15,$G15,$I15,$C$3,$J15,$K15,$C$4)*R15</f>
        <v>-10.285303682427013</v>
      </c>
      <c r="M15" s="15">
        <v>0</v>
      </c>
      <c r="N15" s="13">
        <f t="shared" si="9"/>
        <v>0</v>
      </c>
      <c r="O15" s="13">
        <f t="shared" si="10"/>
        <v>10.285303682427013</v>
      </c>
      <c r="P15" s="11">
        <f>RTD("wdf.rtq",,D15,"LastPrice")</f>
        <v>3648</v>
      </c>
      <c r="Q15" s="10" t="s">
        <v>85</v>
      </c>
      <c r="R15" s="10">
        <f t="shared" si="11"/>
        <v>-1</v>
      </c>
      <c r="S15" s="10" t="s">
        <v>20</v>
      </c>
      <c r="T15" s="14">
        <f t="shared" si="12"/>
        <v>2.8194363164547732E-3</v>
      </c>
      <c r="U15" s="13">
        <f>_xll.dnetGBlackScholesNGreeks("delta",$Q15,$P15,$G15,$I15,$C$3,$J15,$K15,$C$4)*R15</f>
        <v>8.5343744268584487E-2</v>
      </c>
      <c r="V15" s="13">
        <f>_xll.dnetGBlackScholesNGreeks("vega",$Q15,$P15,$G15,$I15,$C$3,$J15,$K15,$C$4)*R15</f>
        <v>-1.6575947270795268</v>
      </c>
    </row>
    <row r="16" spans="1:25" ht="10.5" customHeight="1" x14ac:dyDescent="0.15">
      <c r="A16" s="42"/>
      <c r="B16" s="13" t="s">
        <v>172</v>
      </c>
      <c r="C16" s="10" t="s">
        <v>161</v>
      </c>
      <c r="D16" s="10" t="s">
        <v>215</v>
      </c>
      <c r="E16" s="8">
        <f t="shared" ca="1" si="0"/>
        <v>43179</v>
      </c>
      <c r="F16" s="8">
        <f t="shared" ref="F16" ca="1" si="13">E16+H16</f>
        <v>43210</v>
      </c>
      <c r="G16" s="10">
        <v>4123</v>
      </c>
      <c r="H16" s="10">
        <v>31</v>
      </c>
      <c r="I16" s="12">
        <f t="shared" ref="I16" si="14">(H16)/365</f>
        <v>8.4931506849315067E-2</v>
      </c>
      <c r="J16" s="12">
        <v>0</v>
      </c>
      <c r="K16" s="9">
        <v>0.2</v>
      </c>
      <c r="L16" s="13">
        <f>_xll.dnetGBlackScholesNGreeks("price",$Q16,$P16,$G16,$I16,$C$3,$J16,$K16,$C$4)*R16</f>
        <v>1.4590741801711289</v>
      </c>
      <c r="M16" s="15">
        <v>0</v>
      </c>
      <c r="N16" s="13">
        <f t="shared" ref="N16" si="15">M16/10000*I16*P16</f>
        <v>0</v>
      </c>
      <c r="O16" s="13">
        <f t="shared" ref="O16" si="16">IF(L16&lt;=0,ABS(L16)+N16,L16-N16)</f>
        <v>1.4590741801711289</v>
      </c>
      <c r="P16" s="11">
        <f>RTD("wdf.rtq",,D16,"LastPrice")</f>
        <v>3648</v>
      </c>
      <c r="Q16" s="10" t="s">
        <v>39</v>
      </c>
      <c r="R16" s="10">
        <f t="shared" ref="R16" si="17">IF(S16="中金买入",1,-1)</f>
        <v>1</v>
      </c>
      <c r="S16" s="10" t="s">
        <v>151</v>
      </c>
      <c r="T16" s="14">
        <f t="shared" ref="T16" si="18">O16/P16</f>
        <v>3.9996550991533138E-4</v>
      </c>
      <c r="U16" s="13">
        <f>_xll.dnetGBlackScholesNGreeks("delta",$Q16,$P16,$G16,$I16,$C$3,$J16,$K16,$C$4)*R16</f>
        <v>1.9152448749792939E-2</v>
      </c>
      <c r="V16" s="13">
        <f>_xll.dnetGBlackScholesNGreeks("vega",$Q16,$P16,$G16,$I16,$C$3,$J16,$K16,$C$4)*R16</f>
        <v>0.49732369749834149</v>
      </c>
    </row>
    <row r="18" spans="1:22" ht="10.5" customHeight="1" x14ac:dyDescent="0.15">
      <c r="A18" s="42"/>
      <c r="B18" s="13" t="s">
        <v>172</v>
      </c>
      <c r="C18" s="10" t="s">
        <v>161</v>
      </c>
      <c r="D18" s="10" t="s">
        <v>214</v>
      </c>
      <c r="E18" s="8">
        <f t="shared" ca="1" si="0"/>
        <v>43179</v>
      </c>
      <c r="F18" s="8">
        <f t="shared" ref="F18" ca="1" si="19">E18+H18</f>
        <v>43311</v>
      </c>
      <c r="G18" s="10">
        <v>3000</v>
      </c>
      <c r="H18" s="10">
        <v>132</v>
      </c>
      <c r="I18" s="12">
        <f t="shared" ref="I18" si="20">(H18)/365</f>
        <v>0.36164383561643837</v>
      </c>
      <c r="J18" s="12">
        <v>0</v>
      </c>
      <c r="K18" s="9">
        <v>0.25</v>
      </c>
      <c r="L18" s="13">
        <f>_xll.dnetGBlackScholesNGreeks("price",$Q18,$P18,$G18,$I18,$C$3,$J18,$K18,$C$4)*R18</f>
        <v>24.765366284094739</v>
      </c>
      <c r="M18" s="15">
        <v>0</v>
      </c>
      <c r="N18" s="13">
        <f t="shared" ref="N18" si="21">M18/10000*I18*P18</f>
        <v>0</v>
      </c>
      <c r="O18" s="13">
        <f t="shared" ref="O18" si="22">IF(L18&lt;=0,ABS(L18)+N18,L18-N18)</f>
        <v>24.765366284094739</v>
      </c>
      <c r="P18" s="11">
        <v>3621</v>
      </c>
      <c r="Q18" s="10" t="s">
        <v>85</v>
      </c>
      <c r="R18" s="10">
        <f t="shared" ref="R18" si="23">IF(S18="中金买入",1,-1)</f>
        <v>1</v>
      </c>
      <c r="S18" s="10" t="s">
        <v>151</v>
      </c>
      <c r="T18" s="14">
        <f t="shared" ref="T18" si="24">O18/P18</f>
        <v>6.8393720751435344E-3</v>
      </c>
      <c r="U18" s="13">
        <f>_xll.dnetGBlackScholesNGreeks("delta",$Q18,$P18,$G18,$I18,$C$3,$J18,$K18,$C$4)*R18</f>
        <v>-9.1660086042111288E-2</v>
      </c>
      <c r="V18" s="13">
        <f>_xll.dnetGBlackScholesNGreeks("vega",$Q18,$P18,$G18,$I18,$C$3,$J18,$K18,$C$4)*R18</f>
        <v>3.5755440105097875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S8:S16 S18</xm:sqref>
        </x14:dataValidation>
        <x14:dataValidation type="list" allowBlank="1" showInputMessage="1" showErrorMessage="1">
          <x14:formula1>
            <xm:f>configs!$C$1:$C$2</xm:f>
          </x14:formula1>
          <xm:sqref>Q8:Q16 Q18</xm:sqref>
        </x14:dataValidation>
        <x14:dataValidation type="list" allowBlank="1" showInputMessage="1">
          <x14:formula1>
            <xm:f>configs!$A$1:$A$36</xm:f>
          </x14:formula1>
          <xm:sqref>C8:C16 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A4" zoomScale="85" zoomScaleNormal="85" workbookViewId="0">
      <selection activeCell="K34" sqref="K3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58" t="s">
        <v>37</v>
      </c>
      <c r="C1" s="157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 t="s">
        <v>181</v>
      </c>
      <c r="E7" s="49" t="s">
        <v>183</v>
      </c>
      <c r="F7" s="49" t="s">
        <v>10</v>
      </c>
      <c r="G7" s="49" t="s">
        <v>7</v>
      </c>
      <c r="H7" s="49" t="s">
        <v>11</v>
      </c>
      <c r="I7" s="49" t="s">
        <v>12</v>
      </c>
      <c r="J7" s="49" t="s">
        <v>47</v>
      </c>
      <c r="K7" s="49" t="s">
        <v>13</v>
      </c>
      <c r="L7" s="49" t="s">
        <v>14</v>
      </c>
      <c r="M7" s="49" t="s">
        <v>26</v>
      </c>
      <c r="N7" s="49" t="s">
        <v>28</v>
      </c>
      <c r="O7" s="49" t="s">
        <v>182</v>
      </c>
      <c r="P7" s="49" t="s">
        <v>8</v>
      </c>
      <c r="Q7" s="49" t="s">
        <v>23</v>
      </c>
      <c r="R7" s="49"/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 t="s">
        <v>159</v>
      </c>
      <c r="E8" s="54">
        <f ca="1">TODAY()</f>
        <v>43179</v>
      </c>
      <c r="F8" s="54">
        <f ca="1">E8+H8</f>
        <v>43209</v>
      </c>
      <c r="G8" s="52">
        <v>100</v>
      </c>
      <c r="H8" s="52">
        <v>30</v>
      </c>
      <c r="I8" s="55">
        <f>H8/365</f>
        <v>8.2191780821917804E-2</v>
      </c>
      <c r="J8" s="55">
        <v>0</v>
      </c>
      <c r="K8" s="56">
        <v>0.32</v>
      </c>
      <c r="L8" s="51">
        <f>_xll.dnetGBlackScholesNGreeks("price",$Q8,$P8,$G8,$I8,$C$3,$J8,$K8,$C$4)*R8</f>
        <v>-3.6526499295562971</v>
      </c>
      <c r="M8" s="57"/>
      <c r="N8" s="51"/>
      <c r="O8" s="51">
        <f t="shared" ref="O8:O13" si="0">IF(L8&lt;=0,ABS(L8)+N8,L8-N8)</f>
        <v>3.6526499295562971</v>
      </c>
      <c r="P8" s="53">
        <v>100</v>
      </c>
      <c r="Q8" s="52" t="s">
        <v>39</v>
      </c>
      <c r="R8" s="52">
        <f>IF(S8="中金买入",1,-1)</f>
        <v>-1</v>
      </c>
      <c r="S8" s="56" t="s">
        <v>20</v>
      </c>
      <c r="T8" s="58"/>
      <c r="U8" s="51">
        <f>_xll.dnetGBlackScholesNGreeks("delta",$Q8,$P8,$G8,$I8,$C$3,$J8,$K8,$C$4)*R8</f>
        <v>-0.51744199617651532</v>
      </c>
      <c r="V8" s="51">
        <f>_xll.dnetGBlackScholesNGreeks("vega",$Q8,$P8,$G8,$I8,$C$3,$J8,$K8,$C$4)*R8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 t="s">
        <v>159</v>
      </c>
      <c r="E9" s="62">
        <f ca="1">E8</f>
        <v>43179</v>
      </c>
      <c r="F9" s="62">
        <f ca="1">F8</f>
        <v>43209</v>
      </c>
      <c r="G9" s="60">
        <v>100</v>
      </c>
      <c r="H9" s="60">
        <f>H8</f>
        <v>30</v>
      </c>
      <c r="I9" s="63">
        <f>H9/365</f>
        <v>8.2191780821917804E-2</v>
      </c>
      <c r="J9" s="63">
        <f>J8</f>
        <v>0</v>
      </c>
      <c r="K9" s="64">
        <v>0.3</v>
      </c>
      <c r="L9" s="59">
        <f>_xll.dnetGBlackScholesNGreeks("price",$Q9,$P9,$G9,$I9,$C$3,$J9,$K9,$C$4)*R9</f>
        <v>3.4245046917201378</v>
      </c>
      <c r="M9" s="65"/>
      <c r="N9" s="59"/>
      <c r="O9" s="59">
        <f t="shared" si="0"/>
        <v>3.4245046917201378</v>
      </c>
      <c r="P9" s="61">
        <v>100</v>
      </c>
      <c r="Q9" s="60" t="s">
        <v>39</v>
      </c>
      <c r="R9" s="60">
        <f>IF(S9="中金买入",1,-1)</f>
        <v>1</v>
      </c>
      <c r="S9" s="64" t="s">
        <v>151</v>
      </c>
      <c r="T9" s="66"/>
      <c r="U9" s="59">
        <f>_xll.dnetGBlackScholesNGreeks("delta",$Q9,$P9,$G9,$I9,$C$3,$J9,$K9,$C$4)*R9</f>
        <v>0.51630126926376363</v>
      </c>
      <c r="V9" s="59">
        <f>_xll.dnetGBlackScholesNGreeks("vega",$Q9,$P9,$G9,$I9,$C$3,$J9,$K9,$C$4)*R9</f>
        <v>0.11407976820886745</v>
      </c>
    </row>
    <row r="10" spans="1:22" ht="14.25" thickBot="1" x14ac:dyDescent="0.2">
      <c r="A10" s="50"/>
      <c r="B10" s="67" t="s">
        <v>175</v>
      </c>
      <c r="C10" s="68" t="s">
        <v>160</v>
      </c>
      <c r="D10" s="68" t="str">
        <f>D9</f>
        <v>RB1805</v>
      </c>
      <c r="E10" s="70">
        <f ca="1">E9</f>
        <v>43179</v>
      </c>
      <c r="F10" s="70">
        <f ca="1">F9</f>
        <v>43209</v>
      </c>
      <c r="G10" s="68" t="str">
        <f>G8 &amp; "|" &amp; G9</f>
        <v>100|100</v>
      </c>
      <c r="H10" s="68">
        <f>H9</f>
        <v>30</v>
      </c>
      <c r="I10" s="71">
        <f>I9</f>
        <v>8.2191780821917804E-2</v>
      </c>
      <c r="J10" s="71"/>
      <c r="K10" s="68"/>
      <c r="L10" s="67">
        <f>L9+L8</f>
        <v>-0.22814523783615925</v>
      </c>
      <c r="M10" s="68"/>
      <c r="N10" s="67">
        <f>M10/10000*I10*P10</f>
        <v>0</v>
      </c>
      <c r="O10" s="67">
        <f t="shared" si="0"/>
        <v>0.22814523783615925</v>
      </c>
      <c r="P10" s="69">
        <f>P9</f>
        <v>100</v>
      </c>
      <c r="Q10" s="68"/>
      <c r="R10" s="68"/>
      <c r="S10" s="64" t="s">
        <v>151</v>
      </c>
      <c r="T10" s="72">
        <f>O10/P10</f>
        <v>2.2814523783615927E-3</v>
      </c>
      <c r="U10" s="72">
        <f>U9+U8</f>
        <v>-1.1407269127516884E-3</v>
      </c>
      <c r="V10" s="72">
        <f>V9+V8</f>
        <v>1.4532514246212713E-5</v>
      </c>
    </row>
    <row r="11" spans="1:22" ht="14.25" thickTop="1" x14ac:dyDescent="0.15">
      <c r="A11" s="73"/>
      <c r="B11" s="51" t="s">
        <v>173</v>
      </c>
      <c r="C11" s="52" t="s">
        <v>160</v>
      </c>
      <c r="D11" s="52" t="s">
        <v>202</v>
      </c>
      <c r="E11" s="54">
        <f ca="1">TODAY()</f>
        <v>43179</v>
      </c>
      <c r="F11" s="54">
        <f ca="1">E11+H11</f>
        <v>43209</v>
      </c>
      <c r="G11" s="52">
        <v>3300</v>
      </c>
      <c r="H11" s="52">
        <v>30</v>
      </c>
      <c r="I11" s="55">
        <f>H11/365</f>
        <v>8.2191780821917804E-2</v>
      </c>
      <c r="J11" s="55">
        <v>0</v>
      </c>
      <c r="K11" s="56">
        <v>0.22500000000000001</v>
      </c>
      <c r="L11" s="51">
        <f>_xll.dnetGBlackScholesNGreeks("price",$Q11,$P11,$G11,$I11,$C$3,$J11,$K11,$C$4)*R11</f>
        <v>-27.184275307245798</v>
      </c>
      <c r="M11" s="57"/>
      <c r="N11" s="51"/>
      <c r="O11" s="51">
        <f t="shared" si="0"/>
        <v>27.184275307245798</v>
      </c>
      <c r="P11" s="132">
        <f>RTD("wdf.rtq",,D11,"LastPrice")</f>
        <v>3470</v>
      </c>
      <c r="Q11" s="52" t="s">
        <v>85</v>
      </c>
      <c r="R11" s="52">
        <f>IF(S11="中金买入",1,-1)</f>
        <v>-1</v>
      </c>
      <c r="S11" s="56" t="s">
        <v>20</v>
      </c>
      <c r="T11" s="58"/>
      <c r="U11" s="51">
        <f>_xll.dnetGBlackScholesNGreeks("delta",$Q11,$P11,$G11,$I11,$C$3,$J11,$K11,$C$4)*R11</f>
        <v>0.20834608369000307</v>
      </c>
      <c r="V11" s="51">
        <f>_xll.dnetGBlackScholesNGreeks("vega",$Q11,$P11,$G11,$I11,$C$3,$J11,$K11,$C$4)*R11</f>
        <v>-2.8504722400189735</v>
      </c>
    </row>
    <row r="12" spans="1:22" ht="13.5" x14ac:dyDescent="0.15">
      <c r="A12" s="73"/>
      <c r="B12" s="59" t="s">
        <v>174</v>
      </c>
      <c r="C12" s="60" t="s">
        <v>160</v>
      </c>
      <c r="D12" s="60" t="str">
        <f t="shared" ref="D12:F13" si="1">D11</f>
        <v>rb1810</v>
      </c>
      <c r="E12" s="62">
        <f t="shared" ca="1" si="1"/>
        <v>43179</v>
      </c>
      <c r="F12" s="62">
        <f t="shared" ca="1" si="1"/>
        <v>43209</v>
      </c>
      <c r="G12" s="60">
        <v>4000</v>
      </c>
      <c r="H12" s="60">
        <f>H11</f>
        <v>30</v>
      </c>
      <c r="I12" s="63">
        <f>H12/365</f>
        <v>8.2191780821917804E-2</v>
      </c>
      <c r="J12" s="63">
        <f>J11</f>
        <v>0</v>
      </c>
      <c r="K12" s="64">
        <v>0.2</v>
      </c>
      <c r="L12" s="59">
        <f>_xll.dnetGBlackScholesNGreeks("price",$Q12,$P12,$G12,$I12,$C$3,$J12,$K12,$C$4)*R12</f>
        <v>0.45595268238017539</v>
      </c>
      <c r="M12" s="65"/>
      <c r="N12" s="59"/>
      <c r="O12" s="59">
        <f t="shared" si="0"/>
        <v>0.45595268238017539</v>
      </c>
      <c r="P12" s="103">
        <f>P11</f>
        <v>3470</v>
      </c>
      <c r="Q12" s="60" t="s">
        <v>39</v>
      </c>
      <c r="R12" s="60">
        <f>IF(S12="中金买入",1,-1)</f>
        <v>1</v>
      </c>
      <c r="S12" s="64" t="s">
        <v>151</v>
      </c>
      <c r="T12" s="66"/>
      <c r="U12" s="59">
        <f>_xll.dnetGBlackScholesNGreeks("delta",$Q12,$P12,$G12,$I12,$C$3,$J12,$K12,$C$4)*R12</f>
        <v>7.1251063422650418E-3</v>
      </c>
      <c r="V12" s="59">
        <f>_xll.dnetGBlackScholesNGreeks("vega",$Q12,$P12,$G12,$I12,$C$3,$J12,$K12,$C$4)*R12</f>
        <v>0.19845760014049674</v>
      </c>
    </row>
    <row r="13" spans="1:22" ht="14.25" thickBot="1" x14ac:dyDescent="0.2">
      <c r="A13" s="73"/>
      <c r="B13" s="67" t="s">
        <v>175</v>
      </c>
      <c r="C13" s="68" t="s">
        <v>160</v>
      </c>
      <c r="D13" s="68" t="str">
        <f t="shared" si="1"/>
        <v>rb1810</v>
      </c>
      <c r="E13" s="70">
        <f t="shared" ca="1" si="1"/>
        <v>43179</v>
      </c>
      <c r="F13" s="70">
        <f t="shared" ca="1" si="1"/>
        <v>43209</v>
      </c>
      <c r="G13" s="68" t="str">
        <f>G11 &amp; "|" &amp; G12</f>
        <v>3300|4000</v>
      </c>
      <c r="H13" s="68">
        <f>H12</f>
        <v>30</v>
      </c>
      <c r="I13" s="71">
        <f>I12</f>
        <v>8.2191780821917804E-2</v>
      </c>
      <c r="J13" s="71"/>
      <c r="K13" s="68"/>
      <c r="L13" s="67">
        <f>L12+L11</f>
        <v>-26.728322624865623</v>
      </c>
      <c r="M13" s="68"/>
      <c r="N13" s="67">
        <f>M13/10000*I13*P13</f>
        <v>0</v>
      </c>
      <c r="O13" s="67">
        <f t="shared" si="0"/>
        <v>26.728322624865623</v>
      </c>
      <c r="P13" s="133">
        <f>P12</f>
        <v>3470</v>
      </c>
      <c r="Q13" s="68"/>
      <c r="R13" s="68"/>
      <c r="S13" s="64" t="s">
        <v>151</v>
      </c>
      <c r="T13" s="72">
        <f>O13/P13</f>
        <v>7.70268663540796E-3</v>
      </c>
      <c r="U13" s="72">
        <f>U12+U11</f>
        <v>0.21547119003226811</v>
      </c>
      <c r="V13" s="72">
        <f>V12+V11</f>
        <v>-2.6520146398784767</v>
      </c>
    </row>
    <row r="14" spans="1:22" ht="14.25" thickTop="1" x14ac:dyDescent="0.15">
      <c r="A14" s="73"/>
      <c r="B14" s="51" t="s">
        <v>173</v>
      </c>
      <c r="C14" s="52" t="s">
        <v>160</v>
      </c>
      <c r="D14" s="52" t="s">
        <v>202</v>
      </c>
      <c r="E14" s="54">
        <f ca="1">TODAY()</f>
        <v>43179</v>
      </c>
      <c r="F14" s="54">
        <f ca="1">E14+H14</f>
        <v>43209</v>
      </c>
      <c r="G14" s="52">
        <v>3400</v>
      </c>
      <c r="H14" s="52">
        <v>30</v>
      </c>
      <c r="I14" s="55">
        <f>H14/365</f>
        <v>8.2191780821917804E-2</v>
      </c>
      <c r="J14" s="55">
        <v>0</v>
      </c>
      <c r="K14" s="56">
        <v>0.22500000000000001</v>
      </c>
      <c r="L14" s="51">
        <f>_xll.dnetGBlackScholesNGreeks("price",$Q14,$P14,$G14,$I14,$C$3,$J14,$K14,$C$4)*R14</f>
        <v>-57.658672575615128</v>
      </c>
      <c r="M14" s="57"/>
      <c r="N14" s="51"/>
      <c r="O14" s="51">
        <f t="shared" ref="O14:O28" si="2">IF(L14&lt;=0,ABS(L14)+N14,L14-N14)</f>
        <v>57.658672575615128</v>
      </c>
      <c r="P14" s="132">
        <f>RTD("wdf.rtq",,D14,"LastPrice")</f>
        <v>3470</v>
      </c>
      <c r="Q14" s="52" t="s">
        <v>85</v>
      </c>
      <c r="R14" s="52">
        <f>IF(S14="中金买入",1,-1)</f>
        <v>-1</v>
      </c>
      <c r="S14" s="56" t="s">
        <v>20</v>
      </c>
      <c r="T14" s="58"/>
      <c r="U14" s="51">
        <f>_xll.dnetGBlackScholesNGreeks("delta",$Q14,$P14,$G14,$I14,$C$3,$J14,$K14,$C$4)*R14</f>
        <v>0.36325419252989377</v>
      </c>
      <c r="V14" s="51">
        <f>_xll.dnetGBlackScholesNGreeks("vega",$Q14,$P14,$G14,$I14,$C$3,$J14,$K14,$C$4)*R14</f>
        <v>-3.7288361123889899</v>
      </c>
    </row>
    <row r="15" spans="1:22" ht="13.5" x14ac:dyDescent="0.15">
      <c r="A15" s="73"/>
      <c r="B15" s="59" t="s">
        <v>174</v>
      </c>
      <c r="C15" s="60" t="s">
        <v>160</v>
      </c>
      <c r="D15" s="60" t="str">
        <f t="shared" ref="D15:F16" si="3">D14</f>
        <v>rb1810</v>
      </c>
      <c r="E15" s="62">
        <f t="shared" ca="1" si="3"/>
        <v>43179</v>
      </c>
      <c r="F15" s="62">
        <f t="shared" ca="1" si="3"/>
        <v>43209</v>
      </c>
      <c r="G15" s="60">
        <v>4000</v>
      </c>
      <c r="H15" s="60">
        <f>H14</f>
        <v>30</v>
      </c>
      <c r="I15" s="63">
        <f>H15/365</f>
        <v>8.2191780821917804E-2</v>
      </c>
      <c r="J15" s="63">
        <f>J14</f>
        <v>0</v>
      </c>
      <c r="K15" s="64">
        <v>0.2</v>
      </c>
      <c r="L15" s="59">
        <f>_xll.dnetGBlackScholesNGreeks("price",$Q15,$P15,$G15,$I15,$C$3,$J15,$K15,$C$4)*R15</f>
        <v>0.45595268238017539</v>
      </c>
      <c r="M15" s="65"/>
      <c r="N15" s="59"/>
      <c r="O15" s="59">
        <f t="shared" si="2"/>
        <v>0.45595268238017539</v>
      </c>
      <c r="P15" s="103">
        <f>P14</f>
        <v>3470</v>
      </c>
      <c r="Q15" s="60" t="s">
        <v>39</v>
      </c>
      <c r="R15" s="60">
        <f>IF(S15="中金买入",1,-1)</f>
        <v>1</v>
      </c>
      <c r="S15" s="64" t="s">
        <v>151</v>
      </c>
      <c r="T15" s="66"/>
      <c r="U15" s="59">
        <f>_xll.dnetGBlackScholesNGreeks("delta",$Q15,$P15,$G15,$I15,$C$3,$J15,$K15,$C$4)*R15</f>
        <v>7.1251063422650418E-3</v>
      </c>
      <c r="V15" s="59">
        <f>_xll.dnetGBlackScholesNGreeks("vega",$Q15,$P15,$G15,$I15,$C$3,$J15,$K15,$C$4)*R15</f>
        <v>0.19845760014049674</v>
      </c>
    </row>
    <row r="16" spans="1:22" ht="14.25" thickBot="1" x14ac:dyDescent="0.2">
      <c r="A16" s="73"/>
      <c r="B16" s="67" t="s">
        <v>175</v>
      </c>
      <c r="C16" s="68" t="s">
        <v>160</v>
      </c>
      <c r="D16" s="68" t="str">
        <f t="shared" si="3"/>
        <v>rb1810</v>
      </c>
      <c r="E16" s="70">
        <f t="shared" ca="1" si="3"/>
        <v>43179</v>
      </c>
      <c r="F16" s="70">
        <f t="shared" ca="1" si="3"/>
        <v>43209</v>
      </c>
      <c r="G16" s="68" t="str">
        <f>G14 &amp; "|" &amp; G15</f>
        <v>3400|4000</v>
      </c>
      <c r="H16" s="68">
        <f>H15</f>
        <v>30</v>
      </c>
      <c r="I16" s="71">
        <f>I15</f>
        <v>8.2191780821917804E-2</v>
      </c>
      <c r="J16" s="71"/>
      <c r="K16" s="68"/>
      <c r="L16" s="67">
        <f>L15+L14</f>
        <v>-57.202719893234956</v>
      </c>
      <c r="M16" s="68"/>
      <c r="N16" s="67">
        <f>M16/10000*I16*P16</f>
        <v>0</v>
      </c>
      <c r="O16" s="67">
        <f t="shared" si="2"/>
        <v>57.202719893234956</v>
      </c>
      <c r="P16" s="133">
        <f>P15</f>
        <v>3470</v>
      </c>
      <c r="Q16" s="68"/>
      <c r="R16" s="68"/>
      <c r="S16" s="64" t="s">
        <v>151</v>
      </c>
      <c r="T16" s="72">
        <f>O16/P16</f>
        <v>1.6484933686811226E-2</v>
      </c>
      <c r="U16" s="72">
        <f>U15+U14</f>
        <v>0.37037929887215881</v>
      </c>
      <c r="V16" s="72">
        <f>V15+V14</f>
        <v>-3.5303785122484932</v>
      </c>
    </row>
    <row r="17" spans="1:22" ht="14.25" thickTop="1" x14ac:dyDescent="0.15">
      <c r="A17" s="73"/>
      <c r="B17" s="51" t="s">
        <v>173</v>
      </c>
      <c r="C17" s="52" t="s">
        <v>160</v>
      </c>
      <c r="D17" s="52" t="s">
        <v>202</v>
      </c>
      <c r="E17" s="54">
        <f ca="1">TODAY()</f>
        <v>43179</v>
      </c>
      <c r="F17" s="54">
        <f ca="1">E17+H17</f>
        <v>43209</v>
      </c>
      <c r="G17" s="52">
        <v>3500</v>
      </c>
      <c r="H17" s="52">
        <v>30</v>
      </c>
      <c r="I17" s="55">
        <f>H17/365</f>
        <v>8.2191780821917804E-2</v>
      </c>
      <c r="J17" s="55">
        <v>0</v>
      </c>
      <c r="K17" s="56">
        <v>0.22500000000000001</v>
      </c>
      <c r="L17" s="51">
        <f>_xll.dnetGBlackScholesNGreeks("price",$Q17,$P17,$G17,$I17,$C$3,$J17,$K17,$C$4)*R17</f>
        <v>-105.29110784518116</v>
      </c>
      <c r="M17" s="57"/>
      <c r="N17" s="51"/>
      <c r="O17" s="51">
        <f t="shared" si="2"/>
        <v>105.29110784518116</v>
      </c>
      <c r="P17" s="132">
        <f>RTD("wdf.rtq",,D17,"LastPrice")</f>
        <v>3470</v>
      </c>
      <c r="Q17" s="52" t="s">
        <v>85</v>
      </c>
      <c r="R17" s="52">
        <f>IF(S17="中金买入",1,-1)</f>
        <v>-1</v>
      </c>
      <c r="S17" s="56" t="s">
        <v>20</v>
      </c>
      <c r="T17" s="58"/>
      <c r="U17" s="51">
        <f>_xll.dnetGBlackScholesNGreeks("delta",$Q17,$P17,$G17,$I17,$C$3,$J17,$K17,$C$4)*R17</f>
        <v>0.53941633515250942</v>
      </c>
      <c r="V17" s="51">
        <f>_xll.dnetGBlackScholesNGreeks("vega",$Q17,$P17,$G17,$I17,$C$3,$J17,$K17,$C$4)*R17</f>
        <v>-3.9419236266921871</v>
      </c>
    </row>
    <row r="18" spans="1:22" ht="13.5" x14ac:dyDescent="0.15">
      <c r="A18" s="73"/>
      <c r="B18" s="59" t="s">
        <v>174</v>
      </c>
      <c r="C18" s="60" t="s">
        <v>160</v>
      </c>
      <c r="D18" s="60" t="str">
        <f t="shared" ref="D18:F19" si="4">D17</f>
        <v>rb1810</v>
      </c>
      <c r="E18" s="62">
        <f t="shared" ca="1" si="4"/>
        <v>43179</v>
      </c>
      <c r="F18" s="62">
        <f t="shared" ca="1" si="4"/>
        <v>43209</v>
      </c>
      <c r="G18" s="60">
        <v>4000</v>
      </c>
      <c r="H18" s="60">
        <f>H17</f>
        <v>30</v>
      </c>
      <c r="I18" s="63">
        <f>H18/365</f>
        <v>8.2191780821917804E-2</v>
      </c>
      <c r="J18" s="63">
        <f>J17</f>
        <v>0</v>
      </c>
      <c r="K18" s="64">
        <v>0.2</v>
      </c>
      <c r="L18" s="59">
        <f>_xll.dnetGBlackScholesNGreeks("price",$Q18,$P18,$G18,$I18,$C$3,$J18,$K18,$C$4)*R18</f>
        <v>0.45595268238017539</v>
      </c>
      <c r="M18" s="65"/>
      <c r="N18" s="59"/>
      <c r="O18" s="59">
        <f t="shared" si="2"/>
        <v>0.45595268238017539</v>
      </c>
      <c r="P18" s="103">
        <f>P17</f>
        <v>3470</v>
      </c>
      <c r="Q18" s="60" t="s">
        <v>39</v>
      </c>
      <c r="R18" s="60">
        <f>IF(S18="中金买入",1,-1)</f>
        <v>1</v>
      </c>
      <c r="S18" s="64" t="s">
        <v>151</v>
      </c>
      <c r="T18" s="66"/>
      <c r="U18" s="59">
        <f>_xll.dnetGBlackScholesNGreeks("delta",$Q18,$P18,$G18,$I18,$C$3,$J18,$K18,$C$4)*R18</f>
        <v>7.1251063422650418E-3</v>
      </c>
      <c r="V18" s="59">
        <f>_xll.dnetGBlackScholesNGreeks("vega",$Q18,$P18,$G18,$I18,$C$3,$J18,$K18,$C$4)*R18</f>
        <v>0.19845760014049674</v>
      </c>
    </row>
    <row r="19" spans="1:22" ht="14.25" thickBot="1" x14ac:dyDescent="0.2">
      <c r="A19" s="73"/>
      <c r="B19" s="67" t="s">
        <v>175</v>
      </c>
      <c r="C19" s="68" t="s">
        <v>160</v>
      </c>
      <c r="D19" s="68" t="str">
        <f t="shared" si="4"/>
        <v>rb1810</v>
      </c>
      <c r="E19" s="70">
        <f t="shared" ca="1" si="4"/>
        <v>43179</v>
      </c>
      <c r="F19" s="70">
        <f t="shared" ca="1" si="4"/>
        <v>43209</v>
      </c>
      <c r="G19" s="68" t="str">
        <f>G17 &amp; "|" &amp; G18</f>
        <v>3500|4000</v>
      </c>
      <c r="H19" s="68">
        <f>H18</f>
        <v>30</v>
      </c>
      <c r="I19" s="71">
        <f>I18</f>
        <v>8.2191780821917804E-2</v>
      </c>
      <c r="J19" s="71"/>
      <c r="K19" s="68"/>
      <c r="L19" s="67">
        <f>L18+L17</f>
        <v>-104.83515516280099</v>
      </c>
      <c r="M19" s="68"/>
      <c r="N19" s="67">
        <f>M19/10000*I19*P19</f>
        <v>0</v>
      </c>
      <c r="O19" s="67">
        <f t="shared" si="2"/>
        <v>104.83515516280099</v>
      </c>
      <c r="P19" s="133">
        <f>P18</f>
        <v>3470</v>
      </c>
      <c r="Q19" s="68"/>
      <c r="R19" s="68"/>
      <c r="S19" s="64" t="s">
        <v>151</v>
      </c>
      <c r="T19" s="72">
        <f>O19/P19</f>
        <v>3.021186027746426E-2</v>
      </c>
      <c r="U19" s="72">
        <f>U18+U17</f>
        <v>0.54654144149477446</v>
      </c>
      <c r="V19" s="72">
        <f>V18+V17</f>
        <v>-3.7434660265516904</v>
      </c>
    </row>
    <row r="20" spans="1:22" s="106" customFormat="1" ht="14.25" thickTop="1" x14ac:dyDescent="0.15">
      <c r="A20" s="105"/>
      <c r="B20" s="51" t="s">
        <v>173</v>
      </c>
      <c r="C20" s="52" t="s">
        <v>160</v>
      </c>
      <c r="D20" s="52" t="s">
        <v>202</v>
      </c>
      <c r="E20" s="54">
        <f ca="1">TODAY()</f>
        <v>43179</v>
      </c>
      <c r="F20" s="54">
        <f ca="1">E20+H20</f>
        <v>43269</v>
      </c>
      <c r="G20" s="52">
        <v>3300</v>
      </c>
      <c r="H20" s="52">
        <v>90</v>
      </c>
      <c r="I20" s="55">
        <f>H20/365</f>
        <v>0.24657534246575341</v>
      </c>
      <c r="J20" s="55">
        <v>0</v>
      </c>
      <c r="K20" s="56">
        <v>0.22500000000000001</v>
      </c>
      <c r="L20" s="51">
        <f>_xll.dnetGBlackScholesNGreeks("price",$Q20,$P20,$G20,$I20,$C$3,$J20,$K20,$C$4)*R20</f>
        <v>-80.372314117478709</v>
      </c>
      <c r="M20" s="57"/>
      <c r="N20" s="51"/>
      <c r="O20" s="51">
        <f t="shared" si="2"/>
        <v>80.372314117478709</v>
      </c>
      <c r="P20" s="132">
        <f>RTD("wdf.rtq",,D20,"LastPrice")</f>
        <v>3470</v>
      </c>
      <c r="Q20" s="52" t="s">
        <v>85</v>
      </c>
      <c r="R20" s="52">
        <f>IF(S20="中金买入",1,-1)</f>
        <v>-1</v>
      </c>
      <c r="S20" s="56" t="s">
        <v>20</v>
      </c>
      <c r="T20" s="58"/>
      <c r="U20" s="51">
        <f>_xll.dnetGBlackScholesNGreeks("delta",$Q20,$P20,$G20,$I20,$C$3,$J20,$K20,$C$4)*R20</f>
        <v>0.30510909545000686</v>
      </c>
      <c r="V20" s="51">
        <f>_xll.dnetGBlackScholesNGreeks("vega",$Q20,$P20,$G20,$I20,$C$3,$J20,$K20,$C$4)*R20</f>
        <v>-6.0188266180387018</v>
      </c>
    </row>
    <row r="21" spans="1:22" s="104" customFormat="1" ht="13.5" x14ac:dyDescent="0.15">
      <c r="A21" s="107"/>
      <c r="B21" s="59" t="s">
        <v>174</v>
      </c>
      <c r="C21" s="60" t="s">
        <v>160</v>
      </c>
      <c r="D21" s="60" t="str">
        <f t="shared" ref="D21:F22" si="5">D20</f>
        <v>rb1810</v>
      </c>
      <c r="E21" s="62">
        <f t="shared" ca="1" si="5"/>
        <v>43179</v>
      </c>
      <c r="F21" s="62">
        <f t="shared" ca="1" si="5"/>
        <v>43269</v>
      </c>
      <c r="G21" s="60">
        <v>4000</v>
      </c>
      <c r="H21" s="60">
        <f>H20</f>
        <v>90</v>
      </c>
      <c r="I21" s="63">
        <f>H21/365</f>
        <v>0.24657534246575341</v>
      </c>
      <c r="J21" s="63">
        <f>J20</f>
        <v>0</v>
      </c>
      <c r="K21" s="64">
        <v>0.2</v>
      </c>
      <c r="L21" s="59">
        <f>_xll.dnetGBlackScholesNGreeks("price",$Q21,$P21,$G21,$I21,$C$3,$J21,$K21,$C$4)*R21</f>
        <v>12.587151127198297</v>
      </c>
      <c r="M21" s="65"/>
      <c r="N21" s="59"/>
      <c r="O21" s="59">
        <f t="shared" si="2"/>
        <v>12.587151127198297</v>
      </c>
      <c r="P21" s="103">
        <f>P20</f>
        <v>3470</v>
      </c>
      <c r="Q21" s="60" t="s">
        <v>39</v>
      </c>
      <c r="R21" s="60">
        <f>IF(S21="中金买入",1,-1)</f>
        <v>1</v>
      </c>
      <c r="S21" s="64" t="s">
        <v>151</v>
      </c>
      <c r="T21" s="66"/>
      <c r="U21" s="59">
        <f>_xll.dnetGBlackScholesNGreeks("delta",$Q21,$P21,$G21,$I21,$C$3,$J21,$K21,$C$4)*R21</f>
        <v>8.3139625181161136E-2</v>
      </c>
      <c r="V21" s="59">
        <f>_xll.dnetGBlackScholesNGreeks("vega",$Q21,$P21,$G21,$I21,$C$3,$J21,$K21,$C$4)*R21</f>
        <v>2.6317049329606022</v>
      </c>
    </row>
    <row r="22" spans="1:22" s="104" customFormat="1" ht="14.25" thickBot="1" x14ac:dyDescent="0.2">
      <c r="A22" s="107"/>
      <c r="B22" s="67" t="s">
        <v>175</v>
      </c>
      <c r="C22" s="68" t="s">
        <v>160</v>
      </c>
      <c r="D22" s="68" t="str">
        <f t="shared" si="5"/>
        <v>rb1810</v>
      </c>
      <c r="E22" s="70">
        <f t="shared" ca="1" si="5"/>
        <v>43179</v>
      </c>
      <c r="F22" s="70">
        <f t="shared" ca="1" si="5"/>
        <v>43269</v>
      </c>
      <c r="G22" s="68" t="str">
        <f>G20 &amp; "|" &amp; G21</f>
        <v>3300|4000</v>
      </c>
      <c r="H22" s="68">
        <f>H21</f>
        <v>90</v>
      </c>
      <c r="I22" s="71">
        <f>I21</f>
        <v>0.24657534246575341</v>
      </c>
      <c r="J22" s="71"/>
      <c r="K22" s="68"/>
      <c r="L22" s="67">
        <f>L21+L20</f>
        <v>-67.785162990280412</v>
      </c>
      <c r="M22" s="68"/>
      <c r="N22" s="67">
        <f>M22/10000*I22*P22</f>
        <v>0</v>
      </c>
      <c r="O22" s="67">
        <f t="shared" si="2"/>
        <v>67.785162990280412</v>
      </c>
      <c r="P22" s="133">
        <f>P21</f>
        <v>3470</v>
      </c>
      <c r="Q22" s="68"/>
      <c r="R22" s="68"/>
      <c r="S22" s="64" t="s">
        <v>151</v>
      </c>
      <c r="T22" s="72">
        <f>O22/P22</f>
        <v>1.9534629103827209E-2</v>
      </c>
      <c r="U22" s="72">
        <f>U21+U20</f>
        <v>0.388248720631168</v>
      </c>
      <c r="V22" s="72">
        <f>V21+V20</f>
        <v>-3.3871216850780996</v>
      </c>
    </row>
    <row r="23" spans="1:22" s="104" customFormat="1" ht="14.25" thickTop="1" x14ac:dyDescent="0.15">
      <c r="A23" s="107"/>
      <c r="B23" s="51" t="s">
        <v>173</v>
      </c>
      <c r="C23" s="52" t="s">
        <v>160</v>
      </c>
      <c r="D23" s="52" t="s">
        <v>202</v>
      </c>
      <c r="E23" s="54">
        <f ca="1">TODAY()</f>
        <v>43179</v>
      </c>
      <c r="F23" s="54">
        <f ca="1">E23+H23</f>
        <v>43269</v>
      </c>
      <c r="G23" s="52">
        <v>3400</v>
      </c>
      <c r="H23" s="52">
        <v>90</v>
      </c>
      <c r="I23" s="55">
        <f>H23/365</f>
        <v>0.24657534246575341</v>
      </c>
      <c r="J23" s="55">
        <v>0</v>
      </c>
      <c r="K23" s="56">
        <v>0.22500000000000001</v>
      </c>
      <c r="L23" s="51">
        <f>_xll.dnetGBlackScholesNGreeks("price",$Q23,$P23,$G23,$I23,$C$3,$J23,$K23,$C$4)*R23</f>
        <v>-119.96984527111022</v>
      </c>
      <c r="M23" s="57"/>
      <c r="N23" s="51"/>
      <c r="O23" s="51">
        <f t="shared" si="2"/>
        <v>119.96984527111022</v>
      </c>
      <c r="P23" s="132">
        <f>RTD("wdf.rtq",,D23,"LastPrice")</f>
        <v>3470</v>
      </c>
      <c r="Q23" s="52" t="s">
        <v>85</v>
      </c>
      <c r="R23" s="52">
        <f>IF(S23="中金买入",1,-1)</f>
        <v>-1</v>
      </c>
      <c r="S23" s="56" t="s">
        <v>20</v>
      </c>
      <c r="T23" s="58"/>
      <c r="U23" s="51">
        <f>_xll.dnetGBlackScholesNGreeks("delta",$Q23,$P23,$G23,$I23,$C$3,$J23,$K23,$C$4)*R23</f>
        <v>0.4038412629938648</v>
      </c>
      <c r="V23" s="51">
        <f>_xll.dnetGBlackScholesNGreeks("vega",$Q23,$P23,$G23,$I23,$C$3,$J23,$K23,$C$4)*R23</f>
        <v>-6.6486047157426356</v>
      </c>
    </row>
    <row r="24" spans="1:22" s="104" customFormat="1" ht="13.5" x14ac:dyDescent="0.15">
      <c r="A24" s="107"/>
      <c r="B24" s="59" t="s">
        <v>174</v>
      </c>
      <c r="C24" s="60" t="s">
        <v>160</v>
      </c>
      <c r="D24" s="60" t="str">
        <f t="shared" ref="D24:F25" si="6">D23</f>
        <v>rb1810</v>
      </c>
      <c r="E24" s="62">
        <f t="shared" ca="1" si="6"/>
        <v>43179</v>
      </c>
      <c r="F24" s="62">
        <f t="shared" ca="1" si="6"/>
        <v>43269</v>
      </c>
      <c r="G24" s="60">
        <v>4000</v>
      </c>
      <c r="H24" s="60">
        <f>H23</f>
        <v>90</v>
      </c>
      <c r="I24" s="63">
        <f>H24/365</f>
        <v>0.24657534246575341</v>
      </c>
      <c r="J24" s="63">
        <f>J23</f>
        <v>0</v>
      </c>
      <c r="K24" s="64">
        <v>0.2</v>
      </c>
      <c r="L24" s="59">
        <f>_xll.dnetGBlackScholesNGreeks("price",$Q24,$P24,$G24,$I24,$C$3,$J24,$K24,$C$4)*R24</f>
        <v>12.587151127198297</v>
      </c>
      <c r="M24" s="65"/>
      <c r="N24" s="59"/>
      <c r="O24" s="59">
        <f t="shared" si="2"/>
        <v>12.587151127198297</v>
      </c>
      <c r="P24" s="103">
        <f>P23</f>
        <v>3470</v>
      </c>
      <c r="Q24" s="60" t="s">
        <v>39</v>
      </c>
      <c r="R24" s="60">
        <f>IF(S24="中金买入",1,-1)</f>
        <v>1</v>
      </c>
      <c r="S24" s="64" t="s">
        <v>151</v>
      </c>
      <c r="T24" s="66"/>
      <c r="U24" s="59">
        <f>_xll.dnetGBlackScholesNGreeks("delta",$Q24,$P24,$G24,$I24,$C$3,$J24,$K24,$C$4)*R24</f>
        <v>8.3139625181161136E-2</v>
      </c>
      <c r="V24" s="59">
        <f>_xll.dnetGBlackScholesNGreeks("vega",$Q24,$P24,$G24,$I24,$C$3,$J24,$K24,$C$4)*R24</f>
        <v>2.6317049329606022</v>
      </c>
    </row>
    <row r="25" spans="1:22" s="104" customFormat="1" ht="14.25" thickBot="1" x14ac:dyDescent="0.2">
      <c r="A25" s="107"/>
      <c r="B25" s="67" t="s">
        <v>175</v>
      </c>
      <c r="C25" s="68" t="s">
        <v>160</v>
      </c>
      <c r="D25" s="68" t="str">
        <f t="shared" si="6"/>
        <v>rb1810</v>
      </c>
      <c r="E25" s="70">
        <f t="shared" ca="1" si="6"/>
        <v>43179</v>
      </c>
      <c r="F25" s="70">
        <f t="shared" ca="1" si="6"/>
        <v>43269</v>
      </c>
      <c r="G25" s="68" t="str">
        <f>G23 &amp; "|" &amp; G24</f>
        <v>3400|4000</v>
      </c>
      <c r="H25" s="68">
        <f>H24</f>
        <v>90</v>
      </c>
      <c r="I25" s="71">
        <f>I24</f>
        <v>0.24657534246575341</v>
      </c>
      <c r="J25" s="71"/>
      <c r="K25" s="68"/>
      <c r="L25" s="67">
        <f>L24+L23</f>
        <v>-107.38269414391192</v>
      </c>
      <c r="M25" s="68"/>
      <c r="N25" s="67">
        <f>M25/10000*I25*P25</f>
        <v>0</v>
      </c>
      <c r="O25" s="67">
        <f t="shared" si="2"/>
        <v>107.38269414391192</v>
      </c>
      <c r="P25" s="133">
        <f>P24</f>
        <v>3470</v>
      </c>
      <c r="Q25" s="68"/>
      <c r="R25" s="68"/>
      <c r="S25" s="64" t="s">
        <v>151</v>
      </c>
      <c r="T25" s="72">
        <f>O25/P25</f>
        <v>3.0946021367121591E-2</v>
      </c>
      <c r="U25" s="72">
        <f>U24+U23</f>
        <v>0.48698088817502594</v>
      </c>
      <c r="V25" s="72">
        <f>V24+V23</f>
        <v>-4.0168997827820334</v>
      </c>
    </row>
    <row r="26" spans="1:22" s="104" customFormat="1" ht="14.25" thickTop="1" x14ac:dyDescent="0.15">
      <c r="A26" s="107"/>
      <c r="B26" s="51" t="s">
        <v>173</v>
      </c>
      <c r="C26" s="52" t="s">
        <v>160</v>
      </c>
      <c r="D26" s="52" t="s">
        <v>202</v>
      </c>
      <c r="E26" s="54">
        <f ca="1">TODAY()</f>
        <v>43179</v>
      </c>
      <c r="F26" s="54">
        <f ca="1">E26+H26</f>
        <v>43363</v>
      </c>
      <c r="G26" s="52">
        <v>3600</v>
      </c>
      <c r="H26" s="52">
        <v>184</v>
      </c>
      <c r="I26" s="55">
        <f>H26/365</f>
        <v>0.50410958904109593</v>
      </c>
      <c r="J26" s="55">
        <v>0</v>
      </c>
      <c r="K26" s="56">
        <v>0.155</v>
      </c>
      <c r="L26" s="51">
        <f>_xll.dnetGBlackScholesNGreeks("price",$Q26,$P26,$G26,$I26,$C$3,$J26,$K26,$C$4)*R26</f>
        <v>226.40151054342732</v>
      </c>
      <c r="M26" s="57"/>
      <c r="N26" s="51"/>
      <c r="O26" s="51">
        <f t="shared" si="2"/>
        <v>226.40151054342732</v>
      </c>
      <c r="P26" s="132">
        <f>RTD("wdf.rtq",,D26,"LastPrice")</f>
        <v>3470</v>
      </c>
      <c r="Q26" s="52" t="s">
        <v>85</v>
      </c>
      <c r="R26" s="52">
        <f>IF(S26="中金买入",1,-1)</f>
        <v>1</v>
      </c>
      <c r="S26" s="56" t="s">
        <v>151</v>
      </c>
      <c r="T26" s="58"/>
      <c r="U26" s="51">
        <f>_xll.dnetGBlackScholesNGreeks("delta",$Q26,$P26,$G26,$I26,$C$3,$J26,$K26,$C$4)*R26</f>
        <v>-0.6038265155893896</v>
      </c>
      <c r="V26" s="51">
        <f>_xll.dnetGBlackScholesNGreeks("vega",$Q26,$P26,$G26,$I26,$C$3,$J26,$K26,$C$4)*R26</f>
        <v>9.35621904832783</v>
      </c>
    </row>
    <row r="27" spans="1:22" s="104" customFormat="1" ht="13.5" x14ac:dyDescent="0.15">
      <c r="A27" s="107"/>
      <c r="B27" s="59" t="s">
        <v>174</v>
      </c>
      <c r="C27" s="60" t="s">
        <v>160</v>
      </c>
      <c r="D27" s="60" t="str">
        <f t="shared" ref="D27:F28" si="7">D26</f>
        <v>rb1810</v>
      </c>
      <c r="E27" s="62">
        <f t="shared" ca="1" si="7"/>
        <v>43179</v>
      </c>
      <c r="F27" s="62">
        <f t="shared" ca="1" si="7"/>
        <v>43363</v>
      </c>
      <c r="G27" s="60">
        <v>4000</v>
      </c>
      <c r="H27" s="60">
        <f>H26</f>
        <v>184</v>
      </c>
      <c r="I27" s="63">
        <f>H27/365</f>
        <v>0.50410958904109593</v>
      </c>
      <c r="J27" s="63">
        <f>J26</f>
        <v>0</v>
      </c>
      <c r="K27" s="64">
        <v>0.18</v>
      </c>
      <c r="L27" s="59">
        <f>_xll.dnetGBlackScholesNGreeks("price",$Q27,$P27,$G27,$I27,$C$3,$J27,$K27,$C$4)*R27</f>
        <v>-31.529848310694831</v>
      </c>
      <c r="M27" s="65"/>
      <c r="N27" s="59"/>
      <c r="O27" s="59">
        <f t="shared" si="2"/>
        <v>31.529848310694831</v>
      </c>
      <c r="P27" s="103">
        <f>P26</f>
        <v>3470</v>
      </c>
      <c r="Q27" s="60" t="s">
        <v>39</v>
      </c>
      <c r="R27" s="60">
        <f>IF(S27="中金买入",1,-1)</f>
        <v>-1</v>
      </c>
      <c r="S27" s="64" t="s">
        <v>20</v>
      </c>
      <c r="T27" s="66"/>
      <c r="U27" s="59">
        <f>_xll.dnetGBlackScholesNGreeks("delta",$Q27,$P27,$G27,$I27,$C$3,$J27,$K27,$C$4)*R27</f>
        <v>-0.14577452605522012</v>
      </c>
      <c r="V27" s="59">
        <f>_xll.dnetGBlackScholesNGreeks("vega",$Q27,$P27,$G27,$I27,$C$3,$J27,$K27,$C$4)*R27</f>
        <v>-5.6105537763260713</v>
      </c>
    </row>
    <row r="28" spans="1:22" s="104" customFormat="1" ht="14.25" thickBot="1" x14ac:dyDescent="0.2">
      <c r="A28" s="107"/>
      <c r="B28" s="67" t="s">
        <v>175</v>
      </c>
      <c r="C28" s="68" t="s">
        <v>160</v>
      </c>
      <c r="D28" s="68" t="str">
        <f t="shared" si="7"/>
        <v>rb1810</v>
      </c>
      <c r="E28" s="70">
        <f t="shared" ca="1" si="7"/>
        <v>43179</v>
      </c>
      <c r="F28" s="70">
        <f t="shared" ca="1" si="7"/>
        <v>43363</v>
      </c>
      <c r="G28" s="68" t="str">
        <f>G26 &amp; "|" &amp; G27</f>
        <v>3600|4000</v>
      </c>
      <c r="H28" s="68">
        <f>H27</f>
        <v>184</v>
      </c>
      <c r="I28" s="71">
        <f>I27</f>
        <v>0.50410958904109593</v>
      </c>
      <c r="J28" s="71"/>
      <c r="K28" s="68"/>
      <c r="L28" s="67">
        <f>L27+L26</f>
        <v>194.87166223273249</v>
      </c>
      <c r="M28" s="68"/>
      <c r="N28" s="67">
        <f>M28/10000*I28*P28</f>
        <v>0</v>
      </c>
      <c r="O28" s="67">
        <f t="shared" si="2"/>
        <v>194.87166223273249</v>
      </c>
      <c r="P28" s="133">
        <f>P27</f>
        <v>3470</v>
      </c>
      <c r="Q28" s="68"/>
      <c r="R28" s="68"/>
      <c r="S28" s="64" t="s">
        <v>151</v>
      </c>
      <c r="T28" s="72">
        <f>O28/P28</f>
        <v>5.6158980470528093E-2</v>
      </c>
      <c r="U28" s="72">
        <f>U27+U26</f>
        <v>-0.74960104164460972</v>
      </c>
      <c r="V28" s="72">
        <f>V27+V26</f>
        <v>3.7456652720017587</v>
      </c>
    </row>
    <row r="29" spans="1:22" s="106" customFormat="1" ht="14.25" thickTop="1" x14ac:dyDescent="0.15">
      <c r="A29" s="105"/>
      <c r="B29" s="51" t="s">
        <v>173</v>
      </c>
      <c r="C29" s="52" t="s">
        <v>160</v>
      </c>
      <c r="D29" s="52" t="s">
        <v>208</v>
      </c>
      <c r="E29" s="54">
        <f ca="1">TODAY()</f>
        <v>43179</v>
      </c>
      <c r="F29" s="54">
        <f ca="1">E29+H29</f>
        <v>43209</v>
      </c>
      <c r="G29" s="52">
        <v>92</v>
      </c>
      <c r="H29" s="52">
        <v>30</v>
      </c>
      <c r="I29" s="55">
        <f>H29/365</f>
        <v>8.2191780821917804E-2</v>
      </c>
      <c r="J29" s="55">
        <v>0</v>
      </c>
      <c r="K29" s="56">
        <v>0.24</v>
      </c>
      <c r="L29" s="51">
        <f>_xll.dnetGBlackScholesNGreeks("price",$Q29,$P29,$G29,$I29,$C$3,$J29,$K29,$C$4)*R29</f>
        <v>-0.36061626839030225</v>
      </c>
      <c r="M29" s="57"/>
      <c r="N29" s="51"/>
      <c r="O29" s="51">
        <f t="shared" ref="O29:O34" si="8">IF(L29&lt;=0,ABS(L29)+N29,L29-N29)</f>
        <v>0.36061626839030225</v>
      </c>
      <c r="P29" s="132">
        <v>100</v>
      </c>
      <c r="Q29" s="52" t="s">
        <v>85</v>
      </c>
      <c r="R29" s="52">
        <f>IF(S29="中金买入",1,-1)</f>
        <v>-1</v>
      </c>
      <c r="S29" s="56" t="s">
        <v>20</v>
      </c>
      <c r="T29" s="58"/>
      <c r="U29" s="51">
        <f>_xll.dnetGBlackScholesNGreeks("delta",$Q29,$P29,$G29,$I29,$C$3,$J29,$K29,$C$4)*R29</f>
        <v>0.10616326771595297</v>
      </c>
      <c r="V29" s="51">
        <f>_xll.dnetGBlackScholesNGreeks("vega",$Q29,$P29,$G29,$I29,$C$3,$J29,$K29,$C$4)*R29</f>
        <v>-5.2489438908342123E-2</v>
      </c>
    </row>
    <row r="30" spans="1:22" s="104" customFormat="1" ht="13.5" x14ac:dyDescent="0.15">
      <c r="A30" s="107"/>
      <c r="B30" s="59" t="s">
        <v>174</v>
      </c>
      <c r="C30" s="60" t="s">
        <v>160</v>
      </c>
      <c r="D30" s="60" t="str">
        <f t="shared" ref="D30:F30" si="9">D29</f>
        <v>i1809</v>
      </c>
      <c r="E30" s="62">
        <f t="shared" ca="1" si="9"/>
        <v>43179</v>
      </c>
      <c r="F30" s="62">
        <f t="shared" ca="1" si="9"/>
        <v>43209</v>
      </c>
      <c r="G30" s="60">
        <v>105</v>
      </c>
      <c r="H30" s="60">
        <f>H29</f>
        <v>30</v>
      </c>
      <c r="I30" s="63">
        <f>H30/365</f>
        <v>8.2191780821917804E-2</v>
      </c>
      <c r="J30" s="63">
        <f>J29</f>
        <v>0</v>
      </c>
      <c r="K30" s="64">
        <v>0.21</v>
      </c>
      <c r="L30" s="59">
        <f>_xll.dnetGBlackScholesNGreeks("price",$Q30,$P30,$G30,$I30,$C$3,$J30,$K30,$C$4)*R30</f>
        <v>0.72669566514838735</v>
      </c>
      <c r="M30" s="65"/>
      <c r="N30" s="59"/>
      <c r="O30" s="59">
        <f t="shared" si="8"/>
        <v>0.72669566514838735</v>
      </c>
      <c r="P30" s="103">
        <f>P29</f>
        <v>100</v>
      </c>
      <c r="Q30" s="60" t="s">
        <v>39</v>
      </c>
      <c r="R30" s="60">
        <f>IF(S30="中金买入",1,-1)</f>
        <v>1</v>
      </c>
      <c r="S30" s="64" t="s">
        <v>151</v>
      </c>
      <c r="T30" s="66"/>
      <c r="U30" s="59">
        <f>_xll.dnetGBlackScholesNGreeks("delta",$Q30,$P30,$G30,$I30,$C$3,$J30,$K30,$C$4)*R30</f>
        <v>0.21725094276838774</v>
      </c>
      <c r="V30" s="59">
        <f>_xll.dnetGBlackScholesNGreeks("vega",$Q30,$P30,$G30,$I30,$C$3,$J30,$K30,$C$4)*R30</f>
        <v>8.4167489640684323E-2</v>
      </c>
    </row>
    <row r="31" spans="1:22" s="104" customFormat="1" ht="14.25" thickBot="1" x14ac:dyDescent="0.2">
      <c r="A31" s="107"/>
      <c r="B31" s="67" t="s">
        <v>175</v>
      </c>
      <c r="C31" s="68" t="s">
        <v>160</v>
      </c>
      <c r="D31" s="68" t="str">
        <f t="shared" ref="D31:F31" si="10">D30</f>
        <v>i1809</v>
      </c>
      <c r="E31" s="70">
        <f t="shared" ca="1" si="10"/>
        <v>43179</v>
      </c>
      <c r="F31" s="70">
        <f t="shared" ca="1" si="10"/>
        <v>43209</v>
      </c>
      <c r="G31" s="68" t="str">
        <f>G29 &amp; "|" &amp; G30</f>
        <v>92|105</v>
      </c>
      <c r="H31" s="68">
        <f>H30</f>
        <v>30</v>
      </c>
      <c r="I31" s="71">
        <f>I30</f>
        <v>8.2191780821917804E-2</v>
      </c>
      <c r="J31" s="71"/>
      <c r="K31" s="68"/>
      <c r="L31" s="67">
        <f>L30+L29</f>
        <v>0.3660793967580851</v>
      </c>
      <c r="M31" s="68">
        <v>50</v>
      </c>
      <c r="N31" s="67">
        <f>M31/10000*I31*P31</f>
        <v>4.1095890410958902E-2</v>
      </c>
      <c r="O31" s="67">
        <f t="shared" si="8"/>
        <v>0.32498350634712619</v>
      </c>
      <c r="P31" s="133">
        <f>P30</f>
        <v>100</v>
      </c>
      <c r="Q31" s="68"/>
      <c r="R31" s="68"/>
      <c r="S31" s="64" t="s">
        <v>151</v>
      </c>
      <c r="T31" s="72">
        <f>O31/P31</f>
        <v>3.2498350634712621E-3</v>
      </c>
      <c r="U31" s="72">
        <f>U30+U29</f>
        <v>0.32341421048434071</v>
      </c>
      <c r="V31" s="72">
        <f>V30+V29</f>
        <v>3.16780507323422E-2</v>
      </c>
    </row>
    <row r="32" spans="1:22" s="104" customFormat="1" ht="14.25" thickTop="1" x14ac:dyDescent="0.15">
      <c r="A32" s="107"/>
      <c r="B32" s="51" t="s">
        <v>173</v>
      </c>
      <c r="C32" s="52" t="s">
        <v>160</v>
      </c>
      <c r="D32" s="52" t="s">
        <v>208</v>
      </c>
      <c r="E32" s="54">
        <f ca="1">TODAY()</f>
        <v>43179</v>
      </c>
      <c r="F32" s="54">
        <f ca="1">E32+H32</f>
        <v>43209</v>
      </c>
      <c r="G32" s="52">
        <v>95</v>
      </c>
      <c r="H32" s="52">
        <v>30</v>
      </c>
      <c r="I32" s="55">
        <f>H32/365</f>
        <v>8.2191780821917804E-2</v>
      </c>
      <c r="J32" s="55">
        <v>0</v>
      </c>
      <c r="K32" s="56">
        <v>0.24</v>
      </c>
      <c r="L32" s="51">
        <f>_xll.dnetGBlackScholesNGreeks("price",$Q32,$P32,$G32,$I32,$C$3,$J32,$K32,$C$4)*R32</f>
        <v>-0.88478777957798371</v>
      </c>
      <c r="M32" s="57"/>
      <c r="N32" s="51"/>
      <c r="O32" s="51">
        <f t="shared" si="8"/>
        <v>0.88478777957798371</v>
      </c>
      <c r="P32" s="132">
        <v>100</v>
      </c>
      <c r="Q32" s="52" t="s">
        <v>85</v>
      </c>
      <c r="R32" s="52">
        <f>IF(S32="中金买入",1,-1)</f>
        <v>-1</v>
      </c>
      <c r="S32" s="56" t="s">
        <v>20</v>
      </c>
      <c r="T32" s="58"/>
      <c r="U32" s="51">
        <f>_xll.dnetGBlackScholesNGreeks("delta",$Q32,$P32,$G32,$I32,$C$3,$J32,$K32,$C$4)*R32</f>
        <v>0.21737278669018423</v>
      </c>
      <c r="V32" s="51">
        <f>_xll.dnetGBlackScholesNGreeks("vega",$Q32,$P32,$G32,$I32,$C$3,$J32,$K32,$C$4)*R32</f>
        <v>-8.421063147348562E-2</v>
      </c>
    </row>
    <row r="33" spans="1:22" s="104" customFormat="1" ht="13.5" x14ac:dyDescent="0.15">
      <c r="A33" s="107"/>
      <c r="B33" s="59" t="s">
        <v>174</v>
      </c>
      <c r="C33" s="60" t="s">
        <v>160</v>
      </c>
      <c r="D33" s="60" t="str">
        <f t="shared" ref="D33:F33" si="11">D32</f>
        <v>i1809</v>
      </c>
      <c r="E33" s="62">
        <f t="shared" ca="1" si="11"/>
        <v>43179</v>
      </c>
      <c r="F33" s="62">
        <f t="shared" ca="1" si="11"/>
        <v>43209</v>
      </c>
      <c r="G33" s="60">
        <v>102.5</v>
      </c>
      <c r="H33" s="60">
        <f>H32</f>
        <v>30</v>
      </c>
      <c r="I33" s="63">
        <f>H33/365</f>
        <v>8.2191780821917804E-2</v>
      </c>
      <c r="J33" s="63">
        <f>J32</f>
        <v>0</v>
      </c>
      <c r="K33" s="64">
        <v>0.21</v>
      </c>
      <c r="L33" s="59">
        <f>_xll.dnetGBlackScholesNGreeks("price",$Q33,$P33,$G33,$I33,$C$3,$J33,$K33,$C$4)*R33</f>
        <v>1.3808360714662911</v>
      </c>
      <c r="M33" s="65"/>
      <c r="N33" s="59"/>
      <c r="O33" s="59">
        <f t="shared" si="8"/>
        <v>1.3808360714662911</v>
      </c>
      <c r="P33" s="103">
        <f>P32</f>
        <v>100</v>
      </c>
      <c r="Q33" s="60" t="s">
        <v>39</v>
      </c>
      <c r="R33" s="60">
        <f>IF(S33="中金买入",1,-1)</f>
        <v>1</v>
      </c>
      <c r="S33" s="64" t="s">
        <v>151</v>
      </c>
      <c r="T33" s="66"/>
      <c r="U33" s="59">
        <f>_xll.dnetGBlackScholesNGreeks("delta",$Q33,$P33,$G33,$I33,$C$3,$J33,$K33,$C$4)*R33</f>
        <v>0.351380281727387</v>
      </c>
      <c r="V33" s="59">
        <f>_xll.dnetGBlackScholesNGreeks("vega",$Q33,$P33,$G33,$I33,$C$3,$J33,$K33,$C$4)*R33</f>
        <v>0.1062109636871611</v>
      </c>
    </row>
    <row r="34" spans="1:22" s="104" customFormat="1" ht="13.5" x14ac:dyDescent="0.15">
      <c r="A34" s="107"/>
      <c r="B34" s="67" t="s">
        <v>175</v>
      </c>
      <c r="C34" s="68" t="s">
        <v>160</v>
      </c>
      <c r="D34" s="68" t="str">
        <f t="shared" ref="D34:F34" si="12">D33</f>
        <v>i1809</v>
      </c>
      <c r="E34" s="70">
        <f t="shared" ca="1" si="12"/>
        <v>43179</v>
      </c>
      <c r="F34" s="70">
        <f t="shared" ca="1" si="12"/>
        <v>43209</v>
      </c>
      <c r="G34" s="68" t="str">
        <f>G32 &amp; "|" &amp; G33</f>
        <v>95|102.5</v>
      </c>
      <c r="H34" s="68">
        <f>H33</f>
        <v>30</v>
      </c>
      <c r="I34" s="71">
        <f>I33</f>
        <v>8.2191780821917804E-2</v>
      </c>
      <c r="J34" s="71"/>
      <c r="K34" s="68"/>
      <c r="L34" s="67">
        <f>L33+L32</f>
        <v>0.49604829188830735</v>
      </c>
      <c r="M34" s="68">
        <v>50</v>
      </c>
      <c r="N34" s="67">
        <f>M34/10000*I34*P34</f>
        <v>4.1095890410958902E-2</v>
      </c>
      <c r="O34" s="67">
        <f t="shared" si="8"/>
        <v>0.45495240147734844</v>
      </c>
      <c r="P34" s="133">
        <f>P33</f>
        <v>100</v>
      </c>
      <c r="Q34" s="68"/>
      <c r="R34" s="68"/>
      <c r="S34" s="64" t="s">
        <v>151</v>
      </c>
      <c r="T34" s="72">
        <f>O34/P34</f>
        <v>4.5495240147734846E-3</v>
      </c>
      <c r="U34" s="72">
        <f>U33+U32</f>
        <v>0.56875306841757123</v>
      </c>
      <c r="V34" s="72">
        <f>V33+V32</f>
        <v>2.2000332213675478E-2</v>
      </c>
    </row>
    <row r="35" spans="1:22" s="104" customFormat="1" ht="13.5" x14ac:dyDescent="0.15">
      <c r="A35" s="108"/>
      <c r="B35" s="59"/>
      <c r="C35" s="60"/>
      <c r="D35" s="60"/>
      <c r="E35" s="62"/>
      <c r="F35" s="62"/>
      <c r="G35" s="61"/>
      <c r="H35" s="60"/>
      <c r="I35" s="63"/>
      <c r="J35" s="63"/>
      <c r="K35" s="64"/>
      <c r="L35" s="59"/>
      <c r="M35" s="65"/>
      <c r="N35" s="59"/>
      <c r="O35" s="59"/>
      <c r="P35" s="103"/>
      <c r="Q35" s="60"/>
      <c r="R35" s="60"/>
      <c r="S35" s="64"/>
      <c r="T35" s="66"/>
      <c r="U35" s="59"/>
      <c r="V35" s="59"/>
    </row>
    <row r="36" spans="1:22" s="104" customFormat="1" ht="13.5" x14ac:dyDescent="0.15">
      <c r="A36" s="108"/>
      <c r="B36" s="59"/>
      <c r="C36" s="60"/>
      <c r="D36" s="60"/>
      <c r="E36" s="62"/>
      <c r="F36" s="62"/>
      <c r="G36" s="61"/>
      <c r="H36" s="60"/>
      <c r="I36" s="63"/>
      <c r="J36" s="63"/>
      <c r="K36" s="64"/>
      <c r="L36" s="59"/>
      <c r="M36" s="65"/>
      <c r="N36" s="59"/>
      <c r="O36" s="59"/>
      <c r="P36" s="61"/>
      <c r="Q36" s="60"/>
      <c r="R36" s="60"/>
      <c r="S36" s="64"/>
      <c r="T36" s="66"/>
      <c r="U36" s="59"/>
      <c r="V36" s="59"/>
    </row>
    <row r="37" spans="1:22" s="117" customFormat="1" ht="14.25" thickBot="1" x14ac:dyDescent="0.2">
      <c r="A37" s="109"/>
      <c r="B37" s="110"/>
      <c r="C37" s="111"/>
      <c r="D37" s="111"/>
      <c r="E37" s="112"/>
      <c r="F37" s="112"/>
      <c r="G37" s="111"/>
      <c r="H37" s="111"/>
      <c r="I37" s="113"/>
      <c r="J37" s="113"/>
      <c r="K37" s="111"/>
      <c r="L37" s="110"/>
      <c r="M37" s="111"/>
      <c r="N37" s="110"/>
      <c r="O37" s="110"/>
      <c r="P37" s="114"/>
      <c r="Q37" s="111"/>
      <c r="R37" s="111"/>
      <c r="S37" s="115"/>
      <c r="T37" s="116"/>
      <c r="U37" s="116"/>
      <c r="V37" s="116"/>
    </row>
    <row r="38" spans="1:22" x14ac:dyDescent="0.15">
      <c r="B38" s="37"/>
      <c r="C38" s="32"/>
      <c r="D38" s="32"/>
      <c r="E38" s="34"/>
      <c r="F38" s="34"/>
      <c r="G38" s="32"/>
      <c r="H38" s="32"/>
      <c r="I38" s="35"/>
      <c r="J38" s="35"/>
      <c r="K38" s="36"/>
      <c r="L38" s="37"/>
      <c r="M38" s="38"/>
      <c r="N38" s="37"/>
      <c r="O38" s="37"/>
      <c r="P38" s="33"/>
      <c r="Q38" s="32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4"/>
      <c r="F39" s="34"/>
      <c r="G39" s="32"/>
      <c r="H39" s="32"/>
      <c r="I39" s="35"/>
      <c r="J39" s="35"/>
      <c r="K39" s="36"/>
      <c r="L39" s="37"/>
      <c r="M39" s="38"/>
      <c r="N39" s="37"/>
      <c r="O39" s="37"/>
      <c r="P39" s="33"/>
      <c r="Q39" s="32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Q8:Q39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18" sqref="O1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57" t="s">
        <v>38</v>
      </c>
      <c r="C1" s="157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3648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44">
        <v>0.02</v>
      </c>
      <c r="M8" s="21">
        <f ca="1">TODAY()</f>
        <v>43179</v>
      </c>
      <c r="N8" s="21">
        <f ca="1">M8+O8</f>
        <v>43209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-28.990501161409885</v>
      </c>
      <c r="T8" s="25">
        <v>80</v>
      </c>
      <c r="U8" s="24">
        <f>T8/10000*P8*H8</f>
        <v>2.3986849315068492</v>
      </c>
      <c r="V8" s="24">
        <f>IF(S8&lt;=0,ABS(S8)+U8,S8-U8)</f>
        <v>31.389186092916734</v>
      </c>
      <c r="W8" s="26">
        <f>V8/H8</f>
        <v>8.6044918017863861E-3</v>
      </c>
      <c r="X8" s="24">
        <f>_xll.dnetStandardBarrierNGreeks("delta",G8,H8,I8,K8,L8*H8,P8,$C$3,Q8,R8,$C$4)</f>
        <v>0.12677965101133282</v>
      </c>
      <c r="Y8" s="24">
        <f>_xll.dnetStandardBarrierNGreeks("vega",G8,H8,I8,K8,L8*H8,P8,$C$3,Q8,R8,$C$4)</f>
        <v>1.0069149935103621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43179</v>
      </c>
      <c r="N9" s="8">
        <f ca="1">M9+O9</f>
        <v>43359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7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59" t="s">
        <v>37</v>
      </c>
      <c r="C1" s="159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3648</v>
      </c>
      <c r="I8" s="19">
        <v>3800</v>
      </c>
      <c r="J8" s="21">
        <f ca="1">TODAY()</f>
        <v>43179</v>
      </c>
      <c r="K8" s="21">
        <f ca="1">J8+L8</f>
        <v>43209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66.74563284519536</v>
      </c>
      <c r="P8" s="25">
        <v>80</v>
      </c>
      <c r="Q8" s="24">
        <f>P8/10000*M8*H8*(-E8)</f>
        <v>2.3986849315068492</v>
      </c>
      <c r="R8" s="24">
        <f>O8+Q8</f>
        <v>69.144317776702209</v>
      </c>
      <c r="S8" s="26">
        <f>R8/H8</f>
        <v>1.8954034478262667E-2</v>
      </c>
      <c r="T8" s="24">
        <f>_xll.dnetGBlackScholesNGreeks("delta",$G8,$H8,$I8,$M8,$C$3,$C$4,$N8,$C$4)</f>
        <v>0.3362090946779972</v>
      </c>
      <c r="U8" s="24">
        <f>_xll.dnetGBlackScholesNGreeks("vega",$G8,$H8,$I8,$M8,$C$3,$C$4,$N8)</f>
        <v>3.8131989226360474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43179</v>
      </c>
      <c r="K9" s="8">
        <f ca="1">J9+L9</f>
        <v>43209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43179</v>
      </c>
      <c r="K10" s="8">
        <f ca="1">J10+L10</f>
        <v>43209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2018-03-20T06:39:07Z</dcterms:modified>
</cp:coreProperties>
</file>