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15" i="1" l="1"/>
  <c r="R15" i="1" s="1"/>
  <c r="M14" i="1"/>
  <c r="R14" i="1" s="1"/>
  <c r="J15" i="1"/>
  <c r="K15" i="1" s="1"/>
  <c r="E15" i="1"/>
  <c r="J14" i="1"/>
  <c r="K14" i="1" s="1"/>
  <c r="E14" i="1"/>
  <c r="V14" i="1"/>
  <c r="P15" i="1"/>
  <c r="U15" i="1"/>
  <c r="S15" i="1" l="1"/>
  <c r="T15" i="1" s="1"/>
  <c r="M13" i="1"/>
  <c r="M12" i="1"/>
  <c r="M11" i="1"/>
  <c r="M10" i="1"/>
  <c r="J13" i="1"/>
  <c r="K13" i="1" s="1"/>
  <c r="E13" i="1"/>
  <c r="J12" i="1"/>
  <c r="K12" i="1" s="1"/>
  <c r="E12" i="1"/>
  <c r="P14" i="1"/>
  <c r="U14" i="1"/>
  <c r="H13" i="1"/>
  <c r="H12" i="1"/>
  <c r="V15" i="1"/>
  <c r="H11" i="1"/>
  <c r="H10" i="1"/>
  <c r="P12" i="1"/>
  <c r="U13" i="1"/>
  <c r="S14" i="1" l="1"/>
  <c r="T14" i="1" s="1"/>
  <c r="R12" i="1"/>
  <c r="S12" i="1" s="1"/>
  <c r="T12" i="1" s="1"/>
  <c r="R13" i="1"/>
  <c r="J11" i="1"/>
  <c r="K11" i="1" s="1"/>
  <c r="E11" i="1"/>
  <c r="J10" i="1"/>
  <c r="K10" i="1" s="1"/>
  <c r="E10" i="1"/>
  <c r="U12" i="1"/>
  <c r="P13" i="1"/>
  <c r="V13" i="1"/>
  <c r="V12" i="1"/>
  <c r="V11" i="1"/>
  <c r="V10" i="1"/>
  <c r="S13" i="1" l="1"/>
  <c r="T13" i="1" s="1"/>
  <c r="R11" i="1"/>
  <c r="R10" i="1"/>
  <c r="D26" i="2"/>
  <c r="P11" i="1"/>
  <c r="U11" i="1"/>
  <c r="P10" i="1"/>
  <c r="U10" i="1"/>
  <c r="S11" i="1" l="1"/>
  <c r="T11" i="1" s="1"/>
  <c r="S10" i="1"/>
  <c r="T10" i="1" s="1"/>
  <c r="N9" i="9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P9" i="9"/>
  <c r="V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10" i="7"/>
  <c r="U9" i="7"/>
  <c r="T10" i="7"/>
  <c r="H8" i="7"/>
  <c r="T9" i="7"/>
  <c r="O9" i="7"/>
  <c r="H8" i="8"/>
  <c r="O10" i="7"/>
  <c r="U8" i="8" l="1"/>
  <c r="Q9" i="7"/>
  <c r="R9" i="7" s="1"/>
  <c r="S9" i="7" s="1"/>
  <c r="Q10" i="7"/>
  <c r="R10" i="7" s="1"/>
  <c r="S10" i="7" s="1"/>
  <c r="Q8" i="7"/>
  <c r="O8" i="7"/>
  <c r="T8" i="7"/>
  <c r="K8" i="8"/>
  <c r="S9" i="8"/>
  <c r="U8" i="7"/>
  <c r="Y9" i="8"/>
  <c r="X9" i="8"/>
  <c r="V9" i="8" l="1"/>
  <c r="W9" i="8" s="1"/>
  <c r="R8" i="7"/>
  <c r="S8" i="7" s="1"/>
  <c r="Y8" i="8"/>
  <c r="X8" i="8"/>
  <c r="S8" i="8"/>
  <c r="V8" i="8" l="1"/>
  <c r="W8" i="8" s="1"/>
  <c r="E9" i="1"/>
  <c r="E8" i="1"/>
  <c r="M9" i="1" l="1"/>
  <c r="J9" i="1"/>
  <c r="K9" i="1" s="1"/>
  <c r="M8" i="1"/>
  <c r="J8" i="1"/>
  <c r="K8" i="1" s="1"/>
  <c r="V9" i="1"/>
  <c r="P9" i="1"/>
  <c r="H8" i="1"/>
  <c r="U9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<sst xmlns="http://schemas.openxmlformats.org/spreadsheetml/2006/main" count="487" uniqueCount="217">
  <si>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</si>
  <si>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</si>
  <si>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</si>
  <si>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</si>
  <si>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</si>
  <si>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</si>
  <si>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</si>
  <si>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</si>
  <si>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</si>
  <si>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</si>
  <si>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</si>
  <si>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</si>
  <si>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</si>
  <si>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</si>
  <si>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</si>
  <si>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</si>
  <si>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</si>
  <si>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</si>
  <si>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</si>
  <si>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</si>
  <si>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</si>
  <si>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</si>
  <si>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</si>
  <si>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</si>
  <si>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</si>
  <si>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</si>
  <si>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</si>
  <si>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</si>
  <si>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</si>
  <si>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</si>
  <si>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</si>
  <si>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</si>
  <si>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</si>
  <si>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</si>
  <si>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</si>
  <si>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</si>
  <si>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</si>
  <si>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</si>
  <si>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</si>
  <si>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</si>
  <si>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</si>
  <si>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</si>
  <si>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</si>
  <si>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</si>
  <si>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</si>
  <si>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</si>
  <si>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</si>
  <si>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</si>
  <si>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</si>
  <si>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</si>
  <si>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</si>
  <si>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</si>
  <si>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</si>
  <si>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</si>
  <si>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</si>
  <si>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</si>
  <si>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</si>
  <si>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</si>
  <si>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</si>
  <si>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</si>
  <si>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</si>
  <si>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</si>
  <si>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</si>
  <si>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</si>
  <si>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</si>
  <si>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</si>
  <si>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</si>
  <si>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</si>
  <si>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</si>
  <si>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</si>
  <si>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</si>
  <si>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</si>
  <si>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</si>
  <si>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</si>
  <si>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</si>
  <si>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</si>
  <si>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</si>
  <si>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</si>
  <si>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</si>
  <si>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</si>
  <si>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</si>
  <si>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</si>
  <si>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</si>
  <si>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</si>
  <si>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</si>
  <si>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</si>
  <si>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</si>
  <si>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</si>
  <si>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</si>
  <si>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</si>
  <si>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</si>
  <si>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</si>
  <si>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</si>
  <si>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</si>
  <si>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</si>
  <si>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</si>
  <si>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</si>
  <si>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</si>
  <si>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</si>
  <si>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</si>
  <si>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</si>
  <si>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</si>
  <si>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</si>
  <si>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</si>
  <si>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</si>
  <si>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</si>
  <si>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</si>
  <si>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</si>
  <si>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</si>
  <si>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</si>
  <si>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</si>
  <si>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</si>
  <si>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</si>
  <si>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</si>
  <si>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</si>
  <si>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</si>
  <si>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</si>
  <si>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</si>
  <si>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</si>
  <si>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</si>
  <si>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</si>
  <si>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</si>
  <si>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</si>
  <si>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</si>
  <si>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</si>
  <si>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</si>
  <si>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</si>
  <si>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</si>
  <si>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</si>
  <si>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</si>
  <si>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</si>
  <si>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</si>
  <si>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</si>
  <si>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</si>
  <si>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</si>
  <si>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</si>
  <si>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</si>
  <si>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</si>
  <si>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</si>
  <si>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</si>
  <si>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</si>
  <si>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</si>
  <si>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</si>
  <si>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</si>
  <si>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</si>
  <si>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</si>
  <si>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</si>
  <si>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</si>
  <si>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</si>
  <si>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</si>
  <si>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</si>
  <si>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</si>
  <si>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</si>
  <si>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</si>
  <si>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</si>
  <si>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</si>
  <si>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</si>
  <si>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</si>
  <si>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</si>
  <si>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</si>
  <si>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</si>
  <si>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</si>
  <si>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</si>
  <si>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</si>
  <si>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</si>
  <si>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</si>
  <si>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</si>
  <si>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</si>
  <si>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</si>
  <si>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</si>
  <si>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</si>
  <si>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</si>
  <si>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</si>
  <si>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</si>
  <si>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</si>
  <si>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</si>
  <si>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</si>
  <si>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</si>
  <si>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</si>
  <si>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</si>
  <si>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</si>
  <si>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</si>
  <si>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</si>
  <si>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</si>
  <si>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</si>
  <si>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</si>
  <si>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</si>
  <si>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</si>
  <si>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</si>
  <si>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</si>
  <si>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</si>
  <si>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</si>
  <si>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</si>
  <si>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</si>
  <si>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</si>
  <si>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</si>
  <si>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</si>
  <si>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</si>
  <si>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</si>
  <si>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</si>
  <si>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</si>
  <si>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</si>
  <si>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</si>
  <si>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</si>
  <si>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</si>
  <si>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</si>
  <si>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</si>
  <si>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</si>
  <si>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</si>
  <si>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</si>
  <si>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</si>
  <si>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</si>
  <si>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</si>
  <si>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TWGJ</t>
    <phoneticPr fontId="1" type="noConversion"/>
  </si>
  <si>
    <t>TWGJ</t>
  </si>
  <si>
    <t>cf1805</t>
  </si>
  <si>
    <t>cf1805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</si>
</sst>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2" fontId="29" fillId="9" borderId="2" xfId="2" applyNumberFormat="1" applyFill="1" applyBorder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27" fillId="0" borderId="13" xfId="0" applyNumberFormat="1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horizontal="right" vertical="center" wrapText="1"/>
    </xf>
    <xf numFmtId="0" fontId="30" fillId="14" borderId="13" xfId="0" applyFont="1" applyFill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10" fontId="27" fillId="14" borderId="12" xfId="0" applyNumberFormat="1" applyFont="1" applyFill="1" applyBorder="1" applyAlignment="1">
      <alignment horizontal="right" vertical="center" wrapText="1"/>
    </xf>
    <xf numFmtId="10" fontId="27" fillId="14" borderId="13" xfId="0" applyNumberFormat="1" applyFont="1" applyFill="1" applyBorder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30" fillId="0" borderId="13" xfId="0" applyFont="1" applyBorder="1" applyAlignment="1">
      <alignment horizontal="right" vertical="center" wrapText="1"/>
    </xf>
    <xf numFmtId="0" fontId="31" fillId="14" borderId="12" xfId="0" applyFont="1" applyFill="1" applyBorder="1" applyAlignment="1">
      <alignment vertical="center" wrapText="1"/>
    </xf>
    <xf numFmtId="0" fontId="31" fillId="14" borderId="13" xfId="0" applyFont="1" applyFill="1" applyBorder="1" applyAlignment="1">
      <alignment vertical="center" wrapText="1"/>
    </xf>
    <xf numFmtId="0" fontId="31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3791</v>
        <stp/>
        <stp>RB1805</stp>
        <stp>LastPrice</stp>
        <tr r="H8" s="1"/>
        <tr r="H8" s="8"/>
        <tr r="H8" s="7"/>
      </tp>
      <tp>
        <v>3587</v>
        <stp/>
        <stp>RB1810</stp>
        <stp>LastPrice</stp>
        <tr r="H10" s="1"/>
        <tr r="H11" s="1"/>
        <tr r="H12" s="1"/>
        <tr r="H1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"/>
  <sheetViews>
    <sheetView zoomScaleNormal="100" workbookViewId="0">
      <selection activeCell="S27" sqref="S27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09" t="s">
        <v>158</v>
      </c>
      <c r="C1" s="109"/>
      <c r="D1" s="109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215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215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1" activePane="bottomLeft" state="frozen"/>
      <selection pane="bottomLeft" activeCell="I27" sqref="I27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1" t="s">
        <v>118</v>
      </c>
      <c r="C1" s="121"/>
    </row>
    <row r="2" spans="2:20" ht="12" thickTop="1"/>
    <row r="3" spans="2:20" ht="12.75" thickBot="1">
      <c r="B3" s="120" t="s">
        <v>119</v>
      </c>
      <c r="C3" s="120"/>
      <c r="D3" s="120"/>
      <c r="E3" s="120"/>
      <c r="G3" s="117" t="s">
        <v>120</v>
      </c>
      <c r="H3" s="117"/>
      <c r="I3" s="117"/>
      <c r="J3" s="117"/>
      <c r="L3" s="120" t="s">
        <v>192</v>
      </c>
      <c r="M3" s="120"/>
      <c r="N3" s="120"/>
      <c r="O3" s="120"/>
      <c r="Q3" s="117" t="s">
        <v>193</v>
      </c>
      <c r="R3" s="117"/>
      <c r="S3" s="117"/>
      <c r="T3" s="117"/>
    </row>
    <row r="4" spans="2:20" ht="15" thickTop="1" thickBot="1">
      <c r="B4" s="118" t="s">
        <v>121</v>
      </c>
      <c r="C4" s="118"/>
      <c r="D4" s="118"/>
      <c r="E4" s="118"/>
      <c r="G4" s="118" t="s">
        <v>34</v>
      </c>
      <c r="H4" s="118"/>
      <c r="I4" s="118"/>
      <c r="J4" s="118"/>
      <c r="L4" s="118" t="s">
        <v>121</v>
      </c>
      <c r="M4" s="118"/>
      <c r="N4" s="118"/>
      <c r="O4" s="118"/>
      <c r="Q4" s="118" t="s">
        <v>34</v>
      </c>
      <c r="R4" s="118"/>
      <c r="S4" s="118"/>
      <c r="T4" s="118"/>
    </row>
    <row r="5" spans="2:20" ht="14.25" thickTop="1">
      <c r="B5" s="33" t="s">
        <v>122</v>
      </c>
      <c r="C5" s="34"/>
      <c r="D5" s="35"/>
      <c r="E5" s="36"/>
      <c r="G5" s="116" t="s">
        <v>123</v>
      </c>
      <c r="H5" s="116"/>
      <c r="I5" s="35"/>
      <c r="J5" s="36"/>
      <c r="L5" s="33" t="s">
        <v>122</v>
      </c>
      <c r="M5" s="34"/>
      <c r="N5" s="35"/>
      <c r="O5" s="36"/>
      <c r="Q5" s="116" t="s">
        <v>123</v>
      </c>
      <c r="R5" s="116"/>
      <c r="S5" s="35"/>
      <c r="T5" s="36"/>
    </row>
    <row r="6" spans="2:20" ht="13.5">
      <c r="B6" s="113" t="s">
        <v>124</v>
      </c>
      <c r="C6" s="113"/>
      <c r="D6" s="114" t="s">
        <v>125</v>
      </c>
      <c r="E6" s="115"/>
      <c r="G6" s="116" t="s">
        <v>126</v>
      </c>
      <c r="H6" s="116"/>
      <c r="I6" s="114"/>
      <c r="J6" s="115"/>
      <c r="L6" s="113" t="s">
        <v>124</v>
      </c>
      <c r="M6" s="113"/>
      <c r="N6" s="114" t="s">
        <v>125</v>
      </c>
      <c r="O6" s="115"/>
      <c r="Q6" s="116" t="s">
        <v>126</v>
      </c>
      <c r="R6" s="116"/>
      <c r="S6" s="114"/>
      <c r="T6" s="115"/>
    </row>
    <row r="7" spans="2:20" ht="13.5">
      <c r="B7" s="113" t="s">
        <v>127</v>
      </c>
      <c r="C7" s="113"/>
      <c r="D7" s="114" t="s">
        <v>125</v>
      </c>
      <c r="E7" s="115"/>
      <c r="G7" s="116" t="s">
        <v>128</v>
      </c>
      <c r="H7" s="116"/>
      <c r="I7" s="114"/>
      <c r="J7" s="115"/>
      <c r="L7" s="113" t="s">
        <v>127</v>
      </c>
      <c r="M7" s="113"/>
      <c r="N7" s="114" t="s">
        <v>125</v>
      </c>
      <c r="O7" s="115"/>
      <c r="Q7" s="116" t="s">
        <v>128</v>
      </c>
      <c r="R7" s="116"/>
      <c r="S7" s="114"/>
      <c r="T7" s="115"/>
    </row>
    <row r="8" spans="2:20" ht="13.5">
      <c r="B8" s="113" t="s">
        <v>129</v>
      </c>
      <c r="C8" s="113"/>
      <c r="D8" s="114">
        <f>D13*D15</f>
        <v>305000</v>
      </c>
      <c r="E8" s="115"/>
      <c r="G8" s="116" t="s">
        <v>130</v>
      </c>
      <c r="H8" s="116"/>
      <c r="I8" s="114"/>
      <c r="J8" s="115"/>
      <c r="L8" s="113" t="s">
        <v>129</v>
      </c>
      <c r="M8" s="113"/>
      <c r="N8" s="114">
        <f>N14*N16</f>
        <v>305000</v>
      </c>
      <c r="O8" s="115"/>
      <c r="Q8" s="116" t="s">
        <v>130</v>
      </c>
      <c r="R8" s="116"/>
      <c r="S8" s="114"/>
      <c r="T8" s="115"/>
    </row>
    <row r="9" spans="2:20" ht="13.5">
      <c r="B9" s="113" t="s">
        <v>131</v>
      </c>
      <c r="C9" s="113"/>
      <c r="D9" s="114" t="s">
        <v>132</v>
      </c>
      <c r="E9" s="115"/>
      <c r="G9" s="116" t="s">
        <v>133</v>
      </c>
      <c r="H9" s="116"/>
      <c r="I9" s="114"/>
      <c r="J9" s="115"/>
      <c r="L9" s="113" t="s">
        <v>131</v>
      </c>
      <c r="M9" s="113"/>
      <c r="N9" s="114" t="s">
        <v>132</v>
      </c>
      <c r="O9" s="115"/>
      <c r="Q9" s="116" t="s">
        <v>133</v>
      </c>
      <c r="R9" s="116"/>
      <c r="S9" s="114"/>
      <c r="T9" s="115"/>
    </row>
    <row r="10" spans="2:20" ht="13.5">
      <c r="B10" s="113" t="s">
        <v>134</v>
      </c>
      <c r="C10" s="113"/>
      <c r="D10" s="114">
        <v>43084</v>
      </c>
      <c r="E10" s="115"/>
      <c r="G10" s="30" t="s">
        <v>135</v>
      </c>
      <c r="H10" s="30"/>
      <c r="I10" s="114"/>
      <c r="J10" s="115"/>
      <c r="L10" s="113" t="s">
        <v>134</v>
      </c>
      <c r="M10" s="113"/>
      <c r="N10" s="114">
        <v>43084</v>
      </c>
      <c r="O10" s="115"/>
      <c r="Q10" s="62" t="s">
        <v>135</v>
      </c>
      <c r="R10" s="62"/>
      <c r="S10" s="114"/>
      <c r="T10" s="115"/>
    </row>
    <row r="11" spans="2:20" ht="13.5">
      <c r="B11" s="113" t="s">
        <v>136</v>
      </c>
      <c r="C11" s="113"/>
      <c r="D11" s="114">
        <v>3935</v>
      </c>
      <c r="E11" s="115"/>
      <c r="G11" s="116" t="s">
        <v>137</v>
      </c>
      <c r="H11" s="116"/>
      <c r="I11" s="114"/>
      <c r="J11" s="115"/>
      <c r="L11" s="113" t="s">
        <v>136</v>
      </c>
      <c r="M11" s="113"/>
      <c r="N11" s="114">
        <v>3935</v>
      </c>
      <c r="O11" s="115"/>
      <c r="Q11" s="116" t="s">
        <v>137</v>
      </c>
      <c r="R11" s="116"/>
      <c r="S11" s="114"/>
      <c r="T11" s="115"/>
    </row>
    <row r="12" spans="2:20" ht="13.5">
      <c r="B12" s="113" t="s">
        <v>138</v>
      </c>
      <c r="C12" s="113"/>
      <c r="D12" s="114">
        <v>3800</v>
      </c>
      <c r="E12" s="115"/>
      <c r="G12" s="116" t="s">
        <v>139</v>
      </c>
      <c r="H12" s="116"/>
      <c r="I12" s="114"/>
      <c r="J12" s="115"/>
      <c r="L12" s="113" t="s">
        <v>190</v>
      </c>
      <c r="M12" s="113"/>
      <c r="N12" s="114">
        <v>3800</v>
      </c>
      <c r="O12" s="115"/>
      <c r="Q12" s="116" t="s">
        <v>194</v>
      </c>
      <c r="R12" s="116"/>
      <c r="S12" s="114"/>
      <c r="T12" s="115"/>
    </row>
    <row r="13" spans="2:20" ht="13.5">
      <c r="B13" s="113" t="s">
        <v>140</v>
      </c>
      <c r="C13" s="113"/>
      <c r="D13" s="114">
        <v>61</v>
      </c>
      <c r="E13" s="115"/>
      <c r="G13" s="116" t="s">
        <v>141</v>
      </c>
      <c r="H13" s="116"/>
      <c r="I13" s="114"/>
      <c r="J13" s="115"/>
      <c r="L13" s="113" t="s">
        <v>191</v>
      </c>
      <c r="M13" s="113"/>
      <c r="N13" s="114">
        <v>3800</v>
      </c>
      <c r="O13" s="115"/>
      <c r="Q13" s="116" t="s">
        <v>195</v>
      </c>
      <c r="R13" s="116"/>
      <c r="S13" s="114"/>
      <c r="T13" s="115"/>
    </row>
    <row r="14" spans="2:20" ht="13.5">
      <c r="B14" s="113" t="s">
        <v>142</v>
      </c>
      <c r="C14" s="113"/>
      <c r="D14" s="114" t="s">
        <v>143</v>
      </c>
      <c r="E14" s="115"/>
      <c r="G14" s="116" t="s">
        <v>144</v>
      </c>
      <c r="H14" s="116"/>
      <c r="I14" s="31"/>
      <c r="J14" s="32"/>
      <c r="L14" s="113" t="s">
        <v>140</v>
      </c>
      <c r="M14" s="113"/>
      <c r="N14" s="114">
        <v>61</v>
      </c>
      <c r="O14" s="115"/>
      <c r="Q14" s="116" t="s">
        <v>141</v>
      </c>
      <c r="R14" s="116"/>
      <c r="S14" s="114"/>
      <c r="T14" s="115"/>
    </row>
    <row r="15" spans="2:20" ht="13.5">
      <c r="B15" s="113" t="s">
        <v>145</v>
      </c>
      <c r="C15" s="113"/>
      <c r="D15" s="114">
        <v>5000</v>
      </c>
      <c r="E15" s="115"/>
      <c r="G15" s="116" t="s">
        <v>146</v>
      </c>
      <c r="H15" s="116"/>
      <c r="I15" s="114"/>
      <c r="J15" s="115"/>
      <c r="L15" s="113" t="s">
        <v>142</v>
      </c>
      <c r="M15" s="113"/>
      <c r="N15" s="114" t="s">
        <v>143</v>
      </c>
      <c r="O15" s="115"/>
      <c r="Q15" s="116" t="s">
        <v>144</v>
      </c>
      <c r="R15" s="116"/>
      <c r="S15" s="60"/>
      <c r="T15" s="61"/>
    </row>
    <row r="16" spans="2:20" ht="14.25" thickBot="1">
      <c r="B16" s="119" t="s">
        <v>147</v>
      </c>
      <c r="C16" s="119"/>
      <c r="D16" s="111" t="s">
        <v>148</v>
      </c>
      <c r="E16" s="112"/>
      <c r="G16" s="110" t="s">
        <v>149</v>
      </c>
      <c r="H16" s="110"/>
      <c r="I16" s="111"/>
      <c r="J16" s="112"/>
      <c r="L16" s="113" t="s">
        <v>145</v>
      </c>
      <c r="M16" s="113"/>
      <c r="N16" s="114">
        <v>5000</v>
      </c>
      <c r="O16" s="115"/>
      <c r="Q16" s="116" t="s">
        <v>146</v>
      </c>
      <c r="R16" s="116"/>
      <c r="S16" s="114"/>
      <c r="T16" s="115"/>
    </row>
    <row r="17" spans="2:20" ht="15" thickTop="1" thickBot="1">
      <c r="L17" s="119" t="s">
        <v>147</v>
      </c>
      <c r="M17" s="119"/>
      <c r="N17" s="111" t="s">
        <v>148</v>
      </c>
      <c r="O17" s="112"/>
      <c r="Q17" s="110" t="s">
        <v>149</v>
      </c>
      <c r="R17" s="110"/>
      <c r="S17" s="111"/>
      <c r="T17" s="112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8" t="s">
        <v>121</v>
      </c>
      <c r="C22" s="118"/>
      <c r="D22" s="118"/>
      <c r="E22" s="118"/>
    </row>
    <row r="23" spans="2:20" ht="14.25" thickTop="1">
      <c r="B23" s="33" t="s">
        <v>122</v>
      </c>
      <c r="C23" s="34"/>
      <c r="D23" s="125">
        <v>43084</v>
      </c>
      <c r="E23" s="126"/>
    </row>
    <row r="24" spans="2:20" ht="13.5">
      <c r="B24" s="113" t="s">
        <v>124</v>
      </c>
      <c r="C24" s="113"/>
      <c r="D24" s="114" t="s">
        <v>208</v>
      </c>
      <c r="E24" s="115"/>
    </row>
    <row r="25" spans="2:20" ht="13.5">
      <c r="B25" s="113" t="s">
        <v>127</v>
      </c>
      <c r="C25" s="113"/>
      <c r="D25" s="114" t="s">
        <v>209</v>
      </c>
      <c r="E25" s="115"/>
    </row>
    <row r="26" spans="2:20" ht="13.5">
      <c r="B26" s="113" t="s">
        <v>129</v>
      </c>
      <c r="C26" s="113"/>
      <c r="D26" s="122">
        <f>D31*D33</f>
        <v>1500000</v>
      </c>
      <c r="E26" s="123"/>
    </row>
    <row r="27" spans="2:20" ht="13.5">
      <c r="B27" s="113" t="s">
        <v>131</v>
      </c>
      <c r="C27" s="113"/>
      <c r="D27" s="114" t="s">
        <v>212</v>
      </c>
      <c r="E27" s="115"/>
    </row>
    <row r="28" spans="2:20" ht="13.5">
      <c r="B28" s="113" t="s">
        <v>134</v>
      </c>
      <c r="C28" s="113"/>
      <c r="D28" s="124">
        <v>43140</v>
      </c>
      <c r="E28" s="115"/>
    </row>
    <row r="29" spans="2:20" ht="13.5">
      <c r="B29" s="113" t="s">
        <v>136</v>
      </c>
      <c r="C29" s="113"/>
      <c r="D29" s="114">
        <v>3587</v>
      </c>
      <c r="E29" s="115"/>
    </row>
    <row r="30" spans="2:20" ht="13.5">
      <c r="B30" s="113" t="s">
        <v>138</v>
      </c>
      <c r="C30" s="113"/>
      <c r="D30" s="114">
        <v>3650</v>
      </c>
      <c r="E30" s="115"/>
    </row>
    <row r="31" spans="2:20" ht="13.5">
      <c r="B31" s="113" t="s">
        <v>140</v>
      </c>
      <c r="C31" s="113"/>
      <c r="D31" s="114">
        <v>150</v>
      </c>
      <c r="E31" s="115"/>
    </row>
    <row r="32" spans="2:20" ht="13.5">
      <c r="B32" s="113" t="s">
        <v>142</v>
      </c>
      <c r="C32" s="113"/>
      <c r="D32" s="114" t="s">
        <v>210</v>
      </c>
      <c r="E32" s="115"/>
    </row>
    <row r="33" spans="2:5" ht="13.5">
      <c r="B33" s="113" t="s">
        <v>145</v>
      </c>
      <c r="C33" s="113"/>
      <c r="D33" s="122">
        <v>10000</v>
      </c>
      <c r="E33" s="123"/>
    </row>
    <row r="34" spans="2:5" ht="14.25" thickBot="1">
      <c r="B34" s="119" t="s">
        <v>147</v>
      </c>
      <c r="C34" s="119"/>
      <c r="D34" s="111" t="s">
        <v>211</v>
      </c>
      <c r="E34" s="112"/>
    </row>
    <row r="35" spans="2:5" ht="12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09" t="s">
        <v>158</v>
      </c>
      <c r="C1" s="109"/>
      <c r="D1" s="10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M14" sqref="M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1" t="s">
        <v>37</v>
      </c>
      <c r="C1" s="121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3791</v>
      </c>
      <c r="I8" s="19">
        <v>3800</v>
      </c>
      <c r="J8" s="21">
        <f t="shared" ref="J8:J14" ca="1" si="1">TODAY()</f>
        <v>43088</v>
      </c>
      <c r="K8" s="21">
        <f t="shared" ref="K8:K9" ca="1" si="2">J8+L8</f>
        <v>43118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-125.53383160606654</v>
      </c>
      <c r="Q8" s="25">
        <v>80</v>
      </c>
      <c r="R8" s="24">
        <f t="shared" ref="R8:R9" si="4">Q8/10000*M8*H8</f>
        <v>2.4927123287671233</v>
      </c>
      <c r="S8" s="24">
        <f t="shared" ref="S8:S9" si="5">IF(P8&lt;=0,ABS(P8)+R8,P8-R8)</f>
        <v>128.02654393483365</v>
      </c>
      <c r="T8" s="26">
        <f t="shared" ref="T8:T9" si="6">S8/H8</f>
        <v>3.3771180146355488E-2</v>
      </c>
      <c r="U8" s="24">
        <f>_xll.dnetGBlackScholesNGreeks("delta",$G8,$H8,$I8,$M8,$C$3,$N8,$O8,$C$4)*E8</f>
        <v>-0.50532550327488934</v>
      </c>
      <c r="V8" s="24">
        <f>_xll.dnetGBlackScholesNGreeks("vega",$G8,$H8,$I8,$M8,$C$3,$N8,$O8,$C$4)*E8</f>
        <v>-4.3282474418227821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43088</v>
      </c>
      <c r="K9" s="8">
        <f t="shared" ca="1" si="2"/>
        <v>43118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/>
      <c r="C10" s="10" t="s">
        <v>213</v>
      </c>
      <c r="D10" s="10" t="s">
        <v>151</v>
      </c>
      <c r="E10" s="10">
        <f t="shared" ref="E10" si="7">IF(D10="中金买入",1,-1)</f>
        <v>1</v>
      </c>
      <c r="F10" s="10" t="s">
        <v>207</v>
      </c>
      <c r="G10" s="10" t="s">
        <v>85</v>
      </c>
      <c r="H10" s="11">
        <f>RTD("wdf.rtq",,F10,"LastPrice")</f>
        <v>3587</v>
      </c>
      <c r="I10" s="10">
        <v>3400</v>
      </c>
      <c r="J10" s="8">
        <f t="shared" ca="1" si="1"/>
        <v>43088</v>
      </c>
      <c r="K10" s="8">
        <f t="shared" ref="K10" ca="1" si="8">J10+L10</f>
        <v>43174</v>
      </c>
      <c r="L10" s="10">
        <v>86</v>
      </c>
      <c r="M10" s="12">
        <f>(L10-7)/365</f>
        <v>0.21643835616438356</v>
      </c>
      <c r="N10" s="12">
        <v>0</v>
      </c>
      <c r="O10" s="9">
        <v>0.2</v>
      </c>
      <c r="P10" s="13">
        <f>_xll.dnetGBlackScholesNGreeks("price",$G10,$H10,$I10,$M10,$C$3,$N10,$O10,$C$4)*E10</f>
        <v>56.752421119795713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56.752421119795713</v>
      </c>
      <c r="T10" s="14">
        <f t="shared" ref="T10" si="11">S10/H10</f>
        <v>1.5821695321939146E-2</v>
      </c>
      <c r="U10" s="13">
        <f>_xll.dnetGBlackScholesNGreeks("delta",$G10,$H10,$I10,$M10,$C$3,$N10,$O10,$C$4)*E10</f>
        <v>-0.26583536161979282</v>
      </c>
      <c r="V10" s="13">
        <f>_xll.dnetGBlackScholesNGreeks("vega",$G10,$H10,$I10,$M10,$C$3,$N10,$O10,$C$4)*E10</f>
        <v>5.4609907836044727</v>
      </c>
    </row>
    <row r="11" spans="1:22">
      <c r="A11" s="63"/>
      <c r="B11" s="13"/>
      <c r="C11" s="10" t="s">
        <v>213</v>
      </c>
      <c r="D11" s="10" t="s">
        <v>151</v>
      </c>
      <c r="E11" s="10">
        <f t="shared" ref="E11:E12" si="12">IF(D11="中金买入",1,-1)</f>
        <v>1</v>
      </c>
      <c r="F11" s="10" t="s">
        <v>207</v>
      </c>
      <c r="G11" s="10" t="s">
        <v>85</v>
      </c>
      <c r="H11" s="11">
        <f>RTD("wdf.rtq",,F11,"LastPrice")</f>
        <v>3587</v>
      </c>
      <c r="I11" s="10">
        <v>3450</v>
      </c>
      <c r="J11" s="8">
        <f ca="1">TODAY()</f>
        <v>43088</v>
      </c>
      <c r="K11" s="8">
        <f t="shared" ref="K11:K12" ca="1" si="13">J11+L11</f>
        <v>43174</v>
      </c>
      <c r="L11" s="10">
        <v>86</v>
      </c>
      <c r="M11" s="12">
        <f>(L11-7)/365</f>
        <v>0.21643835616438356</v>
      </c>
      <c r="N11" s="12">
        <v>0</v>
      </c>
      <c r="O11" s="9">
        <v>0.2</v>
      </c>
      <c r="P11" s="13">
        <f>_xll.dnetGBlackScholesNGreeks("price",$G11,$H11,$I11,$M11,$C$3,$N11,$O11,$C$4)*E11</f>
        <v>73.003313881057693</v>
      </c>
      <c r="Q11" s="15">
        <v>0</v>
      </c>
      <c r="R11" s="13">
        <f t="shared" ref="R11:R12" si="14">Q11/10000*M11*H11</f>
        <v>0</v>
      </c>
      <c r="S11" s="13">
        <f t="shared" ref="S11:S12" si="15">IF(P11&lt;=0,ABS(P11)+R11,P11-R11)</f>
        <v>73.003313881057693</v>
      </c>
      <c r="T11" s="14">
        <f t="shared" ref="T11:T12" si="16">S11/H11</f>
        <v>2.0352192328145439E-2</v>
      </c>
      <c r="U11" s="13">
        <f>_xll.dnetGBlackScholesNGreeks("delta",$G11,$H11,$I11,$M11,$C$3,$N11,$O11,$C$4)*E11</f>
        <v>-0.31956247004245597</v>
      </c>
      <c r="V11" s="13">
        <f>_xll.dnetGBlackScholesNGreeks("vega",$G11,$H11,$I11,$M11,$C$3,$N11,$O11,$C$4)*E11</f>
        <v>5.9480705436518519</v>
      </c>
    </row>
    <row r="12" spans="1:22">
      <c r="A12" s="63"/>
      <c r="B12" s="13"/>
      <c r="C12" s="10" t="s">
        <v>213</v>
      </c>
      <c r="D12" s="10" t="s">
        <v>151</v>
      </c>
      <c r="E12" s="10">
        <f t="shared" si="12"/>
        <v>1</v>
      </c>
      <c r="F12" s="10" t="s">
        <v>207</v>
      </c>
      <c r="G12" s="10" t="s">
        <v>85</v>
      </c>
      <c r="H12" s="11">
        <f>RTD("wdf.rtq",,F12,"LastPrice")</f>
        <v>3587</v>
      </c>
      <c r="I12" s="10">
        <v>3400</v>
      </c>
      <c r="J12" s="8">
        <f t="shared" ca="1" si="1"/>
        <v>43088</v>
      </c>
      <c r="K12" s="8">
        <f t="shared" ca="1" si="13"/>
        <v>43169</v>
      </c>
      <c r="L12" s="10">
        <v>81</v>
      </c>
      <c r="M12" s="12">
        <f>(L12-7)/365</f>
        <v>0.20273972602739726</v>
      </c>
      <c r="N12" s="12">
        <v>0</v>
      </c>
      <c r="O12" s="9">
        <v>0.2</v>
      </c>
      <c r="P12" s="13">
        <f>_xll.dnetGBlackScholesNGreeks("price",$G12,$H12,$I12,$M12,$C$3,$N12,$O12,$C$4)*E12</f>
        <v>53.272040685930847</v>
      </c>
      <c r="Q12" s="15">
        <v>0</v>
      </c>
      <c r="R12" s="13">
        <f t="shared" si="14"/>
        <v>0</v>
      </c>
      <c r="S12" s="13">
        <f t="shared" si="15"/>
        <v>53.272040685930847</v>
      </c>
      <c r="T12" s="14">
        <f t="shared" si="16"/>
        <v>1.4851419204329759E-2</v>
      </c>
      <c r="U12" s="13">
        <f>_xll.dnetGBlackScholesNGreeks("delta",$G12,$H12,$I12,$M12,$C$3,$N12,$O12,$C$4)*E12</f>
        <v>-0.26016830270805258</v>
      </c>
      <c r="V12" s="13">
        <f>_xll.dnetGBlackScholesNGreeks("vega",$G12,$H12,$I12,$M12,$C$3,$N12,$O12,$C$4)*E12</f>
        <v>5.2282339910042879</v>
      </c>
    </row>
    <row r="13" spans="1:22">
      <c r="A13" s="63"/>
      <c r="B13" s="13"/>
      <c r="C13" s="10" t="s">
        <v>213</v>
      </c>
      <c r="D13" s="10" t="s">
        <v>151</v>
      </c>
      <c r="E13" s="10">
        <f t="shared" ref="E13:E14" si="17">IF(D13="中金买入",1,-1)</f>
        <v>1</v>
      </c>
      <c r="F13" s="10" t="s">
        <v>207</v>
      </c>
      <c r="G13" s="10" t="s">
        <v>85</v>
      </c>
      <c r="H13" s="11">
        <f>RTD("wdf.rtq",,F13,"LastPrice")</f>
        <v>3587</v>
      </c>
      <c r="I13" s="10">
        <v>3450</v>
      </c>
      <c r="J13" s="8">
        <f ca="1">TODAY()</f>
        <v>43088</v>
      </c>
      <c r="K13" s="8">
        <f t="shared" ref="K13:K14" ca="1" si="18">J13+L13</f>
        <v>43169</v>
      </c>
      <c r="L13" s="10">
        <v>81</v>
      </c>
      <c r="M13" s="12">
        <f>(L13-7)/365</f>
        <v>0.20273972602739726</v>
      </c>
      <c r="N13" s="12">
        <v>0</v>
      </c>
      <c r="O13" s="9">
        <v>0.2</v>
      </c>
      <c r="P13" s="13">
        <f>_xll.dnetGBlackScholesNGreeks("price",$G13,$H13,$I13,$M13,$C$3,$N13,$O13,$C$4)*E13</f>
        <v>69.206330602479738</v>
      </c>
      <c r="Q13" s="15">
        <v>0</v>
      </c>
      <c r="R13" s="13">
        <f t="shared" ref="R13:R14" si="19">Q13/10000*M13*H13</f>
        <v>0</v>
      </c>
      <c r="S13" s="13">
        <f t="shared" ref="S13:S14" si="20">IF(P13&lt;=0,ABS(P13)+R13,P13-R13)</f>
        <v>69.206330602479738</v>
      </c>
      <c r="T13" s="14">
        <f t="shared" ref="T13:T14" si="21">S13/H13</f>
        <v>1.9293652244906534E-2</v>
      </c>
      <c r="U13" s="13">
        <f>_xll.dnetGBlackScholesNGreeks("delta",$G13,$H13,$I13,$M13,$C$3,$N13,$O13,$C$4)*E13</f>
        <v>-0.31523674426807702</v>
      </c>
      <c r="V13" s="13">
        <f>_xll.dnetGBlackScholesNGreeks("vega",$G13,$H13,$I13,$M13,$C$3,$N13,$O13,$C$4)*E13</f>
        <v>5.724683942691513</v>
      </c>
    </row>
    <row r="14" spans="1:22">
      <c r="A14" s="6">
        <v>1805</v>
      </c>
      <c r="B14" s="65"/>
      <c r="C14" s="10" t="s">
        <v>214</v>
      </c>
      <c r="D14" s="10" t="s">
        <v>151</v>
      </c>
      <c r="E14" s="10">
        <f t="shared" si="17"/>
        <v>1</v>
      </c>
      <c r="F14" s="10" t="s">
        <v>216</v>
      </c>
      <c r="G14" s="10" t="s">
        <v>85</v>
      </c>
      <c r="H14" s="11">
        <v>15000</v>
      </c>
      <c r="I14" s="11">
        <v>14500</v>
      </c>
      <c r="J14" s="8">
        <f t="shared" ca="1" si="1"/>
        <v>43088</v>
      </c>
      <c r="K14" s="8">
        <f t="shared" ca="1" si="18"/>
        <v>43119</v>
      </c>
      <c r="L14" s="10">
        <v>31</v>
      </c>
      <c r="M14" s="12">
        <f>(L14)/365</f>
        <v>8.4931506849315067E-2</v>
      </c>
      <c r="N14" s="12">
        <v>0</v>
      </c>
      <c r="O14" s="9">
        <v>0.09</v>
      </c>
      <c r="P14" s="13">
        <f>_xll.dnetGBlackScholesNGreeks("price",$G14,$H14,$I14,$M14,$C$3,$N14,$O14,$C$4)*E14</f>
        <v>17.860938938860272</v>
      </c>
      <c r="Q14" s="15">
        <v>0</v>
      </c>
      <c r="R14" s="13">
        <f t="shared" si="19"/>
        <v>0</v>
      </c>
      <c r="S14" s="13">
        <f t="shared" si="20"/>
        <v>17.860938938860272</v>
      </c>
      <c r="T14" s="14">
        <f t="shared" si="21"/>
        <v>1.1907292625906848E-3</v>
      </c>
      <c r="U14" s="13">
        <f>_xll.dnetGBlackScholesNGreeks("delta",$G14,$H14,$I14,$M14,$C$3,$N14,$O14,$C$4)*E14</f>
        <v>-9.5673090572745423E-2</v>
      </c>
      <c r="V14" s="13">
        <f>_xll.dnetGBlackScholesNGreeks("vega",$G14,$H14,$I14,$M14,$C$3,$N14,$O14,$C$4)*E14</f>
        <v>7.390109569190372</v>
      </c>
    </row>
    <row r="15" spans="1:22" ht="13.5">
      <c r="B15" s="13"/>
      <c r="C15" s="10" t="s">
        <v>214</v>
      </c>
      <c r="D15" s="10" t="s">
        <v>151</v>
      </c>
      <c r="E15" s="10">
        <f t="shared" ref="E15" si="22">IF(D15="中金买入",1,-1)</f>
        <v>1</v>
      </c>
      <c r="F15" s="10" t="s">
        <v>216</v>
      </c>
      <c r="G15" s="10" t="s">
        <v>39</v>
      </c>
      <c r="H15" s="11">
        <v>15000</v>
      </c>
      <c r="I15" s="10">
        <v>15500</v>
      </c>
      <c r="J15" s="8">
        <f ca="1">TODAY()</f>
        <v>43088</v>
      </c>
      <c r="K15" s="8">
        <f t="shared" ref="K15" ca="1" si="23">J15+L15</f>
        <v>43119</v>
      </c>
      <c r="L15" s="10">
        <v>31</v>
      </c>
      <c r="M15" s="12">
        <f>(L15)/365</f>
        <v>8.4931506849315067E-2</v>
      </c>
      <c r="N15" s="12">
        <v>0</v>
      </c>
      <c r="O15" s="9">
        <v>0.09</v>
      </c>
      <c r="P15" s="13">
        <f>_xll.dnetGBlackScholesNGreeks("price",$G15,$H15,$I15,$M15,$C$3,$N15,$O15,$C$4)*E15</f>
        <v>20.18956137971486</v>
      </c>
      <c r="Q15" s="15">
        <v>0</v>
      </c>
      <c r="R15" s="13">
        <f t="shared" ref="R15" si="24">Q15/10000*M15*H15</f>
        <v>0</v>
      </c>
      <c r="S15" s="13">
        <f t="shared" ref="S15" si="25">IF(P15&lt;=0,ABS(P15)+R15,P15-R15)</f>
        <v>20.18956137971486</v>
      </c>
      <c r="T15" s="14">
        <f t="shared" ref="T15" si="26">S15/H15</f>
        <v>1.3459707586476572E-3</v>
      </c>
      <c r="U15" s="13">
        <f>_xll.dnetGBlackScholesNGreeks("delta",$G15,$H15,$I15,$M15,$C$3,$N15,$O15,$C$4)*E15</f>
        <v>0.10785355481175429</v>
      </c>
      <c r="V15" s="108">
        <f>_xll.dnetGBlackScholesNGreeks("vega",$G15,$H15,$I15,$M15,$C$3,$N15,$O15,$C$4)*E15</f>
        <v>8.063239326109283</v>
      </c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C1" zoomScale="85" zoomScaleNormal="85" workbookViewId="0">
      <selection activeCell="K36" sqref="K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7" t="s">
        <v>37</v>
      </c>
      <c r="C1" s="121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43088</v>
      </c>
      <c r="K8" s="76">
        <f ca="1">J8+L8</f>
        <v>43118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43088</v>
      </c>
      <c r="K9" s="84">
        <f t="shared" ca="1" si="0"/>
        <v>43118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43088</v>
      </c>
      <c r="K10" s="92">
        <f t="shared" ca="1" si="0"/>
        <v>43118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1" t="s">
        <v>38</v>
      </c>
      <c r="C1" s="121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3791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43088</v>
      </c>
      <c r="N8" s="21">
        <f ca="1">M8+O8</f>
        <v>43118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-51.838026071547503</v>
      </c>
      <c r="T8" s="25">
        <v>80</v>
      </c>
      <c r="U8" s="24">
        <f>T8/10000*P8*H8</f>
        <v>2.4927123287671233</v>
      </c>
      <c r="V8" s="24">
        <f>IF(S8&lt;=0,ABS(S8)+U8,S8-U8)</f>
        <v>54.33073840031463</v>
      </c>
      <c r="W8" s="26">
        <f>V8/H8</f>
        <v>1.4331505776922878E-2</v>
      </c>
      <c r="X8" s="24">
        <f>_xll.dnetStandardBarrierNGreeks("delta",G8,H8,I8,K8,L8*H8,P8,$C$3,Q8,R8,$C$4)</f>
        <v>0.16939374298807763</v>
      </c>
      <c r="Y8" s="24">
        <f>_xll.dnetStandardBarrierNGreeks("vega",G8,H8,I8,K8,L8*H8,P8,$C$3,Q8,R8,$C$4)</f>
        <v>0.66077106988964474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43088</v>
      </c>
      <c r="N9" s="8">
        <f ca="1">M9+O9</f>
        <v>43268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abSelected="1" topLeftCell="A25" workbookViewId="0">
      <selection sqref="A1:F33"/>
    </sheetView>
  </sheetViews>
  <sheetFormatPr defaultRowHeight="13.5"/>
  <cols>
    <col min="1" max="1" width="10.875" bestFit="1" customWidth="1"/>
  </cols>
  <sheetData>
    <row r="1" spans="1:6" ht="15.75" thickBot="1">
      <c r="A1" s="96">
        <v>43087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29">
        <v>0.25</v>
      </c>
    </row>
    <row r="4" spans="1:6" ht="15.75" thickBot="1">
      <c r="A4" s="100" t="s">
        <v>59</v>
      </c>
      <c r="B4" s="101" t="s">
        <v>60</v>
      </c>
      <c r="C4" s="130">
        <v>0.13750000000000001</v>
      </c>
      <c r="D4" s="130">
        <v>0.1825</v>
      </c>
      <c r="E4" s="130">
        <v>0.14499999999999999</v>
      </c>
      <c r="F4" s="131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32"/>
    </row>
    <row r="6" spans="1:6" ht="15.75" thickBot="1">
      <c r="A6" s="100" t="s">
        <v>63</v>
      </c>
      <c r="B6" s="101" t="s">
        <v>64</v>
      </c>
      <c r="C6" s="133">
        <v>0.29499999999999998</v>
      </c>
      <c r="D6" s="133">
        <v>0.35499999999999998</v>
      </c>
      <c r="E6" s="133">
        <v>0.26500000000000001</v>
      </c>
      <c r="F6" s="134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29">
        <v>0.19</v>
      </c>
    </row>
    <row r="8" spans="1:6" ht="15.75" thickBot="1">
      <c r="A8" s="100" t="s">
        <v>67</v>
      </c>
      <c r="B8" s="101" t="s">
        <v>68</v>
      </c>
      <c r="C8" s="133">
        <v>0.32</v>
      </c>
      <c r="D8" s="133">
        <v>0.44</v>
      </c>
      <c r="E8" s="133">
        <v>0.32</v>
      </c>
      <c r="F8" s="134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29">
        <v>0.42</v>
      </c>
    </row>
    <row r="10" spans="1:6" ht="15.75" thickBot="1">
      <c r="A10" s="100" t="s">
        <v>71</v>
      </c>
      <c r="B10" s="101" t="s">
        <v>72</v>
      </c>
      <c r="C10" s="133">
        <v>0.24</v>
      </c>
      <c r="D10" s="133">
        <v>0.32</v>
      </c>
      <c r="E10" s="133">
        <v>0.27</v>
      </c>
      <c r="F10" s="134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29">
        <v>0.39500000000000002</v>
      </c>
    </row>
    <row r="12" spans="1:6" ht="15.75" thickBot="1">
      <c r="A12" s="100" t="s">
        <v>75</v>
      </c>
      <c r="B12" s="101" t="s">
        <v>76</v>
      </c>
      <c r="C12" s="133">
        <v>0.215</v>
      </c>
      <c r="D12" s="133">
        <v>0.28499999999999998</v>
      </c>
      <c r="E12" s="133">
        <v>0.23499999999999999</v>
      </c>
      <c r="F12" s="134">
        <v>0.30499999999999999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29">
        <v>0.13</v>
      </c>
    </row>
    <row r="14" spans="1:6" ht="15.75" thickBot="1">
      <c r="A14" s="100" t="s">
        <v>79</v>
      </c>
      <c r="B14" s="101" t="s">
        <v>80</v>
      </c>
      <c r="C14" s="130">
        <v>0.11</v>
      </c>
      <c r="D14" s="130">
        <v>0.17</v>
      </c>
      <c r="E14" s="130">
        <v>0.14499999999999999</v>
      </c>
      <c r="F14" s="131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32"/>
    </row>
    <row r="16" spans="1:6" ht="15.75" thickBot="1">
      <c r="A16" s="100" t="s">
        <v>83</v>
      </c>
      <c r="B16" s="101" t="s">
        <v>84</v>
      </c>
      <c r="C16" s="133">
        <v>0.13</v>
      </c>
      <c r="D16" s="133">
        <v>0.19</v>
      </c>
      <c r="E16" s="133">
        <v>0.185</v>
      </c>
      <c r="F16" s="134">
        <v>0.23499999999999999</v>
      </c>
    </row>
    <row r="17" spans="1:6" ht="15.75" thickBot="1">
      <c r="A17" s="104" t="s">
        <v>85</v>
      </c>
      <c r="B17" s="105" t="s">
        <v>86</v>
      </c>
      <c r="C17" s="135">
        <v>0.14749999999999999</v>
      </c>
      <c r="D17" s="135">
        <v>0.19750000000000001</v>
      </c>
      <c r="E17" s="135">
        <v>0.16</v>
      </c>
      <c r="F17" s="136">
        <v>0.21</v>
      </c>
    </row>
    <row r="18" spans="1:6" ht="15.75" thickBot="1">
      <c r="A18" s="100" t="s">
        <v>87</v>
      </c>
      <c r="B18" s="101" t="s">
        <v>88</v>
      </c>
      <c r="C18" s="137"/>
      <c r="D18" s="137"/>
      <c r="E18" s="137"/>
      <c r="F18" s="138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32"/>
    </row>
    <row r="20" spans="1:6" ht="15.75" thickBot="1">
      <c r="A20" s="100" t="s">
        <v>91</v>
      </c>
      <c r="B20" s="101" t="s">
        <v>92</v>
      </c>
      <c r="C20" s="130">
        <v>0.09</v>
      </c>
      <c r="D20" s="130">
        <v>0.17</v>
      </c>
      <c r="E20" s="130">
        <v>0.11</v>
      </c>
      <c r="F20" s="131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32"/>
    </row>
    <row r="22" spans="1:6" ht="15.75" thickBot="1">
      <c r="A22" s="100" t="s">
        <v>95</v>
      </c>
      <c r="B22" s="101" t="s">
        <v>96</v>
      </c>
      <c r="C22" s="133">
        <v>0.12</v>
      </c>
      <c r="D22" s="133">
        <v>0.16</v>
      </c>
      <c r="E22" s="133">
        <v>0.13500000000000001</v>
      </c>
      <c r="F22" s="134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29">
        <v>0.17499999999999999</v>
      </c>
    </row>
    <row r="24" spans="1:6" ht="15.75" thickBot="1">
      <c r="A24" s="100" t="s">
        <v>39</v>
      </c>
      <c r="B24" s="101" t="s">
        <v>99</v>
      </c>
      <c r="C24" s="133">
        <v>7.7499999999999999E-2</v>
      </c>
      <c r="D24" s="133">
        <v>0.1225</v>
      </c>
      <c r="E24" s="133">
        <v>8.5000000000000006E-2</v>
      </c>
      <c r="F24" s="134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29">
        <v>0.155</v>
      </c>
    </row>
    <row r="26" spans="1:6" ht="15.75" thickBot="1">
      <c r="A26" s="100" t="s">
        <v>102</v>
      </c>
      <c r="B26" s="101" t="s">
        <v>103</v>
      </c>
      <c r="C26" s="130">
        <v>0.2</v>
      </c>
      <c r="D26" s="130">
        <v>0.28000000000000003</v>
      </c>
      <c r="E26" s="130">
        <v>0.2</v>
      </c>
      <c r="F26" s="131">
        <v>0.27</v>
      </c>
    </row>
    <row r="27" spans="1:6" ht="15.75" thickBot="1">
      <c r="A27" s="104" t="s">
        <v>104</v>
      </c>
      <c r="B27" s="105" t="s">
        <v>105</v>
      </c>
      <c r="C27" s="139"/>
      <c r="D27" s="139"/>
      <c r="E27" s="139"/>
      <c r="F27" s="140"/>
    </row>
    <row r="28" spans="1:6" ht="15.75" thickBot="1">
      <c r="A28" s="100" t="s">
        <v>106</v>
      </c>
      <c r="B28" s="101" t="s">
        <v>107</v>
      </c>
      <c r="C28" s="141"/>
      <c r="D28" s="141"/>
      <c r="E28" s="141"/>
      <c r="F28" s="142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29">
        <v>0.27</v>
      </c>
    </row>
    <row r="30" spans="1:6" ht="15.75" thickBot="1">
      <c r="A30" s="100" t="s">
        <v>110</v>
      </c>
      <c r="B30" s="101" t="s">
        <v>111</v>
      </c>
      <c r="C30" s="130">
        <v>0.19</v>
      </c>
      <c r="D30" s="130">
        <v>0.23</v>
      </c>
      <c r="E30" s="130">
        <v>0.2</v>
      </c>
      <c r="F30" s="131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32"/>
    </row>
    <row r="32" spans="1:6" ht="15.75" thickBot="1">
      <c r="A32" s="100" t="s">
        <v>114</v>
      </c>
      <c r="B32" s="101" t="s">
        <v>115</v>
      </c>
      <c r="C32" s="133">
        <v>0.3</v>
      </c>
      <c r="D32" s="133">
        <v>0.4</v>
      </c>
      <c r="E32" s="133">
        <v>0.30499999999999999</v>
      </c>
      <c r="F32" s="134">
        <v>0.39500000000000002</v>
      </c>
    </row>
    <row r="33" spans="1:6" ht="15.75" thickBot="1">
      <c r="A33" s="104" t="s">
        <v>116</v>
      </c>
      <c r="B33" s="105" t="s">
        <v>117</v>
      </c>
      <c r="C33" s="106">
        <v>0.1225</v>
      </c>
      <c r="D33" s="106">
        <v>0.16250000000000001</v>
      </c>
      <c r="E33" s="106">
        <v>0.13</v>
      </c>
      <c r="F33" s="129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8" t="s">
        <v>37</v>
      </c>
      <c r="C1" s="128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3791</v>
      </c>
      <c r="I8" s="19">
        <v>3800</v>
      </c>
      <c r="J8" s="21">
        <f ca="1">TODAY()</f>
        <v>43088</v>
      </c>
      <c r="K8" s="21">
        <f ca="1">J8+L8</f>
        <v>43118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127.11494976783001</v>
      </c>
      <c r="P8" s="25">
        <v>80</v>
      </c>
      <c r="Q8" s="24">
        <f>P8/10000*M8*H8*(-E8)</f>
        <v>2.4927123287671233</v>
      </c>
      <c r="R8" s="24">
        <f>O8+Q8</f>
        <v>129.60766209659712</v>
      </c>
      <c r="S8" s="26">
        <f>R8/H8</f>
        <v>3.4188251674122164E-2</v>
      </c>
      <c r="T8" s="24">
        <f>_xll.dnetGBlackScholesNGreeks("delta",$G8,$H8,$I8,$M8,$C$3,$C$4,$N8,$C$4)</f>
        <v>0.50954952520214647</v>
      </c>
      <c r="U8" s="24">
        <f>_xll.dnetGBlackScholesNGreeks("vega",$G8,$H8,$I8,$M8,$C$3,$C$4,$N8)</f>
        <v>4.330970806200753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43088</v>
      </c>
      <c r="K9" s="8">
        <f ca="1">J9+L9</f>
        <v>43118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43088</v>
      </c>
      <c r="K10" s="8">
        <f ca="1">J10+L10</f>
        <v>43118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2017-12-19T08:33:41Z</dcterms:modified>
</cp:coreProperties>
</file>