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1" i="1" l="1"/>
  <c r="I11" i="1"/>
  <c r="E11" i="1"/>
  <c r="F11" i="1" s="1"/>
  <c r="D26" i="2"/>
  <c r="D28" i="2"/>
  <c r="R10" i="1"/>
  <c r="I10" i="1"/>
  <c r="N10" i="1" s="1"/>
  <c r="E10" i="1"/>
  <c r="F10" i="1" s="1"/>
  <c r="P11" i="1"/>
  <c r="L11" i="1"/>
  <c r="V10" i="1"/>
  <c r="N11" i="1" l="1"/>
  <c r="O11" i="1"/>
  <c r="T11" i="1" s="1"/>
  <c r="U11" i="1"/>
  <c r="V11" i="1"/>
  <c r="L10" i="1"/>
  <c r="U10" i="1"/>
  <c r="O10" i="1" l="1"/>
  <c r="T10" i="1" s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9" i="9"/>
  <c r="V9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O9" i="7"/>
  <c r="H8" i="7"/>
  <c r="O10" i="7"/>
  <c r="U9" i="7"/>
  <c r="T9" i="7"/>
  <c r="K9" i="8"/>
  <c r="U10" i="7"/>
  <c r="H8" i="8"/>
  <c r="U8" i="8" l="1"/>
  <c r="Q9" i="7"/>
  <c r="R9" i="7" s="1"/>
  <c r="S9" i="7" s="1"/>
  <c r="Q10" i="7"/>
  <c r="R10" i="7" s="1"/>
  <c r="S10" i="7" s="1"/>
  <c r="Q8" i="7"/>
  <c r="O8" i="7"/>
  <c r="K8" i="8"/>
  <c r="T8" i="7"/>
  <c r="X9" i="8"/>
  <c r="U8" i="7"/>
  <c r="Y9" i="8"/>
  <c r="S9" i="8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V9" i="1"/>
  <c r="L9" i="1"/>
  <c r="P8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<sst xmlns="http://schemas.openxmlformats.org/spreadsheetml/2006/main" count="431" uniqueCount="197">
  <si>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</si>
  <si>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</si>
  <si>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</si>
  <si>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</si>
  <si>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</si>
  <si>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</si>
  <si>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</si>
  <si>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</si>
  <si>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</si>
  <si>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</si>
  <si>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</si>
  <si>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</si>
  <si>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</si>
  <si>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</si>
  <si>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</si>
  <si>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</si>
  <si>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</si>
  <si>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</si>
  <si>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</si>
  <si>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</si>
  <si>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</si>
  <si>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</si>
  <si>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</si>
  <si>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</si>
  <si>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</si>
  <si>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</si>
  <si>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</si>
  <si>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</si>
  <si>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</si>
  <si>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</si>
  <si>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</si>
  <si>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</si>
  <si>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</si>
  <si>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</si>
  <si>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</si>
  <si>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</si>
  <si>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</si>
  <si>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</si>
  <si>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</si>
  <si>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</si>
  <si>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</si>
  <si>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</si>
  <si>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</si>
  <si>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</si>
  <si>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</si>
  <si>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</si>
  <si>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</si>
  <si>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</si>
  <si>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</si>
  <si>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</si>
  <si>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</si>
  <si>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</si>
  <si>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</si>
  <si>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</si>
  <si>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</si>
  <si>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</si>
  <si>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</si>
  <si>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</si>
  <si>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</si>
  <si>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</si>
  <si>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</si>
  <si>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</si>
  <si>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</si>
  <si>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</si>
  <si>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</si>
  <si>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</si>
  <si>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</si>
  <si>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</si>
  <si>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</si>
  <si>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</si>
  <si>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</si>
  <si>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</si>
  <si>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</si>
  <si>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</si>
  <si>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</si>
  <si>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</si>
  <si>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</si>
  <si>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</si>
  <si>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</si>
  <si>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</si>
  <si>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</si>
  <si>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</si>
  <si>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</si>
  <si>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</si>
  <si>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</si>
  <si>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</si>
  <si>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</si>
  <si>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</si>
  <si>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</si>
  <si>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</si>
  <si>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</si>
  <si>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</si>
  <si>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</si>
  <si>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</si>
  <si>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</si>
  <si>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</si>
  <si>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</si>
  <si>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</si>
  <si>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</si>
  <si>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</si>
  <si>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</si>
  <si>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</si>
  <si>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</si>
  <si>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</si>
  <si>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</si>
  <si>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</si>
  <si>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</si>
  <si>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</si>
  <si>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</si>
  <si>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</si>
  <si>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</si>
  <si>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</si>
  <si>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</si>
  <si>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</si>
  <si>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</si>
  <si>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</si>
  <si>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</si>
  <si>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</si>
  <si>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</si>
  <si>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</si>
  <si>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</si>
  <si>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</si>
  <si>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</si>
  <si>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</si>
  <si>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</si>
  <si>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</si>
  <si>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</si>
  <si>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</si>
  <si>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</si>
  <si>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</si>
  <si>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</si>
  <si>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</si>
  <si>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</si>
  <si>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</si>
  <si>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</si>
  <si>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</si>
  <si>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</si>
  <si>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</si>
  <si>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</si>
  <si>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</si>
  <si>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</si>
  <si>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</si>
  <si>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</si>
  <si>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</si>
  <si>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</si>
  <si>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</si>
  <si>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</si>
  <si>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</si>
  <si>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</si>
  <si>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</si>
  <si>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</si>
  <si>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</si>
  <si>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</si>
  <si>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</si>
  <si>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</si>
  <si>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</si>
  <si>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</si>
  <si>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</si>
  <si>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</si>
  <si>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</si>
  <si>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</si>
  <si>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</si>
  <si>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</si>
  <si>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</si>
  <si>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</si>
  <si>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</si>
  <si>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</si>
  <si>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</si>
  <si>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</si>
  <si>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</si>
  <si>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</si>
  <si>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</si>
  <si>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</si>
  <si>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</si>
  <si>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</si>
  <si>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</si>
  <si>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</si>
  <si>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</si>
  <si>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</si>
  <si>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</si>
  <si>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</si>
  <si>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</si>
  <si>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</si>
  <si>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</si>
  <si>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</si>
  <si>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</si>
  <si>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</si>
  <si>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</si>
  <si>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</si>
  <si>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</si>
  <si>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</si>
  <si>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中金公司</t>
  </si>
  <si>
    <t>亨通集团</t>
  </si>
  <si>
    <t>看跌期权</t>
  </si>
  <si>
    <t>cu1805</t>
  </si>
  <si>
    <t>人民币</t>
  </si>
  <si>
    <t>al1805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</si>
</sst>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#,###,##0.0000"/>
    <numFmt numFmtId="165" formatCode="0.0000"/>
    <numFmt numFmtId="166" formatCode="###,###,##0"/>
    <numFmt numFmtId="167" formatCode="_ * #,##0_ ;_ * \-#,##0_ ;_ * &quot;-&quot;??_ ;_ @_ "/>
    <numFmt numFmtId="168" formatCode="###,###,##0.0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1"/>
      <color theme="3" tint="0.39997558519241921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Calibri"/>
      <family val="3"/>
      <charset val="134"/>
      <scheme val="minor"/>
    </font>
    <font>
      <b/>
      <sz val="10"/>
      <color theme="4" tint="-0.249977111117893"/>
      <name val="Calibri"/>
      <family val="3"/>
      <charset val="134"/>
      <scheme val="minor"/>
    </font>
    <font>
      <b/>
      <sz val="10"/>
      <color theme="5" tint="-0.249977111117893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Calibri"/>
      <family val="3"/>
      <charset val="134"/>
      <scheme val="minor"/>
    </font>
    <font>
      <b/>
      <sz val="11"/>
      <color theme="4" tint="-0.499984740745262"/>
      <name val="Calibri"/>
      <family val="2"/>
      <scheme val="minor"/>
    </font>
    <font>
      <sz val="9"/>
      <color rgb="FFC00000"/>
      <name val="Calibri"/>
      <family val="3"/>
      <charset val="134"/>
      <scheme val="minor"/>
    </font>
    <font>
      <sz val="9"/>
      <color rgb="FFC00000"/>
      <name val="Calibri"/>
      <family val="2"/>
      <scheme val="minor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66" fontId="5" fillId="9" borderId="2" xfId="0" applyNumberFormat="1" applyFont="1" applyFill="1" applyBorder="1"/>
    <xf numFmtId="165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64" fontId="5" fillId="9" borderId="6" xfId="0" applyNumberFormat="1" applyFont="1" applyFill="1" applyBorder="1"/>
    <xf numFmtId="14" fontId="5" fillId="5" borderId="6" xfId="0" applyNumberFormat="1" applyFont="1" applyFill="1" applyBorder="1"/>
    <xf numFmtId="165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66" fontId="4" fillId="9" borderId="2" xfId="0" applyNumberFormat="1" applyFont="1" applyFill="1" applyBorder="1"/>
    <xf numFmtId="14" fontId="4" fillId="5" borderId="2" xfId="0" applyNumberFormat="1" applyFont="1" applyFill="1" applyBorder="1"/>
    <xf numFmtId="165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64" fontId="21" fillId="9" borderId="6" xfId="0" applyNumberFormat="1" applyFont="1" applyFill="1" applyBorder="1"/>
    <xf numFmtId="14" fontId="21" fillId="5" borderId="6" xfId="0" applyNumberFormat="1" applyFont="1" applyFill="1" applyBorder="1"/>
    <xf numFmtId="165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66" fontId="21" fillId="9" borderId="2" xfId="0" applyNumberFormat="1" applyFont="1" applyFill="1" applyBorder="1"/>
    <xf numFmtId="14" fontId="21" fillId="5" borderId="2" xfId="0" applyNumberFormat="1" applyFont="1" applyFill="1" applyBorder="1"/>
    <xf numFmtId="165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66" fontId="21" fillId="12" borderId="2" xfId="0" applyNumberFormat="1" applyFont="1" applyFill="1" applyBorder="1"/>
    <xf numFmtId="14" fontId="21" fillId="12" borderId="2" xfId="0" applyNumberFormat="1" applyFont="1" applyFill="1" applyBorder="1"/>
    <xf numFmtId="165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65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66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68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65" fontId="21" fillId="12" borderId="0" xfId="0" applyNumberFormat="1" applyFont="1" applyFill="1" applyBorder="1"/>
    <xf numFmtId="166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66" fontId="21" fillId="9" borderId="18" xfId="0" applyNumberFormat="1" applyFont="1" applyFill="1" applyBorder="1"/>
    <xf numFmtId="165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68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66" fontId="21" fillId="9" borderId="13" xfId="0" applyNumberFormat="1" applyFont="1" applyFill="1" applyBorder="1"/>
    <xf numFmtId="165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68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65" fontId="21" fillId="12" borderId="15" xfId="0" applyNumberFormat="1" applyFont="1" applyFill="1" applyBorder="1"/>
    <xf numFmtId="166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67" fontId="7" fillId="10" borderId="3" xfId="2" applyNumberFormat="1" applyFont="1" applyFill="1" applyBorder="1" applyAlignment="1">
      <alignment horizontal="right" vertical="center"/>
    </xf>
    <xf numFmtId="167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al1805</stp>
        <stp>LastPrice</stp>
        <tr r="P11" s="1"/>
      </tp>
      <tp t="e">
        <v>#N/A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zoomScaleNormal="100" workbookViewId="0">
      <selection activeCell="F25" sqref="F25"/>
    </sheetView>
  </sheetViews>
  <sheetFormatPr defaultColWidth="9" defaultRowHeight="12"/>
  <cols>
    <col min="1" max="1" width="9" style="6"/>
    <col min="2" max="6" width="12.6640625" style="6" customWidth="1"/>
    <col min="7" max="13" width="12.6640625" style="6" hidden="1" customWidth="1"/>
    <col min="14" max="16" width="12.6640625" style="6" customWidth="1"/>
    <col min="17" max="17" width="12.6640625" style="6" hidden="1" customWidth="1"/>
    <col min="18" max="18" width="12.6640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.6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/>
      <c r="C9" s="115"/>
      <c r="D9" s="116"/>
      <c r="E9" s="116"/>
      <c r="F9" s="115"/>
      <c r="G9" s="115"/>
      <c r="H9" s="115"/>
      <c r="I9" s="115"/>
      <c r="J9" s="115"/>
      <c r="K9" s="115"/>
      <c r="L9" s="115"/>
      <c r="M9" s="115"/>
      <c r="N9" s="167"/>
      <c r="O9" s="115"/>
      <c r="P9" s="115"/>
      <c r="Q9" s="115"/>
      <c r="R9" s="115"/>
    </row>
    <row r="10" spans="2:18">
      <c r="B10" s="115"/>
      <c r="C10" s="115"/>
      <c r="D10" s="116"/>
      <c r="E10" s="116"/>
      <c r="F10" s="115"/>
      <c r="G10" s="115"/>
      <c r="H10" s="115"/>
      <c r="I10" s="115"/>
      <c r="J10" s="115"/>
      <c r="K10" s="115"/>
      <c r="L10" s="115"/>
      <c r="M10" s="115"/>
      <c r="N10" s="167"/>
      <c r="O10" s="115"/>
      <c r="P10" s="115"/>
      <c r="Q10" s="115"/>
      <c r="R10" s="115"/>
    </row>
    <row r="11" spans="2:18">
      <c r="B11" s="115"/>
      <c r="C11" s="115"/>
      <c r="D11" s="116"/>
      <c r="E11" s="116"/>
      <c r="F11" s="115"/>
      <c r="G11" s="115"/>
      <c r="H11" s="115"/>
      <c r="I11" s="115"/>
      <c r="J11" s="115"/>
      <c r="K11" s="115"/>
      <c r="L11" s="115"/>
      <c r="M11" s="115"/>
      <c r="N11" s="167"/>
      <c r="O11" s="115"/>
      <c r="P11" s="115"/>
      <c r="Q11" s="115"/>
      <c r="R11" s="115"/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2:18">
      <c r="B16" s="115"/>
      <c r="C16" s="115"/>
      <c r="D16" s="116"/>
      <c r="E16" s="116"/>
      <c r="F16" s="115"/>
      <c r="G16" s="115"/>
      <c r="H16" s="115"/>
      <c r="I16" s="115"/>
      <c r="J16" s="115"/>
      <c r="K16" s="115"/>
      <c r="L16" s="115"/>
      <c r="M16" s="115"/>
      <c r="N16" s="167"/>
      <c r="O16" s="115"/>
      <c r="P16" s="115"/>
      <c r="Q16" s="115"/>
      <c r="R16" s="115"/>
    </row>
    <row r="17" spans="2:18">
      <c r="B17" s="115"/>
      <c r="C17" s="115"/>
      <c r="D17" s="116"/>
      <c r="E17" s="116"/>
      <c r="F17" s="115"/>
      <c r="G17" s="115"/>
      <c r="H17" s="115"/>
      <c r="I17" s="115"/>
      <c r="J17" s="115"/>
      <c r="K17" s="115"/>
      <c r="L17" s="115"/>
      <c r="M17" s="115"/>
      <c r="N17" s="167"/>
      <c r="O17" s="115"/>
      <c r="P17" s="115"/>
      <c r="Q17" s="115"/>
      <c r="R17" s="115"/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>
      <c r="B21" s="115"/>
      <c r="C21" s="11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67"/>
      <c r="O21" s="115"/>
      <c r="P21" s="115"/>
      <c r="Q21" s="115"/>
      <c r="R21" s="115"/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>
      <c r="B26" s="115"/>
      <c r="C26" s="115"/>
      <c r="D26" s="116"/>
      <c r="E26" s="116"/>
      <c r="F26" s="115"/>
      <c r="G26" s="115"/>
      <c r="H26" s="115"/>
      <c r="I26" s="115"/>
      <c r="J26" s="115"/>
      <c r="K26" s="115"/>
      <c r="L26" s="115"/>
      <c r="M26" s="115"/>
      <c r="N26" s="167"/>
      <c r="O26" s="115"/>
      <c r="P26" s="115"/>
      <c r="Q26" s="115"/>
      <c r="R26" s="115"/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5"/>
      <c r="C28" s="115"/>
      <c r="D28" s="116"/>
      <c r="E28" s="116"/>
      <c r="F28" s="115"/>
      <c r="G28" s="115"/>
      <c r="H28" s="115"/>
      <c r="I28" s="115"/>
      <c r="J28" s="115"/>
      <c r="K28" s="115"/>
      <c r="L28" s="115"/>
      <c r="M28" s="115"/>
      <c r="N28" s="167"/>
      <c r="O28" s="115"/>
      <c r="P28" s="115"/>
      <c r="Q28" s="115"/>
      <c r="R28" s="115"/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>
      <c r="B31" s="115"/>
      <c r="C31" s="115"/>
      <c r="D31" s="116"/>
      <c r="E31" s="116"/>
      <c r="F31" s="115"/>
      <c r="G31" s="115"/>
      <c r="H31" s="115"/>
      <c r="I31" s="115"/>
      <c r="J31" s="115"/>
      <c r="K31" s="115"/>
      <c r="L31" s="115"/>
      <c r="M31" s="115"/>
      <c r="N31" s="167"/>
      <c r="O31" s="115"/>
      <c r="P31" s="115"/>
      <c r="Q31" s="115"/>
      <c r="R31" s="115"/>
    </row>
    <row r="32" spans="2:18">
      <c r="B32" s="115"/>
      <c r="C32" s="115"/>
      <c r="D32" s="116"/>
      <c r="E32" s="116"/>
      <c r="F32" s="115"/>
      <c r="G32" s="115"/>
      <c r="H32" s="115"/>
      <c r="I32" s="115"/>
      <c r="J32" s="115"/>
      <c r="K32" s="115"/>
      <c r="L32" s="115"/>
      <c r="M32" s="115"/>
      <c r="N32" s="167"/>
      <c r="O32" s="115"/>
      <c r="P32" s="115"/>
      <c r="Q32" s="115"/>
      <c r="R32" s="115"/>
    </row>
    <row r="33" spans="2:18">
      <c r="B33" s="115"/>
      <c r="C33" s="115"/>
      <c r="D33" s="116"/>
      <c r="E33" s="116"/>
      <c r="F33" s="115"/>
      <c r="G33" s="115"/>
      <c r="H33" s="115"/>
      <c r="I33" s="115"/>
      <c r="J33" s="115"/>
      <c r="K33" s="115"/>
      <c r="L33" s="115"/>
      <c r="M33" s="115"/>
      <c r="N33" s="167"/>
      <c r="O33" s="115"/>
      <c r="P33" s="115"/>
      <c r="Q33" s="115"/>
      <c r="R33" s="115"/>
    </row>
    <row r="34" spans="2:18">
      <c r="B34" s="115"/>
      <c r="C34" s="115"/>
      <c r="D34" s="116"/>
      <c r="E34" s="116"/>
      <c r="F34" s="115"/>
      <c r="G34" s="115"/>
      <c r="H34" s="115"/>
      <c r="I34" s="115"/>
      <c r="J34" s="115"/>
      <c r="K34" s="115"/>
      <c r="L34" s="115"/>
      <c r="M34" s="115"/>
      <c r="N34" s="167"/>
      <c r="O34" s="115"/>
      <c r="P34" s="115"/>
      <c r="Q34" s="115"/>
      <c r="R34" s="11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2"/>
  <cols>
    <col min="1" max="1" width="9" style="6"/>
    <col min="2" max="2" width="10.44140625" style="6" customWidth="1"/>
    <col min="3" max="3" width="8.77734375" style="6" customWidth="1"/>
    <col min="4" max="6" width="9" style="6"/>
    <col min="7" max="8" width="13.44140625" style="6" customWidth="1"/>
    <col min="9" max="9" width="13.44140625" style="6" hidden="1" customWidth="1"/>
    <col min="10" max="10" width="11.21875" style="6" customWidth="1"/>
    <col min="11" max="11" width="11.109375" style="6" customWidth="1"/>
    <col min="12" max="12" width="9" style="6"/>
    <col min="13" max="13" width="9" style="6" customWidth="1"/>
    <col min="14" max="17" width="9" style="6" hidden="1" customWidth="1"/>
    <col min="18" max="18" width="10.77734375" style="6" hidden="1" customWidth="1"/>
    <col min="19" max="19" width="10.10937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.6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.6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.6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.6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.6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5" activePane="bottomLeft" state="frozen"/>
      <selection pane="bottomLeft" activeCell="F32" sqref="F32"/>
    </sheetView>
  </sheetViews>
  <sheetFormatPr defaultColWidth="9" defaultRowHeight="12"/>
  <cols>
    <col min="1" max="3" width="9" style="6"/>
    <col min="4" max="4" width="9" style="6" customWidth="1"/>
    <col min="5" max="7" width="9" style="6"/>
    <col min="8" max="8" width="12.109375" style="6" customWidth="1"/>
    <col min="9" max="9" width="9" style="6"/>
    <col min="10" max="10" width="10.88671875" style="6" customWidth="1"/>
    <col min="11" max="16384" width="9" style="6"/>
  </cols>
  <sheetData>
    <row r="1" spans="2:20" ht="15" thickBot="1">
      <c r="B1" s="181" t="s">
        <v>118</v>
      </c>
      <c r="C1" s="181"/>
    </row>
    <row r="2" spans="2:20" ht="12.6" thickTop="1"/>
    <row r="3" spans="2:20" ht="14.4" thickBot="1">
      <c r="B3" s="180" t="s">
        <v>119</v>
      </c>
      <c r="C3" s="180"/>
      <c r="D3" s="180"/>
      <c r="E3" s="180"/>
      <c r="G3" s="177" t="s">
        <v>120</v>
      </c>
      <c r="H3" s="177"/>
      <c r="I3" s="177"/>
      <c r="J3" s="177"/>
      <c r="L3" s="180" t="s">
        <v>165</v>
      </c>
      <c r="M3" s="180"/>
      <c r="N3" s="180"/>
      <c r="O3" s="180"/>
      <c r="Q3" s="177" t="s">
        <v>166</v>
      </c>
      <c r="R3" s="177"/>
      <c r="S3" s="177"/>
      <c r="T3" s="177"/>
    </row>
    <row r="4" spans="2:20" ht="15.6" thickTop="1" thickBot="1">
      <c r="B4" s="178" t="s">
        <v>121</v>
      </c>
      <c r="C4" s="178"/>
      <c r="D4" s="178"/>
      <c r="E4" s="178"/>
      <c r="G4" s="178" t="s">
        <v>34</v>
      </c>
      <c r="H4" s="178"/>
      <c r="I4" s="178"/>
      <c r="J4" s="178"/>
      <c r="L4" s="178" t="s">
        <v>121</v>
      </c>
      <c r="M4" s="178"/>
      <c r="N4" s="178"/>
      <c r="O4" s="178"/>
      <c r="Q4" s="178" t="s">
        <v>34</v>
      </c>
      <c r="R4" s="178"/>
      <c r="S4" s="178"/>
      <c r="T4" s="178"/>
    </row>
    <row r="5" spans="2:20" ht="15" thickTop="1">
      <c r="B5" s="33" t="s">
        <v>122</v>
      </c>
      <c r="C5" s="34"/>
      <c r="D5" s="35"/>
      <c r="E5" s="36"/>
      <c r="G5" s="176" t="s">
        <v>123</v>
      </c>
      <c r="H5" s="176"/>
      <c r="I5" s="35"/>
      <c r="J5" s="36"/>
      <c r="L5" s="33" t="s">
        <v>122</v>
      </c>
      <c r="M5" s="34"/>
      <c r="N5" s="35"/>
      <c r="O5" s="36"/>
      <c r="Q5" s="176" t="s">
        <v>123</v>
      </c>
      <c r="R5" s="176"/>
      <c r="S5" s="35"/>
      <c r="T5" s="36"/>
    </row>
    <row r="6" spans="2:20" ht="14.4">
      <c r="B6" s="173" t="s">
        <v>124</v>
      </c>
      <c r="C6" s="173"/>
      <c r="D6" s="174" t="s">
        <v>125</v>
      </c>
      <c r="E6" s="175"/>
      <c r="G6" s="176" t="s">
        <v>126</v>
      </c>
      <c r="H6" s="176"/>
      <c r="I6" s="174"/>
      <c r="J6" s="175"/>
      <c r="L6" s="173" t="s">
        <v>124</v>
      </c>
      <c r="M6" s="173"/>
      <c r="N6" s="174" t="s">
        <v>125</v>
      </c>
      <c r="O6" s="175"/>
      <c r="Q6" s="176" t="s">
        <v>126</v>
      </c>
      <c r="R6" s="176"/>
      <c r="S6" s="174"/>
      <c r="T6" s="175"/>
    </row>
    <row r="7" spans="2:20" ht="14.4">
      <c r="B7" s="173" t="s">
        <v>127</v>
      </c>
      <c r="C7" s="173"/>
      <c r="D7" s="174" t="s">
        <v>125</v>
      </c>
      <c r="E7" s="175"/>
      <c r="G7" s="176" t="s">
        <v>128</v>
      </c>
      <c r="H7" s="176"/>
      <c r="I7" s="174"/>
      <c r="J7" s="175"/>
      <c r="L7" s="173" t="s">
        <v>127</v>
      </c>
      <c r="M7" s="173"/>
      <c r="N7" s="174" t="s">
        <v>125</v>
      </c>
      <c r="O7" s="175"/>
      <c r="Q7" s="176" t="s">
        <v>128</v>
      </c>
      <c r="R7" s="176"/>
      <c r="S7" s="174"/>
      <c r="T7" s="175"/>
    </row>
    <row r="8" spans="2:20" ht="14.4">
      <c r="B8" s="173" t="s">
        <v>129</v>
      </c>
      <c r="C8" s="173"/>
      <c r="D8" s="174">
        <f>D13*D15</f>
        <v>305000</v>
      </c>
      <c r="E8" s="175"/>
      <c r="G8" s="176" t="s">
        <v>130</v>
      </c>
      <c r="H8" s="176"/>
      <c r="I8" s="174"/>
      <c r="J8" s="175"/>
      <c r="L8" s="173" t="s">
        <v>129</v>
      </c>
      <c r="M8" s="173"/>
      <c r="N8" s="174">
        <f>N14*N16</f>
        <v>305000</v>
      </c>
      <c r="O8" s="175"/>
      <c r="Q8" s="176" t="s">
        <v>130</v>
      </c>
      <c r="R8" s="176"/>
      <c r="S8" s="174"/>
      <c r="T8" s="175"/>
    </row>
    <row r="9" spans="2:20" ht="14.4">
      <c r="B9" s="173" t="s">
        <v>131</v>
      </c>
      <c r="C9" s="173"/>
      <c r="D9" s="174" t="s">
        <v>132</v>
      </c>
      <c r="E9" s="175"/>
      <c r="G9" s="176" t="s">
        <v>133</v>
      </c>
      <c r="H9" s="176"/>
      <c r="I9" s="174"/>
      <c r="J9" s="175"/>
      <c r="L9" s="173" t="s">
        <v>131</v>
      </c>
      <c r="M9" s="173"/>
      <c r="N9" s="174" t="s">
        <v>132</v>
      </c>
      <c r="O9" s="175"/>
      <c r="Q9" s="176" t="s">
        <v>133</v>
      </c>
      <c r="R9" s="176"/>
      <c r="S9" s="174"/>
      <c r="T9" s="175"/>
    </row>
    <row r="10" spans="2:20" ht="14.4">
      <c r="B10" s="173" t="s">
        <v>134</v>
      </c>
      <c r="C10" s="173"/>
      <c r="D10" s="174">
        <v>43084</v>
      </c>
      <c r="E10" s="175"/>
      <c r="G10" s="30" t="s">
        <v>135</v>
      </c>
      <c r="H10" s="30"/>
      <c r="I10" s="174"/>
      <c r="J10" s="175"/>
      <c r="L10" s="173" t="s">
        <v>134</v>
      </c>
      <c r="M10" s="173"/>
      <c r="N10" s="174">
        <v>43084</v>
      </c>
      <c r="O10" s="175"/>
      <c r="Q10" s="52" t="s">
        <v>135</v>
      </c>
      <c r="R10" s="52"/>
      <c r="S10" s="174"/>
      <c r="T10" s="175"/>
    </row>
    <row r="11" spans="2:20" ht="14.4">
      <c r="B11" s="173" t="s">
        <v>136</v>
      </c>
      <c r="C11" s="173"/>
      <c r="D11" s="174">
        <v>3935</v>
      </c>
      <c r="E11" s="175"/>
      <c r="G11" s="176" t="s">
        <v>137</v>
      </c>
      <c r="H11" s="176"/>
      <c r="I11" s="174"/>
      <c r="J11" s="175"/>
      <c r="L11" s="173" t="s">
        <v>136</v>
      </c>
      <c r="M11" s="173"/>
      <c r="N11" s="174">
        <v>3935</v>
      </c>
      <c r="O11" s="175"/>
      <c r="Q11" s="176" t="s">
        <v>137</v>
      </c>
      <c r="R11" s="176"/>
      <c r="S11" s="174"/>
      <c r="T11" s="175"/>
    </row>
    <row r="12" spans="2:20" ht="14.4">
      <c r="B12" s="173" t="s">
        <v>138</v>
      </c>
      <c r="C12" s="173"/>
      <c r="D12" s="174">
        <v>3800</v>
      </c>
      <c r="E12" s="175"/>
      <c r="G12" s="176" t="s">
        <v>139</v>
      </c>
      <c r="H12" s="176"/>
      <c r="I12" s="174"/>
      <c r="J12" s="175"/>
      <c r="L12" s="173" t="s">
        <v>163</v>
      </c>
      <c r="M12" s="173"/>
      <c r="N12" s="174">
        <v>3800</v>
      </c>
      <c r="O12" s="175"/>
      <c r="Q12" s="176" t="s">
        <v>167</v>
      </c>
      <c r="R12" s="176"/>
      <c r="S12" s="174"/>
      <c r="T12" s="175"/>
    </row>
    <row r="13" spans="2:20" ht="14.4">
      <c r="B13" s="173" t="s">
        <v>140</v>
      </c>
      <c r="C13" s="173"/>
      <c r="D13" s="174">
        <v>61</v>
      </c>
      <c r="E13" s="175"/>
      <c r="G13" s="176" t="s">
        <v>141</v>
      </c>
      <c r="H13" s="176"/>
      <c r="I13" s="174"/>
      <c r="J13" s="175"/>
      <c r="L13" s="173" t="s">
        <v>164</v>
      </c>
      <c r="M13" s="173"/>
      <c r="N13" s="174">
        <v>3800</v>
      </c>
      <c r="O13" s="175"/>
      <c r="Q13" s="176" t="s">
        <v>168</v>
      </c>
      <c r="R13" s="176"/>
      <c r="S13" s="174"/>
      <c r="T13" s="175"/>
    </row>
    <row r="14" spans="2:20" ht="14.4">
      <c r="B14" s="173" t="s">
        <v>142</v>
      </c>
      <c r="C14" s="173"/>
      <c r="D14" s="174" t="s">
        <v>143</v>
      </c>
      <c r="E14" s="175"/>
      <c r="G14" s="176" t="s">
        <v>144</v>
      </c>
      <c r="H14" s="176"/>
      <c r="I14" s="31"/>
      <c r="J14" s="32"/>
      <c r="L14" s="173" t="s">
        <v>140</v>
      </c>
      <c r="M14" s="173"/>
      <c r="N14" s="174">
        <v>61</v>
      </c>
      <c r="O14" s="175"/>
      <c r="Q14" s="176" t="s">
        <v>141</v>
      </c>
      <c r="R14" s="176"/>
      <c r="S14" s="174"/>
      <c r="T14" s="175"/>
    </row>
    <row r="15" spans="2:20" ht="14.4">
      <c r="B15" s="173" t="s">
        <v>145</v>
      </c>
      <c r="C15" s="173"/>
      <c r="D15" s="174">
        <v>5000</v>
      </c>
      <c r="E15" s="175"/>
      <c r="G15" s="176" t="s">
        <v>146</v>
      </c>
      <c r="H15" s="176"/>
      <c r="I15" s="174"/>
      <c r="J15" s="175"/>
      <c r="L15" s="173" t="s">
        <v>142</v>
      </c>
      <c r="M15" s="173"/>
      <c r="N15" s="174" t="s">
        <v>143</v>
      </c>
      <c r="O15" s="175"/>
      <c r="Q15" s="176" t="s">
        <v>144</v>
      </c>
      <c r="R15" s="176"/>
      <c r="S15" s="50"/>
      <c r="T15" s="51"/>
    </row>
    <row r="16" spans="2:20" ht="15" thickBot="1">
      <c r="B16" s="179" t="s">
        <v>147</v>
      </c>
      <c r="C16" s="179"/>
      <c r="D16" s="171" t="s">
        <v>148</v>
      </c>
      <c r="E16" s="172"/>
      <c r="G16" s="170" t="s">
        <v>149</v>
      </c>
      <c r="H16" s="170"/>
      <c r="I16" s="171"/>
      <c r="J16" s="172"/>
      <c r="L16" s="173" t="s">
        <v>145</v>
      </c>
      <c r="M16" s="173"/>
      <c r="N16" s="174">
        <v>5000</v>
      </c>
      <c r="O16" s="175"/>
      <c r="Q16" s="176" t="s">
        <v>146</v>
      </c>
      <c r="R16" s="176"/>
      <c r="S16" s="174"/>
      <c r="T16" s="175"/>
    </row>
    <row r="17" spans="2:20" ht="15.6" thickTop="1" thickBot="1">
      <c r="L17" s="179" t="s">
        <v>147</v>
      </c>
      <c r="M17" s="179"/>
      <c r="N17" s="171" t="s">
        <v>148</v>
      </c>
      <c r="O17" s="172"/>
      <c r="Q17" s="170" t="s">
        <v>149</v>
      </c>
      <c r="R17" s="170"/>
      <c r="S17" s="171"/>
      <c r="T17" s="172"/>
    </row>
    <row r="18" spans="2:20" ht="12.6" thickTop="1"/>
    <row r="19" spans="2:20" ht="14.4">
      <c r="B19" s="28" t="s">
        <v>150</v>
      </c>
    </row>
    <row r="21" spans="2:20" ht="12.6" thickBot="1">
      <c r="B21" s="7"/>
      <c r="C21" s="7"/>
      <c r="D21" s="7"/>
      <c r="E21" s="7"/>
      <c r="G21" s="7"/>
      <c r="H21" s="7"/>
      <c r="I21" s="7"/>
      <c r="J21" s="7"/>
    </row>
    <row r="22" spans="2:20" ht="15.6" thickTop="1" thickBot="1">
      <c r="B22" s="178" t="s">
        <v>121</v>
      </c>
      <c r="C22" s="178"/>
      <c r="D22" s="178"/>
      <c r="E22" s="178"/>
      <c r="G22" s="178" t="s">
        <v>121</v>
      </c>
      <c r="H22" s="178"/>
      <c r="I22" s="178"/>
      <c r="J22" s="178"/>
    </row>
    <row r="23" spans="2:20" ht="15" thickTop="1">
      <c r="B23" s="33" t="s">
        <v>122</v>
      </c>
      <c r="C23" s="34"/>
      <c r="D23" s="185">
        <v>43123</v>
      </c>
      <c r="E23" s="186"/>
      <c r="G23" s="33" t="s">
        <v>122</v>
      </c>
      <c r="H23" s="34"/>
      <c r="I23" s="185"/>
      <c r="J23" s="186"/>
    </row>
    <row r="24" spans="2:20" ht="14.4">
      <c r="B24" s="173" t="s">
        <v>124</v>
      </c>
      <c r="C24" s="173"/>
      <c r="D24" s="174" t="s">
        <v>191</v>
      </c>
      <c r="E24" s="175"/>
      <c r="G24" s="173" t="s">
        <v>183</v>
      </c>
      <c r="H24" s="173"/>
      <c r="I24" s="174"/>
      <c r="J24" s="175"/>
    </row>
    <row r="25" spans="2:20" ht="14.4">
      <c r="B25" s="173" t="s">
        <v>127</v>
      </c>
      <c r="C25" s="173"/>
      <c r="D25" s="174" t="s">
        <v>192</v>
      </c>
      <c r="E25" s="175"/>
      <c r="G25" s="173" t="s">
        <v>181</v>
      </c>
      <c r="H25" s="173"/>
      <c r="I25" s="174"/>
      <c r="J25" s="175"/>
    </row>
    <row r="26" spans="2:20" ht="14.4">
      <c r="B26" s="173" t="s">
        <v>129</v>
      </c>
      <c r="C26" s="173"/>
      <c r="D26" s="182">
        <f>D33*D31</f>
        <v>50000</v>
      </c>
      <c r="E26" s="183"/>
      <c r="G26" s="111" t="s">
        <v>182</v>
      </c>
      <c r="H26" s="111"/>
      <c r="I26" s="174"/>
      <c r="J26" s="175"/>
    </row>
    <row r="27" spans="2:20" ht="14.4">
      <c r="B27" s="173" t="s">
        <v>131</v>
      </c>
      <c r="C27" s="173"/>
      <c r="D27" s="174" t="s">
        <v>193</v>
      </c>
      <c r="E27" s="175"/>
      <c r="G27" s="173" t="s">
        <v>131</v>
      </c>
      <c r="H27" s="173"/>
      <c r="I27" s="174"/>
      <c r="J27" s="175"/>
    </row>
    <row r="28" spans="2:20" ht="14.4">
      <c r="B28" s="173" t="s">
        <v>134</v>
      </c>
      <c r="C28" s="173"/>
      <c r="D28" s="184">
        <f>D23+60</f>
        <v>43183</v>
      </c>
      <c r="E28" s="175"/>
      <c r="G28" s="173" t="s">
        <v>134</v>
      </c>
      <c r="H28" s="173"/>
      <c r="I28" s="184"/>
      <c r="J28" s="175"/>
    </row>
    <row r="29" spans="2:20" ht="14.4">
      <c r="B29" s="173" t="s">
        <v>136</v>
      </c>
      <c r="C29" s="173"/>
      <c r="D29" s="174">
        <v>54000</v>
      </c>
      <c r="E29" s="175"/>
      <c r="G29" s="173" t="s">
        <v>136</v>
      </c>
      <c r="H29" s="173"/>
      <c r="I29" s="174"/>
      <c r="J29" s="175"/>
    </row>
    <row r="30" spans="2:20" ht="14.4">
      <c r="B30" s="173" t="s">
        <v>138</v>
      </c>
      <c r="C30" s="173"/>
      <c r="D30" s="174">
        <v>50000</v>
      </c>
      <c r="E30" s="175"/>
      <c r="G30" s="173" t="s">
        <v>179</v>
      </c>
      <c r="H30" s="173"/>
      <c r="I30" s="112"/>
      <c r="J30" s="113"/>
    </row>
    <row r="31" spans="2:20" ht="14.4">
      <c r="B31" s="173" t="s">
        <v>140</v>
      </c>
      <c r="C31" s="173"/>
      <c r="D31" s="174">
        <v>100</v>
      </c>
      <c r="E31" s="175"/>
      <c r="G31" s="173" t="s">
        <v>180</v>
      </c>
      <c r="H31" s="173"/>
      <c r="I31" s="174"/>
      <c r="J31" s="175"/>
    </row>
    <row r="32" spans="2:20" ht="14.4">
      <c r="B32" s="173" t="s">
        <v>142</v>
      </c>
      <c r="C32" s="173"/>
      <c r="D32" s="174" t="s">
        <v>194</v>
      </c>
      <c r="E32" s="175"/>
      <c r="G32" s="173" t="s">
        <v>140</v>
      </c>
      <c r="H32" s="173"/>
      <c r="I32" s="174"/>
      <c r="J32" s="175"/>
    </row>
    <row r="33" spans="2:10" ht="14.4">
      <c r="B33" s="173" t="s">
        <v>190</v>
      </c>
      <c r="C33" s="173"/>
      <c r="D33" s="182">
        <v>500</v>
      </c>
      <c r="E33" s="183"/>
      <c r="G33" s="173" t="s">
        <v>142</v>
      </c>
      <c r="H33" s="173"/>
      <c r="I33" s="174"/>
      <c r="J33" s="175"/>
    </row>
    <row r="34" spans="2:10" ht="15" thickBot="1">
      <c r="B34" s="179" t="s">
        <v>147</v>
      </c>
      <c r="C34" s="179"/>
      <c r="D34" s="171" t="s">
        <v>195</v>
      </c>
      <c r="E34" s="172"/>
      <c r="G34" s="173" t="s">
        <v>145</v>
      </c>
      <c r="H34" s="173"/>
      <c r="I34" s="182"/>
      <c r="J34" s="183"/>
    </row>
    <row r="35" spans="2:10" ht="15.6" thickTop="1" thickBot="1">
      <c r="G35" s="179" t="s">
        <v>147</v>
      </c>
      <c r="H35" s="179"/>
      <c r="I35" s="171"/>
      <c r="J35" s="172"/>
    </row>
    <row r="36" spans="2:10" ht="12.6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I4" sqref="I4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7" width="9" style="6"/>
    <col min="8" max="8" width="8.109375" style="6" customWidth="1"/>
    <col min="9" max="9" width="10.44140625" style="6" customWidth="1"/>
    <col min="10" max="10" width="9" style="6" customWidth="1"/>
    <col min="11" max="11" width="7.21875" style="6" customWidth="1"/>
    <col min="12" max="12" width="9" style="6" customWidth="1"/>
    <col min="13" max="13" width="7.77734375" style="6" customWidth="1"/>
    <col min="14" max="14" width="10" style="6" customWidth="1"/>
    <col min="15" max="15" width="8.6640625" style="6" customWidth="1"/>
    <col min="16" max="16" width="9" style="6"/>
    <col min="17" max="17" width="6.44140625" style="6" customWidth="1"/>
    <col min="18" max="18" width="6.21875" style="6" customWidth="1"/>
    <col min="19" max="19" width="7" style="6" customWidth="1"/>
    <col min="20" max="21" width="9" style="6"/>
    <col min="22" max="22" width="13.77734375" style="6" customWidth="1"/>
    <col min="23" max="16384" width="9" style="6"/>
  </cols>
  <sheetData>
    <row r="1" spans="1:22" ht="13.5" customHeight="1" thickBot="1">
      <c r="B1" s="181" t="s">
        <v>37</v>
      </c>
      <c r="C1" s="181"/>
    </row>
    <row r="2" spans="1:22" ht="12.6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.6" thickBot="1">
      <c r="B4" s="5" t="s">
        <v>18</v>
      </c>
      <c r="C4" s="5">
        <v>0.01</v>
      </c>
    </row>
    <row r="5" spans="1:22" ht="12.6" thickTop="1"/>
    <row r="6" spans="1:22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3.2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.6" thickTop="1">
      <c r="A8" s="53"/>
      <c r="B8" s="24" t="s">
        <v>171</v>
      </c>
      <c r="C8" s="19" t="s">
        <v>160</v>
      </c>
      <c r="D8" s="19" t="s">
        <v>22</v>
      </c>
      <c r="E8" s="21">
        <f t="shared" ref="E8:E11" ca="1" si="0">TODAY()</f>
        <v>43123</v>
      </c>
      <c r="F8" s="21">
        <f t="shared" ref="F8:F9" ca="1" si="1">E8+H8</f>
        <v>43153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 t="e">
        <f ca="1">_xll.dnetGBlackScholesNGreeks("price",$Q8,$P8,$G8,$I8,$C$3,$J8,$K8,$C$4)*R8</f>
        <v>#NAME?</v>
      </c>
      <c r="M8" s="25">
        <v>80</v>
      </c>
      <c r="N8" s="24" t="e">
        <f t="shared" ref="N8:N9" si="3">M8/10000*I8*P8</f>
        <v>#N/A</v>
      </c>
      <c r="O8" s="24" t="e">
        <f t="shared" ref="O8:O9" ca="1" si="4">IF(L8&lt;=0,ABS(L8)+N8,L8-N8)</f>
        <v>#NAME?</v>
      </c>
      <c r="P8" s="20" t="e">
        <f>RTD("wdf.rtq",,D8,"LastPrice")</f>
        <v>#N/A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 t="e">
        <f t="shared" ref="T8:T9" ca="1" si="6">O8/P8</f>
        <v>#NAME?</v>
      </c>
      <c r="U8" s="24" t="e">
        <f ca="1">_xll.dnetGBlackScholesNGreeks("delta",$Q8,$P8,$G8,$I8,$C$3,$J8,$K8,$C$4)*R8</f>
        <v>#NAME?</v>
      </c>
      <c r="V8" s="24" t="e">
        <f ca="1">_xll.dnetGBlackScholesNGreeks("vega",$Q8,$P8,$G8,$I8,$C$3,$J8,$K8,$C$4)*R8</f>
        <v>#NAME?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43123</v>
      </c>
      <c r="F9" s="8">
        <f t="shared" ca="1" si="1"/>
        <v>43155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 t="e">
        <f ca="1">_xll.dnetGBlackScholesNGreeks("price",$Q9,$P9,$G9,$I9,$C$3,$J9,$K9,$C$4)*R9</f>
        <v>#NAME?</v>
      </c>
      <c r="M9" s="15"/>
      <c r="N9" s="13">
        <f t="shared" si="3"/>
        <v>0</v>
      </c>
      <c r="O9" s="13" t="e">
        <f t="shared" ca="1" si="4"/>
        <v>#NAME?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 t="e">
        <f t="shared" ca="1" si="6"/>
        <v>#NAME?</v>
      </c>
      <c r="U9" s="13" t="e">
        <f ca="1">_xll.dnetGBlackScholesNGreeks("delta",$Q9,$P9,$G9,$I9,$C$3,$J9,$K9,$C$4)*R9</f>
        <v>#NAME?</v>
      </c>
      <c r="V9" s="13" t="e">
        <f ca="1">_xll.dnetGBlackScholesNGreeks("vega",$Q9,$P9,$G9,$I9,$C$3,$J9,$K9,$C$4)*R9</f>
        <v>#NAME?</v>
      </c>
    </row>
    <row r="10" spans="1:22">
      <c r="A10" s="53"/>
      <c r="B10" s="13" t="s">
        <v>172</v>
      </c>
      <c r="C10" s="10" t="s">
        <v>161</v>
      </c>
      <c r="D10" s="10" t="s">
        <v>22</v>
      </c>
      <c r="E10" s="8">
        <f t="shared" ca="1" si="0"/>
        <v>43123</v>
      </c>
      <c r="F10" s="8">
        <f t="shared" ref="F10" ca="1" si="7">E10+H10</f>
        <v>43155</v>
      </c>
      <c r="G10" s="10">
        <v>102.5</v>
      </c>
      <c r="H10" s="10">
        <v>32</v>
      </c>
      <c r="I10" s="12">
        <f t="shared" ref="I10" si="8">H10/365</f>
        <v>8.7671232876712329E-2</v>
      </c>
      <c r="J10" s="12">
        <v>0</v>
      </c>
      <c r="K10" s="9">
        <v>0.17</v>
      </c>
      <c r="L10" s="13" t="e">
        <f ca="1">_xll.dnetGBlackScholesNGreeks("price",$Q10,$P10,$G10,$I10,$C$3,$J10,$K10,$C$4)*R10</f>
        <v>#NAME?</v>
      </c>
      <c r="M10" s="15"/>
      <c r="N10" s="13">
        <f t="shared" ref="N10" si="9">M10/10000*I10*P10</f>
        <v>0</v>
      </c>
      <c r="O10" s="13" t="e">
        <f t="shared" ref="O10" ca="1" si="10">IF(L10&lt;=0,ABS(L10)+N10,L10-N10)</f>
        <v>#NAME?</v>
      </c>
      <c r="P10" s="11">
        <v>100</v>
      </c>
      <c r="Q10" s="10" t="s">
        <v>27</v>
      </c>
      <c r="R10" s="10">
        <f t="shared" ref="R10" si="11">IF(S10="中金买入",1,-1)</f>
        <v>1</v>
      </c>
      <c r="S10" s="10" t="s">
        <v>151</v>
      </c>
      <c r="T10" s="14" t="e">
        <f t="shared" ref="T10" ca="1" si="12">O10/P10</f>
        <v>#NAME?</v>
      </c>
      <c r="U10" s="13" t="e">
        <f ca="1">_xll.dnetGBlackScholesNGreeks("delta",$Q10,$P10,$G10,$I10,$C$3,$J10,$K10,$C$4)*R10</f>
        <v>#NAME?</v>
      </c>
      <c r="V10" s="13" t="e">
        <f ca="1">_xll.dnetGBlackScholesNGreeks("vega",$Q10,$P10,$G10,$I10,$C$3,$J10,$K10,$C$4)*R10</f>
        <v>#NAME?</v>
      </c>
    </row>
    <row r="11" spans="1:22">
      <c r="A11" s="53"/>
      <c r="B11" s="13" t="s">
        <v>172</v>
      </c>
      <c r="C11" s="10" t="s">
        <v>161</v>
      </c>
      <c r="D11" s="10" t="s">
        <v>196</v>
      </c>
      <c r="E11" s="8">
        <f t="shared" ca="1" si="0"/>
        <v>43123</v>
      </c>
      <c r="F11" s="8">
        <f t="shared" ref="F11" ca="1" si="13">E11+H11</f>
        <v>43201</v>
      </c>
      <c r="G11" s="10">
        <v>102.5</v>
      </c>
      <c r="H11" s="10">
        <v>78</v>
      </c>
      <c r="I11" s="12">
        <f t="shared" ref="I11" si="14">H11/365</f>
        <v>0.21369863013698631</v>
      </c>
      <c r="J11" s="12">
        <v>0</v>
      </c>
      <c r="K11" s="9">
        <v>0.17</v>
      </c>
      <c r="L11" s="13" t="e">
        <f ca="1">dnetGBlackScholesNGreeks("price",$Q11,$P11,$G11,$I11,$C$3,$J11,$K11,$C$4)*R11</f>
        <v>#NAME?</v>
      </c>
      <c r="M11" s="15"/>
      <c r="N11" s="13" t="e">
        <f t="shared" ref="N11" si="15">M11/10000*I11*P11</f>
        <v>#N/A</v>
      </c>
      <c r="O11" s="13" t="e">
        <f t="shared" ref="O11" ca="1" si="16">IF(L11&lt;=0,ABS(L11)+N11,L11-N11)</f>
        <v>#NAME?</v>
      </c>
      <c r="P11" s="11" t="e">
        <f>RTD("wdf.rtq",,D11,"LastPrice")</f>
        <v>#N/A</v>
      </c>
      <c r="Q11" s="10" t="s">
        <v>27</v>
      </c>
      <c r="R11" s="10">
        <f t="shared" ref="R11" si="17">IF(S11="中金买入",1,-1)</f>
        <v>1</v>
      </c>
      <c r="S11" s="10" t="s">
        <v>151</v>
      </c>
      <c r="T11" s="14" t="e">
        <f t="shared" ref="T11" ca="1" si="18">O11/P11</f>
        <v>#NAME?</v>
      </c>
      <c r="U11" s="13" t="e">
        <f ca="1">_xll.dnetGBlackScholesNGreeks("delta",$Q11,$P11,$G11,$I11,$C$3,$J11,$K11,$C$4)*R11</f>
        <v>#NAME?</v>
      </c>
      <c r="V11" s="13" t="e">
        <f ca="1">_xll.dnetGBlackScholesNGreeks("vega",$Q11,$P11,$G11,$I11,$C$3,$J11,$K11,$C$4)*R11</f>
        <v>#NAME?</v>
      </c>
    </row>
    <row r="12" spans="1:22">
      <c r="A12" s="53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>
      <c r="A13" s="53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3"/>
      <c r="C15" s="10"/>
      <c r="D15" s="168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9.33203125" style="6" customWidth="1"/>
    <col min="5" max="5" width="9" style="6"/>
    <col min="6" max="6" width="11.6640625" style="6" bestFit="1" customWidth="1"/>
    <col min="7" max="7" width="10.44140625" style="6" bestFit="1" customWidth="1"/>
    <col min="8" max="8" width="11.44140625" style="6" customWidth="1"/>
    <col min="9" max="10" width="8.109375" style="6" customWidth="1"/>
    <col min="11" max="11" width="9.21875" style="6" bestFit="1" customWidth="1"/>
    <col min="12" max="12" width="7.21875" style="6" customWidth="1"/>
    <col min="13" max="13" width="9.21875" style="6" bestFit="1" customWidth="1"/>
    <col min="14" max="14" width="10.109375" style="6" customWidth="1"/>
    <col min="15" max="15" width="6.44140625" style="6" customWidth="1"/>
    <col min="16" max="16" width="15.21875" style="6" customWidth="1"/>
    <col min="17" max="17" width="9.44140625" style="6" bestFit="1" customWidth="1"/>
    <col min="18" max="18" width="9" style="6"/>
    <col min="19" max="19" width="7" style="6" customWidth="1"/>
    <col min="20" max="20" width="9" style="6" customWidth="1"/>
    <col min="21" max="21" width="9.21875" style="6" bestFit="1" customWidth="1"/>
    <col min="22" max="22" width="13.77734375" style="6" customWidth="1"/>
    <col min="23" max="16384" width="9" style="6"/>
  </cols>
  <sheetData>
    <row r="1" spans="1:22" ht="13.5" customHeight="1" thickBot="1">
      <c r="B1" s="187" t="s">
        <v>37</v>
      </c>
      <c r="C1" s="181"/>
    </row>
    <row r="2" spans="1:22" ht="12.6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.6" thickBot="1">
      <c r="B4" s="38" t="s">
        <v>18</v>
      </c>
      <c r="C4" s="38">
        <v>0.01</v>
      </c>
    </row>
    <row r="5" spans="1:22" ht="12.6" thickTop="1"/>
    <row r="6" spans="1:22" ht="12.6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.6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43123</v>
      </c>
      <c r="G8" s="65">
        <f ca="1">F8+I8</f>
        <v>43153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 t="e">
        <f ca="1">_xll.dnetGBlackScholesNGreeks("price",$R8,$Q8,$H8,$J8,$C$3,$K8,$L8,$C$4)*D8</f>
        <v>#NAME?</v>
      </c>
      <c r="N8" s="68"/>
      <c r="O8" s="62"/>
      <c r="P8" s="62" t="e">
        <f ca="1">M8+O8</f>
        <v>#NAME?</v>
      </c>
      <c r="Q8" s="64">
        <v>100</v>
      </c>
      <c r="R8" s="63" t="s">
        <v>39</v>
      </c>
      <c r="S8" s="67" t="s">
        <v>20</v>
      </c>
      <c r="T8" s="69"/>
      <c r="U8" s="62" t="e">
        <f ca="1">_xll.dnetGBlackScholesNGreeks("delta",$R8,$Q8,$H8,$J8,$C$3,$K8,$L8,$C$4)*D8</f>
        <v>#NAME?</v>
      </c>
      <c r="V8" s="62" t="e">
        <f ca="1">_xll.dnetGBlackScholesNGreeks("vega",$R8,$Q8,$H8,$J8,$C$3,$K8,$L8,$C$4)*D8</f>
        <v>#NAME?</v>
      </c>
    </row>
    <row r="9" spans="1:22" ht="14.4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43123</v>
      </c>
      <c r="G9" s="73">
        <f ca="1">G8</f>
        <v>43153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 t="e">
        <f ca="1">_xll.dnetGBlackScholesNGreeks("price",$R9,$Q9,$H9,$J9,$C$3,$K9,$L9,$C$4)*D9</f>
        <v>#NAME?</v>
      </c>
      <c r="N9" s="76"/>
      <c r="O9" s="70"/>
      <c r="P9" s="70" t="e">
        <f ca="1">M9+O9</f>
        <v>#NAME?</v>
      </c>
      <c r="Q9" s="72">
        <v>100</v>
      </c>
      <c r="R9" s="71" t="s">
        <v>39</v>
      </c>
      <c r="S9" s="75" t="s">
        <v>151</v>
      </c>
      <c r="T9" s="77"/>
      <c r="U9" s="70" t="e">
        <f ca="1">_xll.dnetGBlackScholesNGreeks("delta",$R9,$Q9,$H9,$J9,$C$3,$K9,$L9,$C$4)*D9</f>
        <v>#NAME?</v>
      </c>
      <c r="V9" s="70" t="e">
        <f ca="1">_xll.dnetGBlackScholesNGreeks("vega",$R9,$Q9,$H9,$J9,$C$3,$K9,$L9,$C$4)*D9</f>
        <v>#NAME?</v>
      </c>
    </row>
    <row r="10" spans="1:22" ht="14.4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43123</v>
      </c>
      <c r="G10" s="81">
        <f ca="1">G9</f>
        <v>43153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 t="e">
        <f ca="1">M9+M8</f>
        <v>#NAME?</v>
      </c>
      <c r="N10" s="79">
        <v>80</v>
      </c>
      <c r="O10" s="78">
        <f>N10/10000*J10*Q10</f>
        <v>6.5753424657534254E-2</v>
      </c>
      <c r="P10" s="78" t="e">
        <f ca="1">IF(M10&lt;=0,ABS(M10)+O10,M10-O10)</f>
        <v>#NAME?</v>
      </c>
      <c r="Q10" s="80">
        <f>Q9</f>
        <v>100</v>
      </c>
      <c r="R10" s="79"/>
      <c r="S10" s="75" t="s">
        <v>151</v>
      </c>
      <c r="T10" s="83" t="e">
        <f ca="1">P10/Q10</f>
        <v>#NAME?</v>
      </c>
      <c r="U10" s="83" t="e">
        <f t="shared" ref="U10:V10" ca="1" si="1">U9+U8</f>
        <v>#NAME?</v>
      </c>
      <c r="V10" s="83" t="e">
        <f t="shared" ca="1" si="1"/>
        <v>#NAME?</v>
      </c>
    </row>
    <row r="11" spans="1:22" ht="14.4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4.4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4.4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4.4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4.4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4.4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4.4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4.4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4.4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4.4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4.4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4.4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4.4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4.4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4.4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4.4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4.4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4.4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4.4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4.4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4.4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4.4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4.4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4.4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09375" style="6" customWidth="1"/>
    <col min="16" max="16" width="6.88671875" style="6" customWidth="1"/>
    <col min="17" max="17" width="9" style="6"/>
    <col min="18" max="18" width="7.21875" style="6" customWidth="1"/>
    <col min="19" max="19" width="9" style="6"/>
    <col min="20" max="20" width="10.109375" style="6" customWidth="1"/>
    <col min="21" max="22" width="6.44140625" style="6" customWidth="1"/>
    <col min="23" max="24" width="9" style="6"/>
    <col min="25" max="25" width="13.77734375" style="6" customWidth="1"/>
    <col min="26" max="16384" width="9" style="6"/>
  </cols>
  <sheetData>
    <row r="1" spans="1:25" ht="13.5" customHeight="1" thickBot="1">
      <c r="B1" s="181" t="s">
        <v>38</v>
      </c>
      <c r="C1" s="181"/>
    </row>
    <row r="2" spans="1:25" ht="12.6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.6" thickBot="1">
      <c r="B4" s="5" t="s">
        <v>18</v>
      </c>
      <c r="C4" s="5">
        <v>0.01</v>
      </c>
    </row>
    <row r="5" spans="1:25" ht="12.6" thickTop="1"/>
    <row r="6" spans="1:25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.6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 ca="1">_xll.dnetDiscreteAdjustedBarrier($H8,$J8,$R8,1/365)</f>
        <v>#NAME?</v>
      </c>
      <c r="L8" s="55">
        <v>0.02</v>
      </c>
      <c r="M8" s="21">
        <f ca="1">TODAY()</f>
        <v>43123</v>
      </c>
      <c r="N8" s="21">
        <f ca="1">M8+O8</f>
        <v>43153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 ca="1">_xll.dnetStandardBarrierNGreeks("price",G8,H8,I8,K8,L8*H8,P8,$C$3,Q8,R8,$C$4)*E8</f>
        <v>#NAME?</v>
      </c>
      <c r="T8" s="25">
        <v>80</v>
      </c>
      <c r="U8" s="24" t="e">
        <f>T8/10000*P8*H8</f>
        <v>#N/A</v>
      </c>
      <c r="V8" s="24" t="e">
        <f ca="1">IF(S8&lt;=0,ABS(S8)+U8,S8-U8)</f>
        <v>#NAME?</v>
      </c>
      <c r="W8" s="26" t="e">
        <f ca="1">V8/H8</f>
        <v>#NAME?</v>
      </c>
      <c r="X8" s="24" t="e">
        <f ca="1">_xll.dnetStandardBarrierNGreeks("delta",G8,H8,I8,K8,L8*H8,P8,$C$3,Q8,R8,$C$4)</f>
        <v>#NAME?</v>
      </c>
      <c r="Y8" s="24" t="e">
        <f ca="1">_xll.dnetStandardBarrierNGreeks("vega",G8,H8,I8,K8,L8*H8,P8,$C$3,Q8,R8,$C$4)</f>
        <v>#NAME?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 t="e">
        <f ca="1">_xll.dnetDiscreteAdjustedBarrier($H9,$J9,$R9,1/365)</f>
        <v>#NAME?</v>
      </c>
      <c r="L9" s="56">
        <v>5.0000000000000001E-3</v>
      </c>
      <c r="M9" s="8">
        <f ca="1">TODAY()</f>
        <v>43123</v>
      </c>
      <c r="N9" s="8">
        <f ca="1">M9+O9</f>
        <v>43303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 t="e">
        <f ca="1">_xll.dnetStandardBarrierNGreeks("price",G9,H9,I9,K9,L9*H9,P9,$C$3,Q9,R9,$C$4)*E9</f>
        <v>#NAME?</v>
      </c>
      <c r="T9" s="15">
        <v>80</v>
      </c>
      <c r="U9" s="13">
        <f>T9/10000*P9*H9</f>
        <v>0.39452054794520547</v>
      </c>
      <c r="V9" s="13" t="e">
        <f ca="1">IF(S9&lt;=0,ABS(S9)+U9,S9-U9)</f>
        <v>#NAME?</v>
      </c>
      <c r="W9" s="14" t="e">
        <f ca="1">V9/H9</f>
        <v>#NAME?</v>
      </c>
      <c r="X9" s="13" t="e">
        <f ca="1">_xll.dnetStandardBarrierNGreeks("delta",G9,H9,I9,K9,L9*H9,P9,$C$3,Q9,R9,$C$4)</f>
        <v>#NAME?</v>
      </c>
      <c r="Y9" s="13" t="e">
        <f ca="1">_xll.dnetStandardBarrierNGreeks("vega",G9,H9,I9,K9,L9*H9,P9,$C$3,Q9,R9,$C$4)</f>
        <v>#NAME?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4.4"/>
  <cols>
    <col min="1" max="1" width="10.88671875" bestFit="1" customWidth="1"/>
  </cols>
  <sheetData>
    <row r="1" spans="1:6" ht="1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29.4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4.4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2"/>
  <cols>
    <col min="1" max="1" width="8.109375" style="6" customWidth="1"/>
    <col min="2" max="2" width="9" style="6"/>
    <col min="3" max="3" width="9.109375" style="6" customWidth="1"/>
    <col min="4" max="4" width="7" style="6" customWidth="1"/>
    <col min="5" max="11" width="9" style="6"/>
    <col min="12" max="12" width="8.109375" style="6" customWidth="1"/>
    <col min="13" max="13" width="9" style="6"/>
    <col min="14" max="14" width="7.21875" style="6" customWidth="1"/>
    <col min="15" max="15" width="9" style="6"/>
    <col min="16" max="16" width="10.109375" style="6" customWidth="1"/>
    <col min="17" max="18" width="6.44140625" style="6" customWidth="1"/>
    <col min="19" max="20" width="9" style="6"/>
    <col min="21" max="21" width="13.777343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.6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.6" thickBot="1">
      <c r="B4" s="5" t="s">
        <v>18</v>
      </c>
      <c r="C4" s="5">
        <v>0.01</v>
      </c>
    </row>
    <row r="5" spans="1:21" ht="12.6" thickTop="1"/>
    <row r="6" spans="1:21" ht="12.6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3.2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.6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43123</v>
      </c>
      <c r="K8" s="21">
        <f ca="1">J8+L8</f>
        <v>43153</v>
      </c>
      <c r="L8" s="19">
        <v>30</v>
      </c>
      <c r="M8" s="22">
        <f>L8/365</f>
        <v>8.2191780821917804E-2</v>
      </c>
      <c r="N8" s="23">
        <v>0.3</v>
      </c>
      <c r="O8" s="24" t="e">
        <f ca="1">_xll.dnetGBlackScholesNGreeks("price",$G8,$H8,$I8,$M8,$C$3,$C$4,$N8)</f>
        <v>#NAME?</v>
      </c>
      <c r="P8" s="25">
        <v>80</v>
      </c>
      <c r="Q8" s="24" t="e">
        <f>P8/10000*M8*H8*(-E8)</f>
        <v>#N/A</v>
      </c>
      <c r="R8" s="24" t="e">
        <f ca="1">O8+Q8</f>
        <v>#NAME?</v>
      </c>
      <c r="S8" s="26" t="e">
        <f ca="1">R8/H8</f>
        <v>#NAME?</v>
      </c>
      <c r="T8" s="24" t="e">
        <f ca="1">_xll.dnetGBlackScholesNGreeks("delta",$G8,$H8,$I8,$M8,$C$3,$C$4,$N8,$C$4)</f>
        <v>#NAME?</v>
      </c>
      <c r="U8" s="24" t="e">
        <f ca="1">_xll.dnetGBlackScholesNGreeks("vega",$G8,$H8,$I8,$M8,$C$3,$C$4,$N8)</f>
        <v>#NAME?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43123</v>
      </c>
      <c r="K9" s="8">
        <f ca="1">J9+L9</f>
        <v>43153</v>
      </c>
      <c r="L9" s="10">
        <v>30</v>
      </c>
      <c r="M9" s="12">
        <f>L9/365</f>
        <v>8.2191780821917804E-2</v>
      </c>
      <c r="N9" s="9">
        <v>0.3</v>
      </c>
      <c r="O9" s="13" t="e">
        <f ca="1">_xll.dnetGBlackScholesNGreeks("price",$G9,$H9,$I9,$M9,$C$3,$C$4,$N9)</f>
        <v>#NAME?</v>
      </c>
      <c r="P9" s="15">
        <v>80</v>
      </c>
      <c r="Q9" s="13">
        <f>P9/10000*M9*H9*(-E9)</f>
        <v>6.5753424657534254E-2</v>
      </c>
      <c r="R9" s="13" t="e">
        <f ca="1">O9+Q9</f>
        <v>#NAME?</v>
      </c>
      <c r="S9" s="14" t="e">
        <f ca="1">R9/H9</f>
        <v>#NAME?</v>
      </c>
      <c r="T9" s="13" t="e">
        <f ca="1">_xll.dnetGBlackScholesNGreeks("delta",$G9,$H9,$I9,$M9,$C$3,$C$4,$N9,$C$4)</f>
        <v>#NAME?</v>
      </c>
      <c r="U9" s="13" t="e">
        <f ca="1">_xll.dnetGBlackScholesNGreeks("vega",$G9,$H9,$I9,$M9,$C$3,$C$4,$N9)</f>
        <v>#NAME?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43123</v>
      </c>
      <c r="K10" s="8">
        <f ca="1">J10+L10</f>
        <v>43153</v>
      </c>
      <c r="L10" s="10">
        <v>30</v>
      </c>
      <c r="M10" s="12">
        <f>L10/365</f>
        <v>8.2191780821917804E-2</v>
      </c>
      <c r="N10" s="9">
        <v>0.3</v>
      </c>
      <c r="O10" s="13" t="e">
        <f ca="1">_xll.dnetGBlackScholesNGreeks("price",$G10,$H10,$I10,$M10,$C$3,$C$4,$N10)</f>
        <v>#NAME?</v>
      </c>
      <c r="P10" s="15">
        <v>80</v>
      </c>
      <c r="Q10" s="13">
        <f>P10/10000*M10*H10*(-E10)</f>
        <v>6.5753424657534254E-2</v>
      </c>
      <c r="R10" s="13" t="e">
        <f ca="1">O10+Q10</f>
        <v>#NAME?</v>
      </c>
      <c r="S10" s="14" t="e">
        <f ca="1">R10/H10</f>
        <v>#NAME?</v>
      </c>
      <c r="T10" s="13" t="e">
        <f ca="1">_xll.dnetGBlackScholesNGreeks("delta",$G10,$H10,$I10,$M10,$C$3,$C$4,$N10,$C$4)</f>
        <v>#NAME?</v>
      </c>
      <c r="U10" s="13" t="e">
        <f ca="1">_xll.dnetGBlackScholesNGreeks("vega",$G10,$H10,$I10,$M10,$C$3,$C$4,$N10)</f>
        <v>#NAME?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2018-01-23T13:16:47Z</dcterms:modified>
</cp:coreProperties>
</file>