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 tabRatio="602" activeTab="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N40" i="2" l="1"/>
  <c r="D13" i="9" l="1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R26" i="1"/>
  <c r="I26" i="1"/>
  <c r="E26" i="1"/>
  <c r="F26" i="1" s="1"/>
  <c r="R25" i="1"/>
  <c r="I25" i="1"/>
  <c r="E25" i="1"/>
  <c r="F25" i="1" s="1"/>
  <c r="R24" i="1"/>
  <c r="I24" i="1"/>
  <c r="E24" i="1"/>
  <c r="F24" i="1" s="1"/>
  <c r="R23" i="1"/>
  <c r="I23" i="1"/>
  <c r="E23" i="1"/>
  <c r="F23" i="1" s="1"/>
  <c r="P25" i="1"/>
  <c r="P23" i="1"/>
  <c r="L25" i="1"/>
  <c r="P26" i="1"/>
  <c r="P24" i="1"/>
  <c r="L23" i="1"/>
  <c r="P13" i="9" l="1"/>
  <c r="N13" i="9" s="1"/>
  <c r="N24" i="1"/>
  <c r="N26" i="1"/>
  <c r="N23" i="1"/>
  <c r="O23" i="1" s="1"/>
  <c r="T23" i="1" s="1"/>
  <c r="N25" i="1"/>
  <c r="O25" i="1" s="1"/>
  <c r="T25" i="1" s="1"/>
  <c r="L24" i="1"/>
  <c r="U25" i="1"/>
  <c r="L26" i="1"/>
  <c r="V26" i="1"/>
  <c r="V23" i="1"/>
  <c r="U23" i="1"/>
  <c r="V25" i="1"/>
  <c r="U24" i="1"/>
  <c r="U26" i="1"/>
  <c r="V24" i="1"/>
  <c r="O26" i="1" l="1"/>
  <c r="T26" i="1" s="1"/>
  <c r="O24" i="1"/>
  <c r="T24" i="1" s="1"/>
  <c r="X26" i="1"/>
  <c r="X25" i="1"/>
  <c r="X24" i="1"/>
  <c r="X23" i="1"/>
  <c r="R21" i="1" l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I17" i="1"/>
  <c r="I16" i="1"/>
  <c r="R17" i="1"/>
  <c r="E17" i="1"/>
  <c r="F17" i="1" s="1"/>
  <c r="R16" i="1"/>
  <c r="E16" i="1"/>
  <c r="F16" i="1" s="1"/>
  <c r="P20" i="1"/>
  <c r="L20" i="1"/>
  <c r="P16" i="1"/>
  <c r="P18" i="1"/>
  <c r="P19" i="1"/>
  <c r="L19" i="1" s="1"/>
  <c r="P21" i="1"/>
  <c r="U16" i="1"/>
  <c r="P17" i="1"/>
  <c r="U19" i="1"/>
  <c r="V16" i="1"/>
  <c r="L16" i="1"/>
  <c r="L21" i="1"/>
  <c r="X16" i="1" l="1"/>
  <c r="X19" i="1"/>
  <c r="N18" i="1"/>
  <c r="N21" i="1"/>
  <c r="O21" i="1" s="1"/>
  <c r="T21" i="1" s="1"/>
  <c r="N19" i="1"/>
  <c r="O19" i="1" s="1"/>
  <c r="T19" i="1" s="1"/>
  <c r="N20" i="1"/>
  <c r="O20" i="1" s="1"/>
  <c r="T20" i="1" s="1"/>
  <c r="N17" i="1"/>
  <c r="N16" i="1"/>
  <c r="O16" i="1" s="1"/>
  <c r="T16" i="1" s="1"/>
  <c r="I13" i="1"/>
  <c r="R13" i="1"/>
  <c r="E13" i="1"/>
  <c r="F13" i="1" s="1"/>
  <c r="L17" i="1"/>
  <c r="V17" i="1"/>
  <c r="P13" i="1"/>
  <c r="L18" i="1"/>
  <c r="U20" i="1"/>
  <c r="U18" i="1"/>
  <c r="V21" i="1"/>
  <c r="V19" i="1"/>
  <c r="V20" i="1"/>
  <c r="U21" i="1"/>
  <c r="V18" i="1"/>
  <c r="U17" i="1"/>
  <c r="V13" i="1"/>
  <c r="O18" i="1" l="1"/>
  <c r="T18" i="1" s="1"/>
  <c r="O17" i="1"/>
  <c r="T17" i="1" s="1"/>
  <c r="X17" i="1"/>
  <c r="X18" i="1"/>
  <c r="X21" i="1"/>
  <c r="X20" i="1"/>
  <c r="N13" i="1"/>
  <c r="I40" i="2"/>
  <c r="U13" i="1"/>
  <c r="L13" i="1"/>
  <c r="X13" i="1" l="1"/>
  <c r="O13" i="1"/>
  <c r="T13" i="1" s="1"/>
  <c r="R11" i="1" l="1"/>
  <c r="I11" i="1"/>
  <c r="N11" i="1" s="1"/>
  <c r="E11" i="1"/>
  <c r="F11" i="1" s="1"/>
  <c r="N10" i="1"/>
  <c r="L11" i="1"/>
  <c r="O11" i="1" l="1"/>
  <c r="T11" i="1" s="1"/>
  <c r="V11" i="1"/>
  <c r="U11" i="1"/>
  <c r="X11" i="1" l="1"/>
  <c r="I9" i="1" l="1"/>
  <c r="R9" i="1"/>
  <c r="E9" i="1"/>
  <c r="F9" i="1" s="1"/>
  <c r="P9" i="1"/>
  <c r="N9" i="1" l="1"/>
  <c r="L9" i="1"/>
  <c r="V9" i="1"/>
  <c r="U9" i="1"/>
  <c r="O9" i="1" l="1"/>
  <c r="T9" i="1" s="1"/>
  <c r="X9" i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V9" i="9"/>
  <c r="L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T10" i="7"/>
  <c r="H8" i="7"/>
  <c r="O9" i="7"/>
  <c r="U9" i="7"/>
  <c r="H8" i="8"/>
  <c r="K9" i="8"/>
  <c r="U10" i="7"/>
  <c r="T9" i="7"/>
  <c r="U8" i="8" l="1"/>
  <c r="Q9" i="7"/>
  <c r="R9" i="7" s="1"/>
  <c r="S9" i="7" s="1"/>
  <c r="Q10" i="7"/>
  <c r="R10" i="7" s="1"/>
  <c r="S10" i="7" s="1"/>
  <c r="Q8" i="7"/>
  <c r="T8" i="7"/>
  <c r="S9" i="8"/>
  <c r="O8" i="7"/>
  <c r="K8" i="8"/>
  <c r="U8" i="7"/>
  <c r="X9" i="8"/>
  <c r="Y9" i="8"/>
  <c r="V9" i="8" l="1"/>
  <c r="W9" i="8" s="1"/>
  <c r="R8" i="7"/>
  <c r="S8" i="7" s="1"/>
  <c r="X8" i="8"/>
  <c r="Y8" i="8"/>
  <c r="S8" i="8"/>
  <c r="V8" i="8" l="1"/>
  <c r="W8" i="8" s="1"/>
  <c r="R8" i="1"/>
  <c r="I8" i="1" l="1"/>
  <c r="E8" i="1"/>
  <c r="F8" i="1" s="1"/>
  <c r="N8" i="1" l="1"/>
  <c r="U8" i="1"/>
  <c r="L8" i="1"/>
  <c r="V8" i="1"/>
  <c r="O8" i="1" l="1"/>
  <c r="T8" i="1" s="1"/>
  <c r="G12" i="9" l="1"/>
  <c r="G13" i="9" s="1"/>
  <c r="L11" i="9"/>
  <c r="V11" i="9"/>
  <c r="L12" i="9"/>
  <c r="V12" i="9"/>
  <c r="U11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<sst xmlns="http://schemas.openxmlformats.org/spreadsheetml/2006/main" count="1334" uniqueCount="248">
  <si>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</si>
  <si>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</si>
  <si>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</si>
  <si>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</si>
  <si>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</si>
  <si>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</si>
  <si>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</si>
  <si>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</si>
  <si>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</si>
  <si>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</si>
  <si>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</si>
  <si>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</si>
  <si>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</si>
  <si>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</si>
  <si>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</si>
  <si>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</si>
  <si>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</si>
  <si>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</si>
  <si>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</si>
  <si>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</si>
  <si>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</si>
  <si>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</si>
  <si>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</si>
  <si>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</si>
  <si>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</si>
  <si>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</si>
  <si>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</si>
  <si>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</si>
  <si>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</si>
  <si>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</si>
  <si>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</si>
  <si>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</si>
  <si>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</si>
  <si>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</si>
  <si>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</si>
  <si>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</si>
  <si>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</si>
  <si>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</si>
  <si>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</si>
  <si>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</si>
  <si>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</si>
  <si>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</si>
  <si>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</si>
  <si>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</si>
  <si>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</si>
  <si>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</si>
  <si>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</si>
  <si>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</si>
  <si>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</si>
  <si>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</si>
  <si>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</si>
  <si>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</si>
  <si>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</si>
  <si>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</si>
  <si>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</si>
  <si>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</si>
  <si>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</si>
  <si>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</si>
  <si>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</si>
  <si>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</si>
  <si>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</si>
  <si>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</si>
  <si>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</si>
  <si>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</si>
  <si>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</si>
  <si>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</si>
  <si>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</si>
  <si>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</si>
  <si>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</si>
  <si>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</si>
  <si>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</si>
  <si>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</si>
  <si>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</si>
  <si>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</si>
  <si>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</si>
  <si>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</si>
  <si>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</si>
  <si>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</si>
  <si>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</si>
  <si>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</si>
  <si>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</si>
  <si>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</si>
  <si>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</si>
  <si>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</si>
  <si>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</si>
  <si>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</si>
  <si>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</si>
  <si>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</si>
  <si>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</si>
  <si>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</si>
  <si>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</si>
  <si>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</si>
  <si>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</si>
  <si>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</si>
  <si>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</si>
  <si>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</si>
  <si>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</si>
  <si>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</si>
  <si>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</si>
  <si>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</si>
  <si>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</si>
  <si>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</si>
  <si>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</si>
  <si>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</si>
  <si>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</si>
  <si>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</si>
  <si>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</si>
  <si>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</si>
  <si>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</si>
  <si>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</si>
  <si>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</si>
  <si>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</si>
  <si>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</si>
  <si>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</si>
  <si>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</si>
  <si>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</si>
  <si>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</si>
  <si>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</si>
  <si>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</si>
  <si>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</si>
  <si>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</si>
  <si>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</si>
  <si>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</si>
  <si>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</si>
  <si>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</si>
  <si>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</si>
  <si>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</si>
  <si>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</si>
  <si>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</si>
  <si>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</si>
  <si>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</si>
  <si>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</si>
  <si>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</si>
  <si>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</si>
  <si>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</si>
  <si>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</si>
  <si>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</si>
  <si>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</si>
  <si>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</si>
  <si>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</si>
  <si>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</si>
  <si>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</si>
  <si>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</si>
  <si>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</si>
  <si>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</si>
  <si>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</si>
  <si>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</si>
  <si>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</si>
  <si>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</si>
  <si>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</si>
  <si>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</si>
  <si>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</si>
  <si>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</si>
  <si>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</si>
  <si>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</si>
  <si>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</si>
  <si>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</si>
  <si>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</si>
  <si>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</si>
  <si>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</si>
  <si>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</si>
  <si>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</si>
  <si>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</si>
  <si>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</si>
  <si>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</si>
  <si>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</si>
  <si>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</si>
  <si>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</si>
  <si>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</si>
  <si>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</si>
  <si>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</si>
  <si>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</si>
  <si>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</si>
  <si>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</si>
  <si>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</si>
  <si>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</si>
  <si>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</si>
  <si>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</si>
  <si>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</si>
  <si>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</si>
  <si>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</si>
  <si>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</si>
  <si>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</si>
  <si>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</si>
  <si>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</si>
  <si>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</si>
  <si>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</si>
  <si>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</si>
  <si>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</si>
  <si>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</si>
  <si>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</si>
  <si>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</si>
  <si>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</si>
  <si>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</si>
  <si>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</si>
  <si>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</si>
  <si>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</si>
  <si>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</si>
  <si>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</si>
  <si>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</si>
  <si>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</si>
  <si>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</si>
  <si>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</si>
  <si>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</si>
  <si>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</si>
  <si>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</si>
  <si>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</si>
  <si>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</si>
  <si>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</si>
  <si>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</si>
  <si>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</si>
  <si>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</si>
  <si>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</si>
  <si>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</si>
  <si>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</si>
  <si>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</si>
  <si>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</si>
  <si>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</si>
  <si>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</si>
  <si>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</si>
  <si>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</si>
  <si>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</si>
  <si>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pb1807</t>
  </si>
  <si>
    <t>13500|14300</t>
  </si>
  <si>
    <t>客户支付</t>
    <phoneticPr fontId="1" type="noConversion"/>
  </si>
  <si>
    <t>ma901</t>
  </si>
  <si>
    <t>bu1812</t>
  </si>
  <si>
    <t>成交回报 - rr1</t>
    <phoneticPr fontId="1" type="noConversion"/>
  </si>
  <si>
    <t>i1805</t>
  </si>
  <si>
    <t>Example</t>
    <phoneticPr fontId="1" type="noConversion"/>
  </si>
  <si>
    <t>rb1810</t>
    <phoneticPr fontId="1" type="noConversion"/>
  </si>
  <si>
    <t>Example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</si>
  <si>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</si>
  <si>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</si>
  <si>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</si>
  <si>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Example</t>
    <phoneticPr fontId="1" type="noConversion"/>
  </si>
  <si>
    <t>RMB</t>
  </si>
  <si>
    <t>Example</t>
    <phoneticPr fontId="1" type="noConversion"/>
  </si>
  <si>
    <t>rb1901</t>
  </si>
  <si>
    <t>al1809</t>
  </si>
  <si>
    <t>al1809</t>
    <phoneticPr fontId="1" type="noConversion"/>
  </si>
  <si>
    <t xml:space="preserve"> </t>
    <phoneticPr fontId="1" type="noConversion"/>
  </si>
  <si>
    <t>rb1810</t>
    <phoneticPr fontId="1" type="noConversion"/>
  </si>
  <si>
    <t xml:space="preserve">   看跌期权 </t>
    <phoneticPr fontId="1" type="noConversion"/>
  </si>
  <si>
    <t>430|480</t>
  </si>
  <si>
    <t>客户支付</t>
    <phoneticPr fontId="1" type="noConversion"/>
  </si>
  <si>
    <t>天物国际</t>
  </si>
  <si>
    <t xml:space="preserve">    看跌期权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</si>
</sst>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4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180" fontId="12" fillId="9" borderId="6" xfId="0" applyNumberFormat="1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al1809</stp>
        <stp>LastPrice</stp>
        <tr r="P13" s="1"/>
      </tp>
      <tp t="e">
        <v>#N/A</v>
        <stp/>
        <stp>al1808</stp>
        <stp>LastPrice</stp>
        <tr r="P9" s="1"/>
      </tp>
      <tp t="e">
        <v>#N/A</v>
        <stp/>
        <stp>i1809</stp>
        <stp>LastPrice</stp>
        <tr r="P11" s="9"/>
      </tp>
      <tp t="e">
        <v>#N/A</v>
        <stp/>
        <stp>rb1810</stp>
        <stp>LastPrice</stp>
        <tr r="P17" s="1"/>
        <tr r="P21" s="1"/>
        <tr r="P19" s="1"/>
        <tr r="P18" s="1"/>
        <tr r="P16" s="1"/>
        <tr r="P20" s="1"/>
        <tr r="P24" s="1"/>
        <tr r="P26" s="1"/>
        <tr r="P23" s="1"/>
        <tr r="P25" s="1"/>
      </tp>
      <tp t="e">
        <v>#N/A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112"/>
  <sheetViews>
    <sheetView topLeftCell="A82" zoomScaleNormal="100" workbookViewId="0">
      <selection activeCell="V112" sqref="V112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8" t="s">
        <v>158</v>
      </c>
      <c r="C1" s="118"/>
      <c r="D1" s="118"/>
    </row>
    <row r="2" spans="2:18" ht="12" thickTop="1" x14ac:dyDescent="0.15"/>
    <row r="3" spans="2:18" ht="13.5" x14ac:dyDescent="0.15">
      <c r="I3" s="115" t="s">
        <v>202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43119</v>
      </c>
      <c r="E9" s="93">
        <v>43189</v>
      </c>
      <c r="F9" s="92">
        <v>3650</v>
      </c>
      <c r="G9" s="92">
        <v>70</v>
      </c>
      <c r="H9" s="92">
        <v>0.17808219178082191</v>
      </c>
      <c r="I9" s="92">
        <v>0</v>
      </c>
      <c r="J9" s="92">
        <v>0.19</v>
      </c>
      <c r="K9" s="92">
        <v>82.749480015912013</v>
      </c>
      <c r="L9" s="92"/>
      <c r="M9" s="92">
        <v>0</v>
      </c>
      <c r="N9" s="99">
        <v>82.749480015912013</v>
      </c>
      <c r="O9" s="92">
        <v>3728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43119</v>
      </c>
      <c r="E10" s="93">
        <v>43189</v>
      </c>
      <c r="F10" s="92">
        <v>3700</v>
      </c>
      <c r="G10" s="92">
        <v>70</v>
      </c>
      <c r="H10" s="92">
        <v>0.17808219178082191</v>
      </c>
      <c r="I10" s="92">
        <v>0</v>
      </c>
      <c r="J10" s="92">
        <v>0.19</v>
      </c>
      <c r="K10" s="92">
        <v>104.91801880194794</v>
      </c>
      <c r="L10" s="92"/>
      <c r="M10" s="92">
        <v>0</v>
      </c>
      <c r="N10" s="99">
        <v>104.91801880194794</v>
      </c>
      <c r="O10" s="92">
        <v>3728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43119</v>
      </c>
      <c r="E11" s="93">
        <v>43189</v>
      </c>
      <c r="F11" s="92">
        <v>3750</v>
      </c>
      <c r="G11" s="92">
        <v>70</v>
      </c>
      <c r="H11" s="92">
        <v>0.17808219178082191</v>
      </c>
      <c r="I11" s="92">
        <v>0</v>
      </c>
      <c r="J11" s="92">
        <v>0.19</v>
      </c>
      <c r="K11" s="92">
        <v>130.42375876594815</v>
      </c>
      <c r="L11" s="92"/>
      <c r="M11" s="92">
        <v>0</v>
      </c>
      <c r="N11" s="99">
        <v>130.42375876594815</v>
      </c>
      <c r="O11" s="92">
        <v>3728</v>
      </c>
      <c r="P11" s="92" t="s">
        <v>85</v>
      </c>
      <c r="Q11" s="92">
        <v>1</v>
      </c>
      <c r="R11" s="92" t="s">
        <v>151</v>
      </c>
    </row>
    <row r="12" spans="2:18" x14ac:dyDescent="0.15">
      <c r="B12" s="92"/>
      <c r="C12" s="92"/>
      <c r="D12" s="93"/>
      <c r="E12" s="93"/>
      <c r="F12" s="92"/>
      <c r="G12" s="92"/>
      <c r="H12" s="92"/>
      <c r="I12" s="92"/>
      <c r="J12" s="92"/>
      <c r="K12" s="92"/>
      <c r="L12" s="92"/>
      <c r="M12" s="92"/>
      <c r="N12" s="99"/>
      <c r="O12" s="92"/>
      <c r="P12" s="92"/>
      <c r="Q12" s="92"/>
      <c r="R12" s="92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0" t="s">
        <v>160</v>
      </c>
      <c r="C14" s="110" t="s">
        <v>193</v>
      </c>
      <c r="D14" s="111">
        <v>43172</v>
      </c>
      <c r="E14" s="111">
        <v>43210</v>
      </c>
      <c r="F14" s="110">
        <v>4000</v>
      </c>
      <c r="G14" s="110">
        <v>38</v>
      </c>
      <c r="H14" s="110">
        <v>9.8630136986301367E-2</v>
      </c>
      <c r="I14" s="110">
        <v>0</v>
      </c>
      <c r="J14" s="110">
        <v>0.155</v>
      </c>
      <c r="K14" s="110">
        <v>19.562648233948153</v>
      </c>
      <c r="L14" s="110">
        <v>0</v>
      </c>
      <c r="M14" s="110">
        <v>0</v>
      </c>
      <c r="N14" s="112">
        <v>19.562648233948153</v>
      </c>
      <c r="O14" s="110">
        <v>3831</v>
      </c>
      <c r="P14" s="110" t="s">
        <v>39</v>
      </c>
      <c r="Q14" s="110">
        <v>1</v>
      </c>
      <c r="R14" s="110" t="s">
        <v>151</v>
      </c>
    </row>
    <row r="15" spans="2:18" x14ac:dyDescent="0.15">
      <c r="B15" s="110" t="s">
        <v>160</v>
      </c>
      <c r="C15" s="110" t="s">
        <v>193</v>
      </c>
      <c r="D15" s="111">
        <v>43172</v>
      </c>
      <c r="E15" s="111">
        <v>43210</v>
      </c>
      <c r="F15" s="110">
        <v>3950</v>
      </c>
      <c r="G15" s="110">
        <v>38</v>
      </c>
      <c r="H15" s="110">
        <v>9.8630136986301367E-2</v>
      </c>
      <c r="I15" s="110">
        <v>0</v>
      </c>
      <c r="J15" s="110">
        <v>0.155</v>
      </c>
      <c r="K15" s="110">
        <v>30.425281860261634</v>
      </c>
      <c r="L15" s="110">
        <v>0</v>
      </c>
      <c r="M15" s="110">
        <v>0</v>
      </c>
      <c r="N15" s="112">
        <v>30.425281860261634</v>
      </c>
      <c r="O15" s="110">
        <v>3831</v>
      </c>
      <c r="P15" s="110" t="s">
        <v>39</v>
      </c>
      <c r="Q15" s="110">
        <v>1</v>
      </c>
      <c r="R15" s="110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0" t="s">
        <v>160</v>
      </c>
      <c r="C17" s="110" t="s">
        <v>203</v>
      </c>
      <c r="D17" s="111">
        <v>43172</v>
      </c>
      <c r="E17" s="111">
        <v>43262</v>
      </c>
      <c r="F17" s="110">
        <v>12500</v>
      </c>
      <c r="G17" s="110">
        <v>90</v>
      </c>
      <c r="H17" s="110">
        <v>0.24657534246575341</v>
      </c>
      <c r="I17" s="110">
        <v>0</v>
      </c>
      <c r="J17" s="110">
        <v>0.19</v>
      </c>
      <c r="K17" s="110">
        <v>-68.407402851303004</v>
      </c>
      <c r="L17" s="110">
        <v>0</v>
      </c>
      <c r="M17" s="110">
        <v>0</v>
      </c>
      <c r="N17" s="112">
        <v>68.407402851303004</v>
      </c>
      <c r="O17" s="110">
        <v>14010</v>
      </c>
      <c r="P17" s="110" t="s">
        <v>85</v>
      </c>
      <c r="Q17" s="110">
        <v>-1</v>
      </c>
      <c r="R17" s="110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0" t="s">
        <v>160</v>
      </c>
      <c r="C19" s="110" t="s">
        <v>204</v>
      </c>
      <c r="D19" s="111">
        <v>43172</v>
      </c>
      <c r="E19" s="111">
        <v>43203</v>
      </c>
      <c r="F19" s="110">
        <v>8800</v>
      </c>
      <c r="G19" s="110">
        <v>31</v>
      </c>
      <c r="H19" s="110">
        <v>8.4931506849315067E-2</v>
      </c>
      <c r="I19" s="110">
        <v>0</v>
      </c>
      <c r="J19" s="110">
        <v>0.1875</v>
      </c>
      <c r="K19" s="110">
        <v>-236.0723801769891</v>
      </c>
      <c r="L19" s="110">
        <v>70</v>
      </c>
      <c r="M19" s="110">
        <v>5.2805315068493144</v>
      </c>
      <c r="N19" s="112">
        <v>241.35291168383841</v>
      </c>
      <c r="O19" s="110">
        <v>8882</v>
      </c>
      <c r="P19" s="110" t="s">
        <v>39</v>
      </c>
      <c r="Q19" s="110">
        <v>-1</v>
      </c>
      <c r="R19" s="110" t="s">
        <v>20</v>
      </c>
    </row>
    <row r="20" spans="2:18" x14ac:dyDescent="0.15">
      <c r="B20" s="110" t="s">
        <v>160</v>
      </c>
      <c r="C20" s="110" t="s">
        <v>204</v>
      </c>
      <c r="D20" s="111">
        <v>43172</v>
      </c>
      <c r="E20" s="111">
        <v>43203</v>
      </c>
      <c r="F20" s="110">
        <v>8900</v>
      </c>
      <c r="G20" s="110">
        <v>31</v>
      </c>
      <c r="H20" s="110">
        <v>8.4931506849315067E-2</v>
      </c>
      <c r="I20" s="110">
        <v>0</v>
      </c>
      <c r="J20" s="110">
        <v>0.1875</v>
      </c>
      <c r="K20" s="110">
        <v>-184.6140002711727</v>
      </c>
      <c r="L20" s="110">
        <v>70</v>
      </c>
      <c r="M20" s="110">
        <v>5.2805315068493144</v>
      </c>
      <c r="N20" s="112">
        <v>189.89453177802201</v>
      </c>
      <c r="O20" s="110">
        <v>8882</v>
      </c>
      <c r="P20" s="110" t="s">
        <v>39</v>
      </c>
      <c r="Q20" s="110">
        <v>-1</v>
      </c>
      <c r="R20" s="110" t="s">
        <v>20</v>
      </c>
    </row>
    <row r="21" spans="2:18" x14ac:dyDescent="0.15">
      <c r="B21" s="110" t="s">
        <v>160</v>
      </c>
      <c r="C21" s="110" t="s">
        <v>204</v>
      </c>
      <c r="D21" s="111">
        <v>43172</v>
      </c>
      <c r="E21" s="111">
        <v>43203</v>
      </c>
      <c r="F21" s="110">
        <v>9000</v>
      </c>
      <c r="G21" s="110">
        <v>31</v>
      </c>
      <c r="H21" s="110">
        <v>8.4931506849315067E-2</v>
      </c>
      <c r="I21" s="110">
        <v>0</v>
      </c>
      <c r="J21" s="110">
        <v>0.1875</v>
      </c>
      <c r="K21" s="110">
        <v>-141.29988107518739</v>
      </c>
      <c r="L21" s="110">
        <v>70</v>
      </c>
      <c r="M21" s="110">
        <v>5.2805315068493144</v>
      </c>
      <c r="N21" s="112">
        <v>146.5804125820367</v>
      </c>
      <c r="O21" s="110">
        <v>8882</v>
      </c>
      <c r="P21" s="110" t="s">
        <v>39</v>
      </c>
      <c r="Q21" s="110">
        <v>-1</v>
      </c>
      <c r="R21" s="110" t="s">
        <v>20</v>
      </c>
    </row>
    <row r="22" spans="2:18" x14ac:dyDescent="0.15">
      <c r="B22" s="110" t="s">
        <v>160</v>
      </c>
      <c r="C22" s="110" t="s">
        <v>204</v>
      </c>
      <c r="D22" s="111">
        <v>43172</v>
      </c>
      <c r="E22" s="111">
        <v>43203</v>
      </c>
      <c r="F22" s="110">
        <v>9100</v>
      </c>
      <c r="G22" s="110">
        <v>31</v>
      </c>
      <c r="H22" s="110">
        <v>8.4931506849315067E-2</v>
      </c>
      <c r="I22" s="110">
        <v>0</v>
      </c>
      <c r="J22" s="110">
        <v>0.1875</v>
      </c>
      <c r="K22" s="110">
        <v>-105.77307588048689</v>
      </c>
      <c r="L22" s="110">
        <v>70</v>
      </c>
      <c r="M22" s="110">
        <v>5.2805315068493144</v>
      </c>
      <c r="N22" s="112">
        <v>111.0536073873362</v>
      </c>
      <c r="O22" s="110">
        <v>8882</v>
      </c>
      <c r="P22" s="110" t="s">
        <v>39</v>
      </c>
      <c r="Q22" s="110">
        <v>-1</v>
      </c>
      <c r="R22" s="110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0" t="s">
        <v>160</v>
      </c>
      <c r="C24" s="110" t="s">
        <v>203</v>
      </c>
      <c r="D24" s="111">
        <v>43172</v>
      </c>
      <c r="E24" s="111">
        <v>43262</v>
      </c>
      <c r="F24" s="110">
        <v>12000</v>
      </c>
      <c r="G24" s="110">
        <v>90</v>
      </c>
      <c r="H24" s="110">
        <v>0.24657534246575341</v>
      </c>
      <c r="I24" s="110">
        <v>0</v>
      </c>
      <c r="J24" s="110">
        <v>0.18</v>
      </c>
      <c r="K24" s="110">
        <v>-19.455144995082719</v>
      </c>
      <c r="L24" s="110">
        <v>0</v>
      </c>
      <c r="M24" s="110">
        <v>0</v>
      </c>
      <c r="N24" s="112">
        <v>19.455144995082719</v>
      </c>
      <c r="O24" s="110">
        <v>14010</v>
      </c>
      <c r="P24" s="110" t="s">
        <v>85</v>
      </c>
      <c r="Q24" s="110">
        <v>-1</v>
      </c>
      <c r="R24" s="110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0" t="s">
        <v>160</v>
      </c>
      <c r="C27" s="110" t="s">
        <v>185</v>
      </c>
      <c r="D27" s="111">
        <v>43173</v>
      </c>
      <c r="E27" s="111">
        <v>43251</v>
      </c>
      <c r="F27" s="110">
        <v>3500</v>
      </c>
      <c r="G27" s="110">
        <v>78</v>
      </c>
      <c r="H27" s="110">
        <v>0.21369863013698631</v>
      </c>
      <c r="I27" s="110">
        <v>0</v>
      </c>
      <c r="J27" s="110">
        <v>0.22500000000000001</v>
      </c>
      <c r="K27" s="110">
        <v>-101.42329162416991</v>
      </c>
      <c r="L27" s="110">
        <v>0</v>
      </c>
      <c r="M27" s="110">
        <v>0</v>
      </c>
      <c r="N27" s="112">
        <v>101.42329162416991</v>
      </c>
      <c r="O27" s="110">
        <v>3602</v>
      </c>
      <c r="P27" s="110" t="s">
        <v>85</v>
      </c>
      <c r="Q27" s="110">
        <v>-1</v>
      </c>
      <c r="R27" s="110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0" t="s">
        <v>160</v>
      </c>
      <c r="C29" s="110" t="s">
        <v>205</v>
      </c>
      <c r="D29" s="111">
        <v>43173</v>
      </c>
      <c r="E29" s="111">
        <v>43203</v>
      </c>
      <c r="F29" s="110" t="s">
        <v>207</v>
      </c>
      <c r="G29" s="110">
        <v>30</v>
      </c>
      <c r="H29" s="110">
        <v>8.2191780821917804E-2</v>
      </c>
      <c r="I29" s="110"/>
      <c r="J29" s="110"/>
      <c r="K29" s="110">
        <v>0.3660793967580851</v>
      </c>
      <c r="L29" s="110">
        <v>50</v>
      </c>
      <c r="M29" s="110">
        <v>4.1095890410958902E-2</v>
      </c>
      <c r="N29" s="112">
        <v>0.32498350634712619</v>
      </c>
      <c r="O29" s="110">
        <v>100</v>
      </c>
      <c r="P29" s="110"/>
      <c r="Q29" s="110"/>
      <c r="R29" s="110" t="s">
        <v>151</v>
      </c>
    </row>
    <row r="30" spans="2:18" x14ac:dyDescent="0.15">
      <c r="B30" s="110" t="s">
        <v>160</v>
      </c>
      <c r="C30" s="110" t="s">
        <v>205</v>
      </c>
      <c r="D30" s="111">
        <v>43173</v>
      </c>
      <c r="E30" s="111">
        <v>43203</v>
      </c>
      <c r="F30" s="110" t="s">
        <v>208</v>
      </c>
      <c r="G30" s="110">
        <v>30</v>
      </c>
      <c r="H30" s="110">
        <v>8.2191780821917804E-2</v>
      </c>
      <c r="I30" s="110"/>
      <c r="J30" s="110"/>
      <c r="K30" s="110">
        <v>0.49604829188830735</v>
      </c>
      <c r="L30" s="110">
        <v>50</v>
      </c>
      <c r="M30" s="110">
        <v>4.1095890410958902E-2</v>
      </c>
      <c r="N30" s="112">
        <v>0.45495240147734844</v>
      </c>
      <c r="O30" s="110">
        <v>100</v>
      </c>
      <c r="P30" s="110"/>
      <c r="Q30" s="110"/>
      <c r="R30" s="110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0" t="s">
        <v>160</v>
      </c>
      <c r="C32" s="110" t="s">
        <v>209</v>
      </c>
      <c r="D32" s="111">
        <v>43174</v>
      </c>
      <c r="E32" s="111">
        <v>43206</v>
      </c>
      <c r="F32" s="110">
        <v>270</v>
      </c>
      <c r="G32" s="110">
        <v>32</v>
      </c>
      <c r="H32" s="110">
        <v>8.7671232876712329E-2</v>
      </c>
      <c r="I32" s="110">
        <v>0.03</v>
      </c>
      <c r="J32" s="110">
        <v>0.13</v>
      </c>
      <c r="K32" s="110">
        <v>-5.09179079711177</v>
      </c>
      <c r="L32" s="110">
        <v>50</v>
      </c>
      <c r="M32" s="110">
        <v>0.11881643835616439</v>
      </c>
      <c r="N32" s="112">
        <v>5.2106072354679345</v>
      </c>
      <c r="O32" s="110">
        <v>271.05</v>
      </c>
      <c r="P32" s="110" t="s">
        <v>39</v>
      </c>
      <c r="Q32" s="110">
        <v>-1</v>
      </c>
      <c r="R32" s="110" t="s">
        <v>20</v>
      </c>
    </row>
    <row r="33" spans="2:18" x14ac:dyDescent="0.15">
      <c r="B33" s="110" t="s">
        <v>160</v>
      </c>
      <c r="C33" s="110" t="s">
        <v>209</v>
      </c>
      <c r="D33" s="111">
        <v>43174</v>
      </c>
      <c r="E33" s="111">
        <v>43235</v>
      </c>
      <c r="F33" s="110">
        <v>270</v>
      </c>
      <c r="G33" s="110">
        <v>61</v>
      </c>
      <c r="H33" s="110">
        <v>0.16712328767123288</v>
      </c>
      <c r="I33" s="110">
        <v>0.03</v>
      </c>
      <c r="J33" s="110">
        <v>0.13</v>
      </c>
      <c r="K33" s="110">
        <v>-7.0124054757578733</v>
      </c>
      <c r="L33" s="110">
        <v>50</v>
      </c>
      <c r="M33" s="110">
        <v>0.2264938356164384</v>
      </c>
      <c r="N33" s="112">
        <v>7.2388993113743121</v>
      </c>
      <c r="O33" s="110">
        <v>271.05</v>
      </c>
      <c r="P33" s="110" t="s">
        <v>39</v>
      </c>
      <c r="Q33" s="110">
        <v>-1</v>
      </c>
      <c r="R33" s="110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0" t="s">
        <v>160</v>
      </c>
      <c r="C36" s="110" t="s">
        <v>210</v>
      </c>
      <c r="D36" s="111">
        <v>43174</v>
      </c>
      <c r="E36" s="111">
        <v>43206</v>
      </c>
      <c r="F36" s="110">
        <v>9008</v>
      </c>
      <c r="G36" s="110">
        <v>32</v>
      </c>
      <c r="H36" s="110">
        <v>8.7671232876712329E-2</v>
      </c>
      <c r="I36" s="110"/>
      <c r="J36" s="110">
        <v>0.17</v>
      </c>
      <c r="K36" s="110">
        <v>-180.55460609729562</v>
      </c>
      <c r="L36" s="110"/>
      <c r="M36" s="110">
        <v>3.9487123287671233</v>
      </c>
      <c r="N36" s="112">
        <v>184.50331842606275</v>
      </c>
      <c r="O36" s="110">
        <v>9008</v>
      </c>
      <c r="P36" s="110" t="s">
        <v>39</v>
      </c>
      <c r="Q36" s="110">
        <v>-1</v>
      </c>
      <c r="R36" s="110" t="s">
        <v>20</v>
      </c>
    </row>
    <row r="37" spans="2:18" x14ac:dyDescent="0.15">
      <c r="B37" s="110" t="s">
        <v>160</v>
      </c>
      <c r="C37" s="110" t="s">
        <v>210</v>
      </c>
      <c r="D37" s="111">
        <v>43174</v>
      </c>
      <c r="E37" s="111">
        <v>43266</v>
      </c>
      <c r="F37" s="110">
        <v>9008</v>
      </c>
      <c r="G37" s="110">
        <v>92</v>
      </c>
      <c r="H37" s="110">
        <v>0.25205479452054796</v>
      </c>
      <c r="I37" s="110"/>
      <c r="J37" s="110">
        <v>0.18</v>
      </c>
      <c r="K37" s="110">
        <v>-323.01400365912923</v>
      </c>
      <c r="L37" s="110"/>
      <c r="M37" s="110">
        <v>11.35254794520548</v>
      </c>
      <c r="N37" s="112">
        <v>334.36655160433469</v>
      </c>
      <c r="O37" s="110">
        <v>9008</v>
      </c>
      <c r="P37" s="110" t="s">
        <v>39</v>
      </c>
      <c r="Q37" s="110">
        <v>-1</v>
      </c>
      <c r="R37" s="110" t="s">
        <v>20</v>
      </c>
    </row>
    <row r="38" spans="2:18" x14ac:dyDescent="0.15">
      <c r="B38" s="110" t="s">
        <v>160</v>
      </c>
      <c r="C38" s="110" t="s">
        <v>210</v>
      </c>
      <c r="D38" s="111">
        <v>43174</v>
      </c>
      <c r="E38" s="111">
        <v>43327</v>
      </c>
      <c r="F38" s="110">
        <v>9008</v>
      </c>
      <c r="G38" s="110">
        <v>153</v>
      </c>
      <c r="H38" s="110">
        <v>0.41917808219178082</v>
      </c>
      <c r="I38" s="110"/>
      <c r="J38" s="110">
        <v>0.19</v>
      </c>
      <c r="K38" s="110">
        <v>-438.10340978749991</v>
      </c>
      <c r="L38" s="110"/>
      <c r="M38" s="110">
        <v>0</v>
      </c>
      <c r="N38" s="112">
        <v>438.10340978749991</v>
      </c>
      <c r="O38" s="110">
        <v>9008</v>
      </c>
      <c r="P38" s="110" t="s">
        <v>39</v>
      </c>
      <c r="Q38" s="110">
        <v>-1</v>
      </c>
      <c r="R38" s="110" t="s">
        <v>20</v>
      </c>
    </row>
    <row r="39" spans="2:18" x14ac:dyDescent="0.15">
      <c r="B39" s="110" t="s">
        <v>160</v>
      </c>
      <c r="C39" s="110" t="s">
        <v>211</v>
      </c>
      <c r="D39" s="111">
        <v>43174</v>
      </c>
      <c r="E39" s="111">
        <v>43206</v>
      </c>
      <c r="F39" s="110">
        <v>53180</v>
      </c>
      <c r="G39" s="110">
        <v>32</v>
      </c>
      <c r="H39" s="110">
        <v>8.7671232876712329E-2</v>
      </c>
      <c r="I39" s="110"/>
      <c r="J39" s="110">
        <v>0.18</v>
      </c>
      <c r="K39" s="110">
        <v>-1128.6169261420218</v>
      </c>
      <c r="L39" s="110"/>
      <c r="M39" s="110">
        <v>0</v>
      </c>
      <c r="N39" s="112">
        <v>1128.6169261420218</v>
      </c>
      <c r="O39" s="110">
        <v>53180</v>
      </c>
      <c r="P39" s="110" t="s">
        <v>39</v>
      </c>
      <c r="Q39" s="110">
        <v>-1</v>
      </c>
      <c r="R39" s="110" t="s">
        <v>20</v>
      </c>
    </row>
    <row r="40" spans="2:18" x14ac:dyDescent="0.15">
      <c r="B40" s="110" t="s">
        <v>160</v>
      </c>
      <c r="C40" s="110" t="s">
        <v>211</v>
      </c>
      <c r="D40" s="111">
        <v>43174</v>
      </c>
      <c r="E40" s="111">
        <v>43266</v>
      </c>
      <c r="F40" s="110">
        <v>53180</v>
      </c>
      <c r="G40" s="110">
        <v>92</v>
      </c>
      <c r="H40" s="110">
        <v>0.25205479452054796</v>
      </c>
      <c r="I40" s="110"/>
      <c r="J40" s="110">
        <v>0.19</v>
      </c>
      <c r="K40" s="110">
        <v>-2012.822743117471</v>
      </c>
      <c r="L40" s="110"/>
      <c r="M40" s="110">
        <v>0</v>
      </c>
      <c r="N40" s="112">
        <v>2012.822743117471</v>
      </c>
      <c r="O40" s="110">
        <v>53180</v>
      </c>
      <c r="P40" s="110" t="s">
        <v>39</v>
      </c>
      <c r="Q40" s="110">
        <v>-1</v>
      </c>
      <c r="R40" s="110" t="s">
        <v>20</v>
      </c>
    </row>
    <row r="41" spans="2:18" x14ac:dyDescent="0.15">
      <c r="B41" s="110" t="s">
        <v>160</v>
      </c>
      <c r="C41" s="110" t="s">
        <v>211</v>
      </c>
      <c r="D41" s="111">
        <v>43174</v>
      </c>
      <c r="E41" s="111">
        <v>43357</v>
      </c>
      <c r="F41" s="110">
        <v>53180</v>
      </c>
      <c r="G41" s="110">
        <v>183</v>
      </c>
      <c r="H41" s="110">
        <v>0.50136986301369868</v>
      </c>
      <c r="I41" s="110"/>
      <c r="J41" s="110">
        <v>0.19</v>
      </c>
      <c r="K41" s="110">
        <v>-2823.6368912623439</v>
      </c>
      <c r="L41" s="110"/>
      <c r="M41" s="110">
        <v>0</v>
      </c>
      <c r="N41" s="112">
        <v>2823.6368912623439</v>
      </c>
      <c r="O41" s="110">
        <v>53180</v>
      </c>
      <c r="P41" s="110" t="s">
        <v>39</v>
      </c>
      <c r="Q41" s="110">
        <v>-1</v>
      </c>
      <c r="R41" s="110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0" t="s">
        <v>160</v>
      </c>
      <c r="C44" s="110" t="s">
        <v>212</v>
      </c>
      <c r="D44" s="111">
        <v>43180</v>
      </c>
      <c r="E44" s="111">
        <v>43210</v>
      </c>
      <c r="F44" s="110" t="s">
        <v>213</v>
      </c>
      <c r="G44" s="110">
        <v>30</v>
      </c>
      <c r="H44" s="110">
        <v>8.2191780821917804E-2</v>
      </c>
      <c r="I44" s="110"/>
      <c r="J44" s="110"/>
      <c r="K44" s="110">
        <v>4.0213531114102352</v>
      </c>
      <c r="L44" s="110"/>
      <c r="M44" s="110">
        <v>0</v>
      </c>
      <c r="N44" s="112">
        <v>2</v>
      </c>
      <c r="O44" s="110">
        <v>7546</v>
      </c>
      <c r="P44" s="110" t="s">
        <v>215</v>
      </c>
      <c r="Q44" s="110"/>
      <c r="R44" s="110" t="s">
        <v>214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0" t="s">
        <v>160</v>
      </c>
      <c r="C46" s="110" t="s">
        <v>212</v>
      </c>
      <c r="D46" s="111">
        <v>43180</v>
      </c>
      <c r="E46" s="111">
        <v>43210</v>
      </c>
      <c r="F46" s="110">
        <v>8000</v>
      </c>
      <c r="G46" s="110">
        <v>30</v>
      </c>
      <c r="H46" s="110">
        <v>8.2191780821917804E-2</v>
      </c>
      <c r="I46" s="110">
        <v>0</v>
      </c>
      <c r="J46" s="110">
        <v>0.28000000000000003</v>
      </c>
      <c r="K46" s="110">
        <v>-538.06728507396292</v>
      </c>
      <c r="L46" s="110">
        <v>0</v>
      </c>
      <c r="M46" s="110">
        <v>0</v>
      </c>
      <c r="N46" s="112">
        <v>538.06728507396292</v>
      </c>
      <c r="O46" s="110">
        <v>7546</v>
      </c>
      <c r="P46" s="110" t="s">
        <v>85</v>
      </c>
      <c r="Q46" s="110">
        <v>-1</v>
      </c>
      <c r="R46" s="110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0" t="s">
        <v>160</v>
      </c>
      <c r="C48" s="110" t="s">
        <v>185</v>
      </c>
      <c r="D48" s="111">
        <v>43180</v>
      </c>
      <c r="E48" s="111">
        <v>43240</v>
      </c>
      <c r="F48" s="110">
        <v>3700</v>
      </c>
      <c r="G48" s="110">
        <v>60</v>
      </c>
      <c r="H48" s="110">
        <v>0.16438356164383561</v>
      </c>
      <c r="I48" s="110">
        <v>0</v>
      </c>
      <c r="J48" s="110">
        <v>0.24</v>
      </c>
      <c r="K48" s="110">
        <v>-47.657830005467872</v>
      </c>
      <c r="L48" s="110">
        <v>70</v>
      </c>
      <c r="M48" s="110">
        <v>3.9687123287671229</v>
      </c>
      <c r="N48" s="112">
        <v>51.626542334234998</v>
      </c>
      <c r="O48" s="110">
        <v>3449</v>
      </c>
      <c r="P48" s="110" t="s">
        <v>24</v>
      </c>
      <c r="Q48" s="110">
        <v>-1</v>
      </c>
      <c r="R48" s="110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0" t="s">
        <v>160</v>
      </c>
      <c r="C50" s="110" t="s">
        <v>185</v>
      </c>
      <c r="D50" s="111">
        <v>43180</v>
      </c>
      <c r="E50" s="111">
        <v>43240</v>
      </c>
      <c r="F50" s="110" t="s">
        <v>216</v>
      </c>
      <c r="G50" s="110">
        <v>60</v>
      </c>
      <c r="H50" s="110">
        <v>0.16438356164383561</v>
      </c>
      <c r="I50" s="110"/>
      <c r="J50" s="110"/>
      <c r="K50" s="110">
        <v>60.818821543176568</v>
      </c>
      <c r="L50" s="110">
        <v>50</v>
      </c>
      <c r="M50" s="110">
        <v>2.8364383561643836</v>
      </c>
      <c r="N50" s="112">
        <v>55</v>
      </c>
      <c r="O50" s="110">
        <v>3451</v>
      </c>
      <c r="P50" s="110" t="s">
        <v>215</v>
      </c>
      <c r="Q50" s="110"/>
      <c r="R50" s="110" t="s">
        <v>214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0" t="s">
        <v>160</v>
      </c>
      <c r="C53" s="110" t="s">
        <v>217</v>
      </c>
      <c r="D53" s="111">
        <v>43181</v>
      </c>
      <c r="E53" s="111">
        <v>43235</v>
      </c>
      <c r="F53" s="110">
        <v>13000</v>
      </c>
      <c r="G53" s="110">
        <v>54</v>
      </c>
      <c r="H53" s="110">
        <v>0.13698630136986301</v>
      </c>
      <c r="I53" s="110">
        <v>0</v>
      </c>
      <c r="J53" s="110">
        <v>0.115</v>
      </c>
      <c r="K53" s="110">
        <v>7.2172698545535354</v>
      </c>
      <c r="L53" s="110"/>
      <c r="M53" s="110">
        <v>0</v>
      </c>
      <c r="N53" s="112">
        <v>7.2172698545535354</v>
      </c>
      <c r="O53" s="110">
        <v>14065</v>
      </c>
      <c r="P53" s="110" t="s">
        <v>85</v>
      </c>
      <c r="Q53" s="110">
        <v>1</v>
      </c>
      <c r="R53" s="110" t="s">
        <v>151</v>
      </c>
    </row>
    <row r="54" spans="2:19" x14ac:dyDescent="0.15">
      <c r="B54" s="110" t="s">
        <v>160</v>
      </c>
      <c r="C54" s="110" t="s">
        <v>217</v>
      </c>
      <c r="D54" s="111">
        <v>43181</v>
      </c>
      <c r="E54" s="111">
        <v>43235</v>
      </c>
      <c r="F54" s="110">
        <v>13200</v>
      </c>
      <c r="G54" s="110">
        <v>54</v>
      </c>
      <c r="H54" s="110">
        <v>0.13698630136986301</v>
      </c>
      <c r="I54" s="110">
        <v>0</v>
      </c>
      <c r="J54" s="110">
        <v>0.115</v>
      </c>
      <c r="K54" s="110">
        <v>17.288290660645657</v>
      </c>
      <c r="L54" s="110"/>
      <c r="M54" s="110">
        <v>0</v>
      </c>
      <c r="N54" s="112">
        <v>17.288290660645657</v>
      </c>
      <c r="O54" s="110">
        <v>14065</v>
      </c>
      <c r="P54" s="110" t="s">
        <v>85</v>
      </c>
      <c r="Q54" s="110">
        <v>1</v>
      </c>
      <c r="R54" s="110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0" t="s">
        <v>160</v>
      </c>
      <c r="C56" s="110" t="s">
        <v>217</v>
      </c>
      <c r="D56" s="111">
        <v>43181</v>
      </c>
      <c r="E56" s="111">
        <v>43215</v>
      </c>
      <c r="F56" s="110">
        <v>13200</v>
      </c>
      <c r="G56" s="110">
        <v>34</v>
      </c>
      <c r="H56" s="110">
        <v>8.7671232876712329E-2</v>
      </c>
      <c r="I56" s="110">
        <v>0</v>
      </c>
      <c r="J56" s="110">
        <v>0.115</v>
      </c>
      <c r="K56" s="110">
        <v>5.6172742910379156</v>
      </c>
      <c r="L56" s="110"/>
      <c r="M56" s="110">
        <v>0</v>
      </c>
      <c r="N56" s="112">
        <v>5.6172742910379156</v>
      </c>
      <c r="O56" s="110">
        <v>14065</v>
      </c>
      <c r="P56" s="110" t="s">
        <v>85</v>
      </c>
      <c r="Q56" s="110">
        <v>1</v>
      </c>
      <c r="R56" s="110" t="s">
        <v>151</v>
      </c>
    </row>
    <row r="57" spans="2:19" x14ac:dyDescent="0.15">
      <c r="B57" s="110" t="s">
        <v>160</v>
      </c>
      <c r="C57" s="110" t="s">
        <v>217</v>
      </c>
      <c r="D57" s="111">
        <v>43181</v>
      </c>
      <c r="E57" s="111">
        <v>43245</v>
      </c>
      <c r="F57" s="110">
        <v>12800</v>
      </c>
      <c r="G57" s="110">
        <v>64</v>
      </c>
      <c r="H57" s="110">
        <v>0.16438356164383561</v>
      </c>
      <c r="I57" s="110">
        <v>0</v>
      </c>
      <c r="J57" s="110">
        <v>0.115</v>
      </c>
      <c r="K57" s="110">
        <v>4.9988881549313078</v>
      </c>
      <c r="L57" s="110"/>
      <c r="M57" s="110">
        <v>0</v>
      </c>
      <c r="N57" s="112">
        <v>4.9988881549313078</v>
      </c>
      <c r="O57" s="110">
        <v>14065</v>
      </c>
      <c r="P57" s="110" t="s">
        <v>85</v>
      </c>
      <c r="Q57" s="110">
        <v>1</v>
      </c>
      <c r="R57" s="110" t="s">
        <v>151</v>
      </c>
    </row>
    <row r="58" spans="2:19" x14ac:dyDescent="0.15">
      <c r="B58" s="110" t="s">
        <v>160</v>
      </c>
      <c r="C58" s="110" t="s">
        <v>217</v>
      </c>
      <c r="D58" s="111">
        <v>43181</v>
      </c>
      <c r="E58" s="111">
        <v>43245</v>
      </c>
      <c r="F58" s="110">
        <v>13000</v>
      </c>
      <c r="G58" s="110">
        <v>64</v>
      </c>
      <c r="H58" s="110">
        <v>0.16438356164383561</v>
      </c>
      <c r="I58" s="110">
        <v>0</v>
      </c>
      <c r="J58" s="110">
        <v>0.115</v>
      </c>
      <c r="K58" s="110">
        <v>11.808198498065053</v>
      </c>
      <c r="L58" s="110"/>
      <c r="M58" s="110">
        <v>0</v>
      </c>
      <c r="N58" s="112">
        <v>11.808198498065053</v>
      </c>
      <c r="O58" s="110">
        <v>14065</v>
      </c>
      <c r="P58" s="110" t="s">
        <v>85</v>
      </c>
      <c r="Q58" s="110">
        <v>1</v>
      </c>
      <c r="R58" s="110" t="s">
        <v>151</v>
      </c>
    </row>
    <row r="59" spans="2:19" x14ac:dyDescent="0.15">
      <c r="B59" s="110" t="s">
        <v>160</v>
      </c>
      <c r="C59" s="110" t="s">
        <v>217</v>
      </c>
      <c r="D59" s="111">
        <v>43181</v>
      </c>
      <c r="E59" s="111">
        <v>43245</v>
      </c>
      <c r="F59" s="110">
        <v>13200</v>
      </c>
      <c r="G59" s="110">
        <v>64</v>
      </c>
      <c r="H59" s="110">
        <v>0.16438356164383561</v>
      </c>
      <c r="I59" s="110">
        <v>0</v>
      </c>
      <c r="J59" s="110">
        <v>0.115</v>
      </c>
      <c r="K59" s="110">
        <v>25.264602103835841</v>
      </c>
      <c r="L59" s="110"/>
      <c r="M59" s="110">
        <v>0</v>
      </c>
      <c r="N59" s="112">
        <v>25.264602103835841</v>
      </c>
      <c r="O59" s="110">
        <v>14065</v>
      </c>
      <c r="P59" s="110" t="s">
        <v>85</v>
      </c>
      <c r="Q59" s="110">
        <v>1</v>
      </c>
      <c r="R59" s="110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0" t="s">
        <v>160</v>
      </c>
      <c r="C61" s="110" t="s">
        <v>218</v>
      </c>
      <c r="D61" s="111">
        <v>43181</v>
      </c>
      <c r="E61" s="111">
        <v>43215</v>
      </c>
      <c r="F61" s="110">
        <v>13300</v>
      </c>
      <c r="G61" s="110">
        <v>34</v>
      </c>
      <c r="H61" s="110">
        <v>8.7671232876712329E-2</v>
      </c>
      <c r="I61" s="110">
        <v>0</v>
      </c>
      <c r="J61" s="110">
        <v>0.115</v>
      </c>
      <c r="K61" s="110">
        <v>15.428614486488414</v>
      </c>
      <c r="L61" s="110"/>
      <c r="M61" s="110">
        <v>0</v>
      </c>
      <c r="N61" s="112">
        <v>15.428614486488414</v>
      </c>
      <c r="O61" s="110">
        <v>13970</v>
      </c>
      <c r="P61" s="110" t="s">
        <v>85</v>
      </c>
      <c r="Q61" s="110">
        <v>1</v>
      </c>
      <c r="R61" s="110" t="s">
        <v>151</v>
      </c>
      <c r="S61" s="6">
        <v>1.130830736451726E-3</v>
      </c>
    </row>
    <row r="62" spans="2:19" x14ac:dyDescent="0.15">
      <c r="B62" s="110" t="s">
        <v>160</v>
      </c>
      <c r="C62" s="110" t="s">
        <v>218</v>
      </c>
      <c r="D62" s="111">
        <v>43181</v>
      </c>
      <c r="E62" s="111">
        <v>43215</v>
      </c>
      <c r="F62" s="110">
        <v>13400</v>
      </c>
      <c r="G62" s="110">
        <v>34</v>
      </c>
      <c r="H62" s="110">
        <v>8.7671232876712329E-2</v>
      </c>
      <c r="I62" s="110">
        <v>0</v>
      </c>
      <c r="J62" s="110">
        <v>0.115</v>
      </c>
      <c r="K62" s="110">
        <v>24.861487306546678</v>
      </c>
      <c r="L62" s="110"/>
      <c r="M62" s="110">
        <v>0</v>
      </c>
      <c r="N62" s="112">
        <v>24.861487306546678</v>
      </c>
      <c r="O62" s="110">
        <v>13970</v>
      </c>
      <c r="P62" s="110" t="s">
        <v>85</v>
      </c>
      <c r="Q62" s="110">
        <v>1</v>
      </c>
      <c r="R62" s="110" t="s">
        <v>151</v>
      </c>
      <c r="S62" s="6">
        <v>1.8190094769668344E-3</v>
      </c>
    </row>
    <row r="63" spans="2:19" x14ac:dyDescent="0.15">
      <c r="B63" s="110" t="s">
        <v>160</v>
      </c>
      <c r="C63" s="110" t="s">
        <v>218</v>
      </c>
      <c r="D63" s="111">
        <v>43181</v>
      </c>
      <c r="E63" s="111">
        <v>43215</v>
      </c>
      <c r="F63" s="110">
        <v>13500</v>
      </c>
      <c r="G63" s="110">
        <v>34</v>
      </c>
      <c r="H63" s="110">
        <v>8.7671232876712329E-2</v>
      </c>
      <c r="I63" s="110">
        <v>0</v>
      </c>
      <c r="J63" s="110">
        <v>0.115</v>
      </c>
      <c r="K63" s="110">
        <v>38.515892126515155</v>
      </c>
      <c r="L63" s="110"/>
      <c r="M63" s="110">
        <v>0</v>
      </c>
      <c r="N63" s="112">
        <v>38.515892126515155</v>
      </c>
      <c r="O63" s="110">
        <v>13970</v>
      </c>
      <c r="P63" s="110" t="s">
        <v>85</v>
      </c>
      <c r="Q63" s="110">
        <v>1</v>
      </c>
      <c r="R63" s="110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0" t="s">
        <v>160</v>
      </c>
      <c r="C65" s="110" t="s">
        <v>219</v>
      </c>
      <c r="D65" s="111">
        <v>43182</v>
      </c>
      <c r="E65" s="111">
        <v>43273</v>
      </c>
      <c r="F65" s="110">
        <v>11500</v>
      </c>
      <c r="G65" s="110">
        <v>91</v>
      </c>
      <c r="H65" s="110">
        <v>0.24931506849315069</v>
      </c>
      <c r="I65" s="110">
        <v>0</v>
      </c>
      <c r="J65" s="110">
        <v>0.21</v>
      </c>
      <c r="K65" s="110">
        <v>-15.028539471410966</v>
      </c>
      <c r="L65" s="110"/>
      <c r="M65" s="110">
        <v>0</v>
      </c>
      <c r="N65" s="112">
        <v>16</v>
      </c>
      <c r="O65" s="110">
        <v>14020</v>
      </c>
      <c r="P65" s="110" t="s">
        <v>85</v>
      </c>
      <c r="Q65" s="110">
        <v>-1</v>
      </c>
      <c r="R65" s="110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0" t="s">
        <v>160</v>
      </c>
      <c r="C67" s="110" t="s">
        <v>221</v>
      </c>
      <c r="D67" s="111">
        <v>43185</v>
      </c>
      <c r="E67" s="111">
        <v>43200</v>
      </c>
      <c r="F67" s="110">
        <v>278.35000000000002</v>
      </c>
      <c r="G67" s="110">
        <v>15</v>
      </c>
      <c r="H67" s="110">
        <v>3.5616438356164383E-2</v>
      </c>
      <c r="I67" s="110">
        <v>0</v>
      </c>
      <c r="J67" s="110">
        <v>0.09</v>
      </c>
      <c r="K67" s="110">
        <v>1.1687140028984402</v>
      </c>
      <c r="L67" s="110"/>
      <c r="M67" s="110">
        <v>0</v>
      </c>
      <c r="N67" s="112">
        <v>1.1687140028984402</v>
      </c>
      <c r="O67" s="110">
        <v>276.7</v>
      </c>
      <c r="P67" s="110" t="s">
        <v>39</v>
      </c>
      <c r="Q67" s="110">
        <v>1</v>
      </c>
      <c r="R67" s="110" t="s">
        <v>151</v>
      </c>
    </row>
    <row r="68" spans="2:18" x14ac:dyDescent="0.15">
      <c r="B68" s="110" t="s">
        <v>160</v>
      </c>
      <c r="C68" s="110" t="s">
        <v>221</v>
      </c>
      <c r="D68" s="111">
        <v>43185</v>
      </c>
      <c r="E68" s="111">
        <v>43200</v>
      </c>
      <c r="F68" s="110">
        <v>274.95</v>
      </c>
      <c r="G68" s="110">
        <v>15</v>
      </c>
      <c r="H68" s="110">
        <v>3.5616438356164383E-2</v>
      </c>
      <c r="I68" s="110">
        <v>0</v>
      </c>
      <c r="J68" s="110">
        <v>0.09</v>
      </c>
      <c r="K68" s="110">
        <v>1.1220807364505845</v>
      </c>
      <c r="L68" s="110"/>
      <c r="M68" s="110">
        <v>0</v>
      </c>
      <c r="N68" s="112">
        <v>1.1220807364505845</v>
      </c>
      <c r="O68" s="110">
        <v>276.7</v>
      </c>
      <c r="P68" s="110" t="s">
        <v>85</v>
      </c>
      <c r="Q68" s="110">
        <v>1</v>
      </c>
      <c r="R68" s="110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0" t="s">
        <v>160</v>
      </c>
      <c r="C70" s="110" t="s">
        <v>222</v>
      </c>
      <c r="D70" s="111">
        <v>43185</v>
      </c>
      <c r="E70" s="111">
        <v>43265</v>
      </c>
      <c r="F70" s="110">
        <v>17950</v>
      </c>
      <c r="G70" s="110">
        <v>80</v>
      </c>
      <c r="H70" s="110">
        <v>0.21369863013698631</v>
      </c>
      <c r="I70" s="110">
        <v>0</v>
      </c>
      <c r="J70" s="110">
        <v>0.125</v>
      </c>
      <c r="K70" s="110">
        <v>326.41323919190563</v>
      </c>
      <c r="L70" s="110">
        <v>30</v>
      </c>
      <c r="M70" s="110">
        <v>11.629479452054797</v>
      </c>
      <c r="N70" s="112">
        <v>314</v>
      </c>
      <c r="O70" s="110">
        <v>18140</v>
      </c>
      <c r="P70" s="110" t="s">
        <v>85</v>
      </c>
      <c r="Q70" s="110">
        <v>1</v>
      </c>
      <c r="R70" s="110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0" t="s">
        <v>160</v>
      </c>
      <c r="C72" s="110" t="s">
        <v>203</v>
      </c>
      <c r="D72" s="111">
        <v>43185</v>
      </c>
      <c r="E72" s="111">
        <v>43265</v>
      </c>
      <c r="F72" s="110" t="s">
        <v>223</v>
      </c>
      <c r="G72" s="110">
        <v>80</v>
      </c>
      <c r="H72" s="110">
        <v>0.21917808219178081</v>
      </c>
      <c r="I72" s="110"/>
      <c r="J72" s="110"/>
      <c r="K72" s="110">
        <v>-50.370046745265427</v>
      </c>
      <c r="L72" s="110">
        <v>50</v>
      </c>
      <c r="M72" s="110">
        <v>15.216438356164382</v>
      </c>
      <c r="N72" s="112">
        <v>66</v>
      </c>
      <c r="O72" s="110">
        <v>13885</v>
      </c>
      <c r="P72" s="110"/>
      <c r="Q72" s="110"/>
      <c r="R72" s="110" t="s">
        <v>224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0" t="s">
        <v>160</v>
      </c>
      <c r="C74" s="110" t="s">
        <v>225</v>
      </c>
      <c r="D74" s="111">
        <v>43185</v>
      </c>
      <c r="E74" s="111">
        <v>43399</v>
      </c>
      <c r="F74" s="110">
        <v>3000</v>
      </c>
      <c r="G74" s="110">
        <v>214</v>
      </c>
      <c r="H74" s="110">
        <v>0.58630136986301373</v>
      </c>
      <c r="I74" s="110">
        <v>0</v>
      </c>
      <c r="J74" s="110">
        <v>0.28999999999999998</v>
      </c>
      <c r="K74" s="110">
        <v>-96.967287512488269</v>
      </c>
      <c r="L74" s="110"/>
      <c r="M74" s="110">
        <v>0</v>
      </c>
      <c r="N74" s="112">
        <v>96.967287512488269</v>
      </c>
      <c r="O74" s="110">
        <v>2604</v>
      </c>
      <c r="P74" s="110" t="s">
        <v>39</v>
      </c>
      <c r="Q74" s="110">
        <v>-1</v>
      </c>
      <c r="R74" s="110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0" t="s">
        <v>161</v>
      </c>
      <c r="C76" s="110" t="s">
        <v>226</v>
      </c>
      <c r="D76" s="111">
        <v>43185</v>
      </c>
      <c r="E76" s="111">
        <v>43399</v>
      </c>
      <c r="F76" s="110">
        <v>2650</v>
      </c>
      <c r="G76" s="110">
        <v>214</v>
      </c>
      <c r="H76" s="110">
        <v>0.58630136986301373</v>
      </c>
      <c r="I76" s="110">
        <v>0</v>
      </c>
      <c r="J76" s="110">
        <v>0.28999999999999998</v>
      </c>
      <c r="K76" s="110">
        <v>-130.3704542529581</v>
      </c>
      <c r="L76" s="110"/>
      <c r="M76" s="110">
        <v>0</v>
      </c>
      <c r="N76" s="112">
        <v>130.3704542529581</v>
      </c>
      <c r="O76" s="110">
        <v>2928</v>
      </c>
      <c r="P76" s="110" t="s">
        <v>85</v>
      </c>
      <c r="Q76" s="110">
        <v>-1</v>
      </c>
      <c r="R76" s="110" t="s">
        <v>20</v>
      </c>
    </row>
    <row r="78" spans="2:18" x14ac:dyDescent="0.15">
      <c r="B78" s="33"/>
      <c r="C78" s="33" t="s">
        <v>181</v>
      </c>
      <c r="D78" s="33" t="s">
        <v>180</v>
      </c>
      <c r="E78" s="33" t="s">
        <v>10</v>
      </c>
      <c r="F78" s="33" t="s">
        <v>184</v>
      </c>
      <c r="G78" s="33" t="s">
        <v>11</v>
      </c>
      <c r="H78" s="33" t="s">
        <v>12</v>
      </c>
      <c r="I78" s="33" t="s">
        <v>47</v>
      </c>
      <c r="J78" s="33" t="s">
        <v>13</v>
      </c>
      <c r="K78" s="33" t="s">
        <v>14</v>
      </c>
      <c r="L78" s="33" t="s">
        <v>26</v>
      </c>
      <c r="M78" s="33" t="s">
        <v>28</v>
      </c>
      <c r="N78" s="33" t="s">
        <v>182</v>
      </c>
      <c r="O78" s="33" t="s">
        <v>8</v>
      </c>
      <c r="P78" s="33" t="s">
        <v>23</v>
      </c>
      <c r="Q78" s="33"/>
      <c r="R78" s="33" t="s">
        <v>30</v>
      </c>
    </row>
    <row r="79" spans="2:18" x14ac:dyDescent="0.15">
      <c r="B79" s="110" t="s">
        <v>229</v>
      </c>
      <c r="C79" s="110" t="s">
        <v>228</v>
      </c>
      <c r="D79" s="111">
        <v>43189</v>
      </c>
      <c r="E79" s="111">
        <v>43220</v>
      </c>
      <c r="F79" s="110">
        <v>400</v>
      </c>
      <c r="G79" s="110">
        <v>31</v>
      </c>
      <c r="H79" s="110">
        <v>7.9452054794520555E-2</v>
      </c>
      <c r="I79" s="110">
        <v>0</v>
      </c>
      <c r="J79" s="110">
        <v>0.28999999999999998</v>
      </c>
      <c r="K79" s="110">
        <v>0.40866020117510615</v>
      </c>
      <c r="L79" s="110"/>
      <c r="M79" s="110">
        <v>0</v>
      </c>
      <c r="N79" s="112">
        <v>0.40866020117510615</v>
      </c>
      <c r="O79" s="110">
        <v>466.5</v>
      </c>
      <c r="P79" s="110" t="s">
        <v>85</v>
      </c>
      <c r="Q79" s="110">
        <v>1</v>
      </c>
      <c r="R79" s="110" t="s">
        <v>151</v>
      </c>
    </row>
    <row r="80" spans="2:18" x14ac:dyDescent="0.15">
      <c r="B80" s="110" t="s">
        <v>229</v>
      </c>
      <c r="C80" s="110" t="s">
        <v>228</v>
      </c>
      <c r="D80" s="111">
        <v>43189</v>
      </c>
      <c r="E80" s="111">
        <v>43250</v>
      </c>
      <c r="F80" s="110">
        <v>400</v>
      </c>
      <c r="G80" s="110">
        <v>61</v>
      </c>
      <c r="H80" s="110">
        <v>0.15616438356164383</v>
      </c>
      <c r="I80" s="110">
        <v>0</v>
      </c>
      <c r="J80" s="110">
        <v>0.28499999999999998</v>
      </c>
      <c r="K80" s="110">
        <v>1.9156242486539838</v>
      </c>
      <c r="L80" s="110"/>
      <c r="M80" s="110">
        <v>0</v>
      </c>
      <c r="N80" s="112">
        <v>1.9156242486539838</v>
      </c>
      <c r="O80" s="110">
        <v>466.5</v>
      </c>
      <c r="P80" s="110" t="s">
        <v>85</v>
      </c>
      <c r="Q80" s="110">
        <v>1</v>
      </c>
      <c r="R80" s="110" t="s">
        <v>151</v>
      </c>
    </row>
    <row r="81" spans="2:18" x14ac:dyDescent="0.15">
      <c r="B81" s="110" t="s">
        <v>229</v>
      </c>
      <c r="C81" s="110" t="s">
        <v>228</v>
      </c>
      <c r="D81" s="111">
        <v>43189</v>
      </c>
      <c r="E81" s="111">
        <v>43280</v>
      </c>
      <c r="F81" s="110">
        <v>400</v>
      </c>
      <c r="G81" s="110">
        <v>91</v>
      </c>
      <c r="H81" s="110">
        <v>0.23835616438356164</v>
      </c>
      <c r="I81" s="110">
        <v>0</v>
      </c>
      <c r="J81" s="110">
        <v>0.28000000000000003</v>
      </c>
      <c r="K81" s="110">
        <v>3.8312252844840344</v>
      </c>
      <c r="L81" s="110"/>
      <c r="M81" s="110">
        <v>0</v>
      </c>
      <c r="N81" s="112">
        <v>3.8312252844840344</v>
      </c>
      <c r="O81" s="110">
        <v>466.5</v>
      </c>
      <c r="P81" s="110" t="s">
        <v>85</v>
      </c>
      <c r="Q81" s="110">
        <v>1</v>
      </c>
      <c r="R81" s="110" t="s">
        <v>151</v>
      </c>
    </row>
    <row r="82" spans="2:18" x14ac:dyDescent="0.15">
      <c r="B82" s="33"/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2:18" x14ac:dyDescent="0.15">
      <c r="B83" s="110" t="s">
        <v>229</v>
      </c>
      <c r="C83" s="110" t="s">
        <v>228</v>
      </c>
      <c r="D83" s="111">
        <v>43189</v>
      </c>
      <c r="E83" s="111">
        <v>43220</v>
      </c>
      <c r="F83" s="110">
        <v>430</v>
      </c>
      <c r="G83" s="110">
        <v>31</v>
      </c>
      <c r="H83" s="110">
        <v>7.9452054794520555E-2</v>
      </c>
      <c r="I83" s="110">
        <v>0</v>
      </c>
      <c r="J83" s="110">
        <v>0.28999999999999998</v>
      </c>
      <c r="K83" s="110">
        <v>3.0630070721132938</v>
      </c>
      <c r="L83" s="110"/>
      <c r="M83" s="110">
        <v>0</v>
      </c>
      <c r="N83" s="112">
        <v>3.0630070721132938</v>
      </c>
      <c r="O83" s="110">
        <v>466.5</v>
      </c>
      <c r="P83" s="110" t="s">
        <v>85</v>
      </c>
      <c r="Q83" s="110">
        <v>1</v>
      </c>
      <c r="R83" s="110" t="s">
        <v>151</v>
      </c>
    </row>
    <row r="84" spans="2:18" x14ac:dyDescent="0.15">
      <c r="B84" s="110" t="s">
        <v>229</v>
      </c>
      <c r="C84" s="110" t="s">
        <v>228</v>
      </c>
      <c r="D84" s="111">
        <v>43189</v>
      </c>
      <c r="E84" s="111">
        <v>43250</v>
      </c>
      <c r="F84" s="110">
        <v>430</v>
      </c>
      <c r="G84" s="110">
        <v>61</v>
      </c>
      <c r="H84" s="110">
        <v>0.15616438356164383</v>
      </c>
      <c r="I84" s="110">
        <v>0</v>
      </c>
      <c r="J84" s="110">
        <v>0.28499999999999998</v>
      </c>
      <c r="K84" s="110">
        <v>6.8980537589282562</v>
      </c>
      <c r="L84" s="110"/>
      <c r="M84" s="110">
        <v>0</v>
      </c>
      <c r="N84" s="112">
        <v>6.8980537589282562</v>
      </c>
      <c r="O84" s="110">
        <v>466.5</v>
      </c>
      <c r="P84" s="110" t="s">
        <v>85</v>
      </c>
      <c r="Q84" s="110">
        <v>1</v>
      </c>
      <c r="R84" s="110" t="s">
        <v>151</v>
      </c>
    </row>
    <row r="85" spans="2:18" x14ac:dyDescent="0.15">
      <c r="B85" s="110" t="s">
        <v>229</v>
      </c>
      <c r="C85" s="110" t="s">
        <v>228</v>
      </c>
      <c r="D85" s="111">
        <v>43189</v>
      </c>
      <c r="E85" s="111">
        <v>43280</v>
      </c>
      <c r="F85" s="110">
        <v>430</v>
      </c>
      <c r="G85" s="110">
        <v>91</v>
      </c>
      <c r="H85" s="110">
        <v>0.23835616438356164</v>
      </c>
      <c r="I85" s="110">
        <v>0</v>
      </c>
      <c r="J85" s="110">
        <v>0.28000000000000003</v>
      </c>
      <c r="K85" s="110">
        <v>10.332075625161053</v>
      </c>
      <c r="L85" s="110"/>
      <c r="M85" s="110">
        <v>0</v>
      </c>
      <c r="N85" s="112">
        <v>10.332075625161053</v>
      </c>
      <c r="O85" s="110">
        <v>466.5</v>
      </c>
      <c r="P85" s="110" t="s">
        <v>85</v>
      </c>
      <c r="Q85" s="110">
        <v>1</v>
      </c>
      <c r="R85" s="110" t="s">
        <v>151</v>
      </c>
    </row>
    <row r="86" spans="2:18" x14ac:dyDescent="0.15">
      <c r="B86" s="33"/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110" t="s">
        <v>231</v>
      </c>
      <c r="C87" s="110" t="s">
        <v>185</v>
      </c>
      <c r="D87" s="111">
        <v>43192</v>
      </c>
      <c r="E87" s="111">
        <v>43251</v>
      </c>
      <c r="F87" s="110">
        <v>3500</v>
      </c>
      <c r="G87" s="110">
        <v>59</v>
      </c>
      <c r="H87" s="110">
        <v>0.15068493150684931</v>
      </c>
      <c r="I87" s="110">
        <v>0</v>
      </c>
      <c r="J87" s="110">
        <v>0.2</v>
      </c>
      <c r="K87" s="110">
        <v>179.86005705782554</v>
      </c>
      <c r="L87" s="110"/>
      <c r="M87" s="110">
        <v>0</v>
      </c>
      <c r="N87" s="112">
        <v>179.86005705782554</v>
      </c>
      <c r="O87" s="110">
        <v>3375</v>
      </c>
      <c r="P87" s="110" t="s">
        <v>85</v>
      </c>
      <c r="Q87" s="110">
        <v>1</v>
      </c>
      <c r="R87" s="110" t="s">
        <v>151</v>
      </c>
    </row>
    <row r="88" spans="2:18" x14ac:dyDescent="0.15">
      <c r="B88" s="33"/>
      <c r="C88" s="33" t="s">
        <v>181</v>
      </c>
      <c r="D88" s="33" t="s">
        <v>180</v>
      </c>
      <c r="E88" s="33" t="s">
        <v>10</v>
      </c>
      <c r="F88" s="33" t="s">
        <v>184</v>
      </c>
      <c r="G88" s="33" t="s">
        <v>11</v>
      </c>
      <c r="H88" s="33" t="s">
        <v>12</v>
      </c>
      <c r="I88" s="33" t="s">
        <v>47</v>
      </c>
      <c r="J88" s="33" t="s">
        <v>13</v>
      </c>
      <c r="K88" s="33" t="s">
        <v>14</v>
      </c>
      <c r="L88" s="33" t="s">
        <v>26</v>
      </c>
      <c r="M88" s="33" t="s">
        <v>28</v>
      </c>
      <c r="N88" s="33" t="s">
        <v>182</v>
      </c>
      <c r="O88" s="33" t="s">
        <v>8</v>
      </c>
      <c r="P88" s="33" t="s">
        <v>23</v>
      </c>
      <c r="Q88" s="33"/>
      <c r="R88" s="33" t="s">
        <v>30</v>
      </c>
    </row>
    <row r="89" spans="2:18" x14ac:dyDescent="0.15">
      <c r="B89" s="110" t="s">
        <v>235</v>
      </c>
      <c r="C89" s="110" t="s">
        <v>217</v>
      </c>
      <c r="D89" s="111">
        <v>43192</v>
      </c>
      <c r="E89" s="111">
        <v>43238</v>
      </c>
      <c r="F89" s="110">
        <v>13100</v>
      </c>
      <c r="G89" s="110">
        <v>46</v>
      </c>
      <c r="H89" s="110">
        <v>0.11506849315068493</v>
      </c>
      <c r="I89" s="110">
        <v>0</v>
      </c>
      <c r="J89" s="110">
        <v>0.11</v>
      </c>
      <c r="K89" s="110">
        <v>8.1089899782398334</v>
      </c>
      <c r="L89" s="110"/>
      <c r="M89" s="110">
        <v>0</v>
      </c>
      <c r="N89" s="112">
        <v>8</v>
      </c>
      <c r="O89" s="110">
        <v>13985</v>
      </c>
      <c r="P89" s="110" t="s">
        <v>85</v>
      </c>
      <c r="Q89" s="110">
        <v>1</v>
      </c>
      <c r="R89" s="110" t="s">
        <v>151</v>
      </c>
    </row>
    <row r="90" spans="2:18" x14ac:dyDescent="0.15">
      <c r="B90" s="110" t="s">
        <v>235</v>
      </c>
      <c r="C90" s="110" t="s">
        <v>217</v>
      </c>
      <c r="D90" s="111">
        <v>43192</v>
      </c>
      <c r="E90" s="111">
        <v>43238</v>
      </c>
      <c r="F90" s="110">
        <v>13200</v>
      </c>
      <c r="G90" s="110">
        <v>46</v>
      </c>
      <c r="H90" s="110">
        <v>0.11506849315068493</v>
      </c>
      <c r="I90" s="110">
        <v>0</v>
      </c>
      <c r="J90" s="110">
        <v>0.11</v>
      </c>
      <c r="K90" s="110">
        <v>13.268327754064558</v>
      </c>
      <c r="L90" s="110"/>
      <c r="M90" s="110">
        <v>0</v>
      </c>
      <c r="N90" s="112">
        <v>13</v>
      </c>
      <c r="O90" s="110">
        <v>13985</v>
      </c>
      <c r="P90" s="110" t="s">
        <v>85</v>
      </c>
      <c r="Q90" s="110">
        <v>1</v>
      </c>
      <c r="R90" s="110" t="s">
        <v>151</v>
      </c>
    </row>
    <row r="91" spans="2:18" x14ac:dyDescent="0.15">
      <c r="B91" s="110" t="s">
        <v>235</v>
      </c>
      <c r="C91" s="110" t="s">
        <v>217</v>
      </c>
      <c r="D91" s="111">
        <v>43192</v>
      </c>
      <c r="E91" s="111">
        <v>43238</v>
      </c>
      <c r="F91" s="110">
        <v>13300</v>
      </c>
      <c r="G91" s="110">
        <v>46</v>
      </c>
      <c r="H91" s="110">
        <v>0.11506849315068493</v>
      </c>
      <c r="I91" s="110">
        <v>0</v>
      </c>
      <c r="J91" s="110">
        <v>0.11</v>
      </c>
      <c r="K91" s="110">
        <v>20.94649443684375</v>
      </c>
      <c r="L91" s="110"/>
      <c r="M91" s="110">
        <v>0</v>
      </c>
      <c r="N91" s="112">
        <v>20.5</v>
      </c>
      <c r="O91" s="110">
        <v>13985</v>
      </c>
      <c r="P91" s="110" t="s">
        <v>85</v>
      </c>
      <c r="Q91" s="110">
        <v>1</v>
      </c>
      <c r="R91" s="110" t="s">
        <v>151</v>
      </c>
    </row>
    <row r="92" spans="2:18" x14ac:dyDescent="0.15">
      <c r="B92" s="33"/>
      <c r="C92" s="33" t="s">
        <v>181</v>
      </c>
      <c r="D92" s="33" t="s">
        <v>180</v>
      </c>
      <c r="E92" s="33" t="s">
        <v>10</v>
      </c>
      <c r="F92" s="33" t="s">
        <v>184</v>
      </c>
      <c r="G92" s="33" t="s">
        <v>11</v>
      </c>
      <c r="H92" s="33" t="s">
        <v>12</v>
      </c>
      <c r="I92" s="33" t="s">
        <v>47</v>
      </c>
      <c r="J92" s="33" t="s">
        <v>13</v>
      </c>
      <c r="K92" s="33" t="s">
        <v>14</v>
      </c>
      <c r="L92" s="33" t="s">
        <v>26</v>
      </c>
      <c r="M92" s="33" t="s">
        <v>28</v>
      </c>
      <c r="N92" s="33" t="s">
        <v>182</v>
      </c>
      <c r="O92" s="33" t="s">
        <v>8</v>
      </c>
      <c r="P92" s="33" t="s">
        <v>23</v>
      </c>
      <c r="Q92" s="33"/>
      <c r="R92" s="33" t="s">
        <v>30</v>
      </c>
    </row>
    <row r="93" spans="2:18" x14ac:dyDescent="0.15">
      <c r="B93" s="110" t="s">
        <v>237</v>
      </c>
      <c r="C93" s="110" t="s">
        <v>185</v>
      </c>
      <c r="D93" s="111">
        <v>43193</v>
      </c>
      <c r="E93" s="111">
        <v>43251</v>
      </c>
      <c r="F93" s="110">
        <v>3500</v>
      </c>
      <c r="G93" s="110">
        <v>58</v>
      </c>
      <c r="H93" s="110">
        <v>0.14794520547945206</v>
      </c>
      <c r="I93" s="110">
        <v>0</v>
      </c>
      <c r="J93" s="110">
        <v>0.2</v>
      </c>
      <c r="K93" s="110">
        <v>190.5244735830679</v>
      </c>
      <c r="L93" s="110"/>
      <c r="M93" s="110">
        <v>0</v>
      </c>
      <c r="N93" s="112">
        <v>188</v>
      </c>
      <c r="O93" s="110">
        <v>3358</v>
      </c>
      <c r="P93" s="110" t="s">
        <v>85</v>
      </c>
      <c r="Q93" s="110">
        <v>1</v>
      </c>
      <c r="R93" s="110" t="s">
        <v>151</v>
      </c>
    </row>
    <row r="94" spans="2:18" x14ac:dyDescent="0.15">
      <c r="B94" s="33"/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2:18" x14ac:dyDescent="0.15">
      <c r="B95" s="110" t="s">
        <v>160</v>
      </c>
      <c r="C95" s="110" t="s">
        <v>238</v>
      </c>
      <c r="D95" s="111">
        <v>43193</v>
      </c>
      <c r="E95" s="111">
        <v>43448</v>
      </c>
      <c r="F95" s="110">
        <v>3233</v>
      </c>
      <c r="G95" s="110">
        <v>255</v>
      </c>
      <c r="H95" s="110">
        <v>0.69863013698630139</v>
      </c>
      <c r="I95" s="110">
        <v>0</v>
      </c>
      <c r="J95" s="110">
        <v>0.27</v>
      </c>
      <c r="K95" s="110">
        <v>-286.42712165540365</v>
      </c>
      <c r="L95" s="110">
        <v>70</v>
      </c>
      <c r="M95" s="110">
        <v>15.810698630136988</v>
      </c>
      <c r="N95" s="112">
        <v>302.23782028554064</v>
      </c>
      <c r="O95" s="110">
        <v>3233</v>
      </c>
      <c r="P95" s="110" t="s">
        <v>39</v>
      </c>
      <c r="Q95" s="110">
        <v>-1</v>
      </c>
      <c r="R95" s="110" t="s">
        <v>20</v>
      </c>
    </row>
    <row r="96" spans="2:18" x14ac:dyDescent="0.15">
      <c r="B96" s="33"/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10" t="s">
        <v>160</v>
      </c>
      <c r="C97" s="110" t="s">
        <v>239</v>
      </c>
      <c r="D97" s="111">
        <v>43202</v>
      </c>
      <c r="E97" s="111">
        <v>43301</v>
      </c>
      <c r="F97" s="110">
        <v>11500</v>
      </c>
      <c r="G97" s="110">
        <v>99</v>
      </c>
      <c r="H97" s="110">
        <v>0.27123287671232876</v>
      </c>
      <c r="I97" s="110">
        <v>0</v>
      </c>
      <c r="J97" s="110">
        <v>0.23499999999999999</v>
      </c>
      <c r="K97" s="110">
        <v>-17.373814014668994</v>
      </c>
      <c r="L97" s="110">
        <v>0</v>
      </c>
      <c r="M97" s="110">
        <v>0</v>
      </c>
      <c r="N97" s="112">
        <v>17.373814014668994</v>
      </c>
      <c r="O97" s="110">
        <v>14510</v>
      </c>
      <c r="P97" s="110" t="s">
        <v>85</v>
      </c>
      <c r="Q97" s="110">
        <v>-1</v>
      </c>
      <c r="R97" s="110" t="s">
        <v>20</v>
      </c>
    </row>
    <row r="98" spans="2:18" x14ac:dyDescent="0.15">
      <c r="B98" s="33"/>
      <c r="C98" s="33" t="s">
        <v>181</v>
      </c>
      <c r="D98" s="33" t="s">
        <v>180</v>
      </c>
      <c r="E98" s="33" t="s">
        <v>10</v>
      </c>
      <c r="F98" s="33" t="s">
        <v>184</v>
      </c>
      <c r="G98" s="33" t="s">
        <v>11</v>
      </c>
      <c r="H98" s="33" t="s">
        <v>12</v>
      </c>
      <c r="I98" s="33" t="s">
        <v>47</v>
      </c>
      <c r="J98" s="33" t="s">
        <v>13</v>
      </c>
      <c r="K98" s="33" t="s">
        <v>14</v>
      </c>
      <c r="L98" s="33" t="s">
        <v>26</v>
      </c>
      <c r="M98" s="33" t="s">
        <v>28</v>
      </c>
      <c r="N98" s="33" t="s">
        <v>182</v>
      </c>
      <c r="O98" s="33" t="s">
        <v>8</v>
      </c>
      <c r="P98" s="33" t="s">
        <v>23</v>
      </c>
      <c r="Q98" s="33"/>
      <c r="R98" s="33" t="s">
        <v>30</v>
      </c>
    </row>
    <row r="99" spans="2:18" x14ac:dyDescent="0.15">
      <c r="B99" s="110" t="s">
        <v>160</v>
      </c>
      <c r="C99" s="110" t="s">
        <v>185</v>
      </c>
      <c r="D99" s="111">
        <v>43202</v>
      </c>
      <c r="E99" s="111">
        <v>43233</v>
      </c>
      <c r="F99" s="110">
        <v>3300</v>
      </c>
      <c r="G99" s="110">
        <v>31</v>
      </c>
      <c r="H99" s="110">
        <v>7.9452054794520555E-2</v>
      </c>
      <c r="I99" s="110">
        <v>0</v>
      </c>
      <c r="J99" s="110">
        <v>0.185</v>
      </c>
      <c r="K99" s="110">
        <v>32.143177712519446</v>
      </c>
      <c r="L99" s="110">
        <v>0</v>
      </c>
      <c r="M99" s="110">
        <v>0</v>
      </c>
      <c r="N99" s="112">
        <v>32.143177712519446</v>
      </c>
      <c r="O99" s="110">
        <v>3395</v>
      </c>
      <c r="P99" s="110" t="s">
        <v>85</v>
      </c>
      <c r="Q99" s="110">
        <v>1</v>
      </c>
      <c r="R99" s="110" t="s">
        <v>151</v>
      </c>
    </row>
    <row r="100" spans="2:18" x14ac:dyDescent="0.15">
      <c r="B100" s="110" t="s">
        <v>160</v>
      </c>
      <c r="C100" s="110" t="s">
        <v>185</v>
      </c>
      <c r="D100" s="111">
        <v>43202</v>
      </c>
      <c r="E100" s="111">
        <v>43264</v>
      </c>
      <c r="F100" s="110">
        <v>3300</v>
      </c>
      <c r="G100" s="110">
        <v>62</v>
      </c>
      <c r="H100" s="110">
        <v>0.16438356164383561</v>
      </c>
      <c r="I100" s="110">
        <v>0</v>
      </c>
      <c r="J100" s="110">
        <v>0.185</v>
      </c>
      <c r="K100" s="110">
        <v>59.529900690985642</v>
      </c>
      <c r="L100" s="110">
        <v>0</v>
      </c>
      <c r="M100" s="110">
        <v>0</v>
      </c>
      <c r="N100" s="112">
        <v>59.529900690985642</v>
      </c>
      <c r="O100" s="110">
        <v>3395</v>
      </c>
      <c r="P100" s="110" t="s">
        <v>85</v>
      </c>
      <c r="Q100" s="110">
        <v>1</v>
      </c>
      <c r="R100" s="110" t="s">
        <v>151</v>
      </c>
    </row>
    <row r="101" spans="2:18" x14ac:dyDescent="0.15">
      <c r="B101" s="110" t="s">
        <v>160</v>
      </c>
      <c r="C101" s="110" t="s">
        <v>185</v>
      </c>
      <c r="D101" s="111">
        <v>43202</v>
      </c>
      <c r="E101" s="111">
        <v>43233</v>
      </c>
      <c r="F101" s="110">
        <v>3250</v>
      </c>
      <c r="G101" s="110">
        <v>31</v>
      </c>
      <c r="H101" s="110">
        <v>7.9452054794520555E-2</v>
      </c>
      <c r="I101" s="110">
        <v>0</v>
      </c>
      <c r="J101" s="110">
        <v>0.185</v>
      </c>
      <c r="K101" s="110">
        <v>19.461538745827283</v>
      </c>
      <c r="L101" s="110">
        <v>0</v>
      </c>
      <c r="M101" s="110">
        <v>0</v>
      </c>
      <c r="N101" s="112">
        <v>19.461538745827283</v>
      </c>
      <c r="O101" s="110">
        <v>3395</v>
      </c>
      <c r="P101" s="110" t="s">
        <v>85</v>
      </c>
      <c r="Q101" s="110">
        <v>1</v>
      </c>
      <c r="R101" s="110" t="s">
        <v>151</v>
      </c>
    </row>
    <row r="102" spans="2:18" x14ac:dyDescent="0.15">
      <c r="B102" s="110" t="s">
        <v>160</v>
      </c>
      <c r="C102" s="110" t="s">
        <v>185</v>
      </c>
      <c r="D102" s="111">
        <v>43202</v>
      </c>
      <c r="E102" s="111">
        <v>43264</v>
      </c>
      <c r="F102" s="110">
        <v>3250</v>
      </c>
      <c r="G102" s="110">
        <v>62</v>
      </c>
      <c r="H102" s="110">
        <v>0.16438356164383561</v>
      </c>
      <c r="I102" s="110">
        <v>0</v>
      </c>
      <c r="J102" s="110">
        <v>0.185</v>
      </c>
      <c r="K102" s="110">
        <v>43.115059438368576</v>
      </c>
      <c r="L102" s="110">
        <v>0</v>
      </c>
      <c r="M102" s="110">
        <v>0</v>
      </c>
      <c r="N102" s="112">
        <v>43.115059438368576</v>
      </c>
      <c r="O102" s="110">
        <v>3395</v>
      </c>
      <c r="P102" s="110" t="s">
        <v>85</v>
      </c>
      <c r="Q102" s="110">
        <v>1</v>
      </c>
      <c r="R102" s="110" t="s">
        <v>151</v>
      </c>
    </row>
    <row r="103" spans="2:18" x14ac:dyDescent="0.15">
      <c r="B103" s="110" t="s">
        <v>160</v>
      </c>
      <c r="C103" s="110" t="s">
        <v>185</v>
      </c>
      <c r="D103" s="111">
        <v>43202</v>
      </c>
      <c r="E103" s="111">
        <v>43233</v>
      </c>
      <c r="F103" s="110">
        <v>3200</v>
      </c>
      <c r="G103" s="110">
        <v>31</v>
      </c>
      <c r="H103" s="110">
        <v>7.9452054794520555E-2</v>
      </c>
      <c r="I103" s="110">
        <v>0</v>
      </c>
      <c r="J103" s="110">
        <v>0.185</v>
      </c>
      <c r="K103" s="110">
        <v>10.994742665114643</v>
      </c>
      <c r="L103" s="110">
        <v>0</v>
      </c>
      <c r="M103" s="110">
        <v>0</v>
      </c>
      <c r="N103" s="112">
        <v>10.994742665114643</v>
      </c>
      <c r="O103" s="110">
        <v>3395</v>
      </c>
      <c r="P103" s="110" t="s">
        <v>85</v>
      </c>
      <c r="Q103" s="110">
        <v>1</v>
      </c>
      <c r="R103" s="110" t="s">
        <v>151</v>
      </c>
    </row>
    <row r="104" spans="2:18" x14ac:dyDescent="0.15">
      <c r="B104" s="110" t="s">
        <v>160</v>
      </c>
      <c r="C104" s="110" t="s">
        <v>185</v>
      </c>
      <c r="D104" s="111">
        <v>43202</v>
      </c>
      <c r="E104" s="111">
        <v>43264</v>
      </c>
      <c r="F104" s="110">
        <v>3200</v>
      </c>
      <c r="G104" s="110">
        <v>62</v>
      </c>
      <c r="H104" s="110">
        <v>0.16438356164383561</v>
      </c>
      <c r="I104" s="110">
        <v>0</v>
      </c>
      <c r="J104" s="110">
        <v>0.185</v>
      </c>
      <c r="K104" s="110">
        <v>30.206426906359411</v>
      </c>
      <c r="L104" s="110">
        <v>0</v>
      </c>
      <c r="M104" s="110">
        <v>0</v>
      </c>
      <c r="N104" s="112">
        <v>30.206426906359411</v>
      </c>
      <c r="O104" s="110">
        <v>3395</v>
      </c>
      <c r="P104" s="110" t="s">
        <v>85</v>
      </c>
      <c r="Q104" s="110">
        <v>1</v>
      </c>
      <c r="R104" s="110" t="s">
        <v>151</v>
      </c>
    </row>
    <row r="105" spans="2:18" x14ac:dyDescent="0.15">
      <c r="B105" s="33"/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10" t="s">
        <v>160</v>
      </c>
      <c r="C106" s="110" t="s">
        <v>185</v>
      </c>
      <c r="D106" s="111">
        <v>43202</v>
      </c>
      <c r="E106" s="111">
        <v>43233</v>
      </c>
      <c r="F106" s="110">
        <v>3400</v>
      </c>
      <c r="G106" s="110">
        <v>31</v>
      </c>
      <c r="H106" s="110">
        <v>7.9452054794520555E-2</v>
      </c>
      <c r="I106" s="110">
        <v>0</v>
      </c>
      <c r="J106" s="110">
        <v>0.19</v>
      </c>
      <c r="K106" s="110">
        <v>73.99469107178993</v>
      </c>
      <c r="L106" s="110">
        <v>0</v>
      </c>
      <c r="M106" s="110">
        <v>0</v>
      </c>
      <c r="N106" s="112">
        <v>73.99469107178993</v>
      </c>
      <c r="O106" s="110">
        <v>3397</v>
      </c>
      <c r="P106" s="110" t="s">
        <v>85</v>
      </c>
      <c r="Q106" s="110">
        <v>1</v>
      </c>
      <c r="R106" s="110" t="s">
        <v>151</v>
      </c>
    </row>
    <row r="107" spans="2:18" x14ac:dyDescent="0.15">
      <c r="B107" s="110" t="s">
        <v>160</v>
      </c>
      <c r="C107" s="110" t="s">
        <v>185</v>
      </c>
      <c r="D107" s="111">
        <v>43202</v>
      </c>
      <c r="E107" s="111">
        <v>43264</v>
      </c>
      <c r="F107" s="110">
        <v>3400</v>
      </c>
      <c r="G107" s="110">
        <v>62</v>
      </c>
      <c r="H107" s="110">
        <v>0.16438356164383561</v>
      </c>
      <c r="I107" s="110">
        <v>0</v>
      </c>
      <c r="J107" s="110">
        <v>0.19</v>
      </c>
      <c r="K107" s="110">
        <v>105.57655247492835</v>
      </c>
      <c r="L107" s="110">
        <v>0</v>
      </c>
      <c r="M107" s="110">
        <v>0</v>
      </c>
      <c r="N107" s="112">
        <v>105.57655247492835</v>
      </c>
      <c r="O107" s="110">
        <v>3397</v>
      </c>
      <c r="P107" s="110" t="s">
        <v>85</v>
      </c>
      <c r="Q107" s="110">
        <v>1</v>
      </c>
      <c r="R107" s="110" t="s">
        <v>151</v>
      </c>
    </row>
    <row r="108" spans="2:18" x14ac:dyDescent="0.15">
      <c r="B108" s="110" t="s">
        <v>160</v>
      </c>
      <c r="C108" s="110" t="s">
        <v>185</v>
      </c>
      <c r="D108" s="111">
        <v>43202</v>
      </c>
      <c r="E108" s="111">
        <v>43233</v>
      </c>
      <c r="F108" s="110">
        <v>3350</v>
      </c>
      <c r="G108" s="110">
        <v>31</v>
      </c>
      <c r="H108" s="110">
        <v>7.9452054794520555E-2</v>
      </c>
      <c r="I108" s="110">
        <v>0</v>
      </c>
      <c r="J108" s="110">
        <v>0.19</v>
      </c>
      <c r="K108" s="110">
        <v>50.911832144038499</v>
      </c>
      <c r="L108" s="110">
        <v>0</v>
      </c>
      <c r="M108" s="110">
        <v>0</v>
      </c>
      <c r="N108" s="112">
        <v>50.911832144038499</v>
      </c>
      <c r="O108" s="110">
        <v>3397</v>
      </c>
      <c r="P108" s="110" t="s">
        <v>85</v>
      </c>
      <c r="Q108" s="110">
        <v>1</v>
      </c>
      <c r="R108" s="110" t="s">
        <v>151</v>
      </c>
    </row>
    <row r="109" spans="2:18" x14ac:dyDescent="0.15">
      <c r="B109" s="110" t="s">
        <v>160</v>
      </c>
      <c r="C109" s="110" t="s">
        <v>185</v>
      </c>
      <c r="D109" s="111">
        <v>43202</v>
      </c>
      <c r="E109" s="111">
        <v>43264</v>
      </c>
      <c r="F109" s="110">
        <v>3350</v>
      </c>
      <c r="G109" s="110">
        <v>62</v>
      </c>
      <c r="H109" s="110">
        <v>0.16438356164383561</v>
      </c>
      <c r="I109" s="110">
        <v>0</v>
      </c>
      <c r="J109" s="110">
        <v>0.19</v>
      </c>
      <c r="K109" s="110">
        <v>81.570357482662303</v>
      </c>
      <c r="L109" s="110">
        <v>0</v>
      </c>
      <c r="M109" s="110">
        <v>0</v>
      </c>
      <c r="N109" s="112">
        <v>81.570357482662303</v>
      </c>
      <c r="O109" s="110">
        <v>3397</v>
      </c>
      <c r="P109" s="110" t="s">
        <v>85</v>
      </c>
      <c r="Q109" s="110">
        <v>1</v>
      </c>
      <c r="R109" s="110" t="s">
        <v>151</v>
      </c>
    </row>
    <row r="110" spans="2:18" x14ac:dyDescent="0.15">
      <c r="B110" s="110"/>
      <c r="C110" s="110"/>
      <c r="D110" s="111"/>
      <c r="E110" s="111"/>
      <c r="F110" s="110"/>
      <c r="G110" s="110"/>
      <c r="H110" s="110"/>
      <c r="I110" s="110"/>
      <c r="J110" s="110"/>
      <c r="K110" s="110"/>
      <c r="L110" s="110"/>
      <c r="M110" s="110"/>
      <c r="N110" s="112"/>
      <c r="O110" s="110"/>
      <c r="P110" s="110"/>
      <c r="Q110" s="110"/>
      <c r="R110" s="110"/>
    </row>
    <row r="111" spans="2:18" x14ac:dyDescent="0.15">
      <c r="B111" s="33"/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10" t="s">
        <v>160</v>
      </c>
      <c r="C112" s="110" t="s">
        <v>205</v>
      </c>
      <c r="D112" s="111">
        <v>43202</v>
      </c>
      <c r="E112" s="111">
        <v>43217</v>
      </c>
      <c r="F112" s="110" t="s">
        <v>244</v>
      </c>
      <c r="G112" s="110">
        <v>15</v>
      </c>
      <c r="H112" s="110">
        <v>4.1095890410958902E-2</v>
      </c>
      <c r="I112" s="110"/>
      <c r="J112" s="110"/>
      <c r="K112" s="110">
        <v>1.6391726749303572</v>
      </c>
      <c r="L112" s="110">
        <v>0</v>
      </c>
      <c r="M112" s="110">
        <v>0</v>
      </c>
      <c r="N112" s="112">
        <v>1.5467069215056997</v>
      </c>
      <c r="O112" s="110">
        <v>450</v>
      </c>
      <c r="P112" s="110"/>
      <c r="Q112" s="110"/>
      <c r="R112" s="110" t="s">
        <v>245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8" t="s">
        <v>158</v>
      </c>
      <c r="C1" s="118"/>
      <c r="D1" s="118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zoomScale="115" zoomScaleNormal="115" workbookViewId="0">
      <pane ySplit="17" topLeftCell="A24" activePane="bottomLeft" state="frozen"/>
      <selection pane="bottomLeft" activeCell="L36" sqref="L36:O48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4" t="s">
        <v>118</v>
      </c>
      <c r="C1" s="134"/>
    </row>
    <row r="2" spans="2:20" ht="11.25" thickTop="1" x14ac:dyDescent="0.15"/>
    <row r="3" spans="2:20" ht="11.25" thickBot="1" x14ac:dyDescent="0.2">
      <c r="B3" s="135" t="s">
        <v>119</v>
      </c>
      <c r="C3" s="135"/>
      <c r="D3" s="135"/>
      <c r="E3" s="135"/>
      <c r="G3" s="139" t="s">
        <v>120</v>
      </c>
      <c r="H3" s="139"/>
      <c r="I3" s="139"/>
      <c r="J3" s="139"/>
      <c r="L3" s="135" t="s">
        <v>165</v>
      </c>
      <c r="M3" s="135"/>
      <c r="N3" s="135"/>
      <c r="O3" s="135"/>
      <c r="Q3" s="139" t="s">
        <v>166</v>
      </c>
      <c r="R3" s="139"/>
      <c r="S3" s="139"/>
      <c r="T3" s="139"/>
    </row>
    <row r="4" spans="2:20" ht="12" thickTop="1" thickBot="1" x14ac:dyDescent="0.2">
      <c r="B4" s="136" t="s">
        <v>121</v>
      </c>
      <c r="C4" s="136"/>
      <c r="D4" s="136"/>
      <c r="E4" s="136"/>
      <c r="G4" s="136" t="s">
        <v>34</v>
      </c>
      <c r="H4" s="136"/>
      <c r="I4" s="136"/>
      <c r="J4" s="136"/>
      <c r="L4" s="136" t="s">
        <v>121</v>
      </c>
      <c r="M4" s="136"/>
      <c r="N4" s="136"/>
      <c r="O4" s="136"/>
      <c r="Q4" s="136" t="s">
        <v>34</v>
      </c>
      <c r="R4" s="136"/>
      <c r="S4" s="136"/>
      <c r="T4" s="136"/>
    </row>
    <row r="5" spans="2:20" ht="15" customHeight="1" thickTop="1" x14ac:dyDescent="0.15">
      <c r="B5" s="133" t="s">
        <v>122</v>
      </c>
      <c r="C5" s="133"/>
      <c r="D5" s="137"/>
      <c r="E5" s="138"/>
      <c r="G5" s="133" t="s">
        <v>123</v>
      </c>
      <c r="H5" s="133"/>
      <c r="I5" s="103"/>
      <c r="J5" s="104"/>
      <c r="L5" s="101" t="s">
        <v>122</v>
      </c>
      <c r="M5" s="102"/>
      <c r="N5" s="103"/>
      <c r="O5" s="104"/>
      <c r="Q5" s="133" t="s">
        <v>123</v>
      </c>
      <c r="R5" s="133"/>
      <c r="S5" s="103"/>
      <c r="T5" s="104"/>
    </row>
    <row r="6" spans="2:20" x14ac:dyDescent="0.15">
      <c r="B6" s="133" t="s">
        <v>124</v>
      </c>
      <c r="C6" s="133"/>
      <c r="D6" s="131" t="s">
        <v>125</v>
      </c>
      <c r="E6" s="132"/>
      <c r="G6" s="133" t="s">
        <v>126</v>
      </c>
      <c r="H6" s="133"/>
      <c r="I6" s="131"/>
      <c r="J6" s="132"/>
      <c r="L6" s="133" t="s">
        <v>124</v>
      </c>
      <c r="M6" s="133"/>
      <c r="N6" s="131" t="s">
        <v>125</v>
      </c>
      <c r="O6" s="132"/>
      <c r="Q6" s="133" t="s">
        <v>126</v>
      </c>
      <c r="R6" s="133"/>
      <c r="S6" s="131"/>
      <c r="T6" s="132"/>
    </row>
    <row r="7" spans="2:20" ht="2.25" customHeight="1" x14ac:dyDescent="0.15">
      <c r="B7" s="133" t="s">
        <v>127</v>
      </c>
      <c r="C7" s="133"/>
      <c r="D7" s="131" t="s">
        <v>125</v>
      </c>
      <c r="E7" s="132"/>
      <c r="G7" s="133" t="s">
        <v>128</v>
      </c>
      <c r="H7" s="133"/>
      <c r="I7" s="131"/>
      <c r="J7" s="132"/>
      <c r="L7" s="133" t="s">
        <v>127</v>
      </c>
      <c r="M7" s="133"/>
      <c r="N7" s="131" t="s">
        <v>125</v>
      </c>
      <c r="O7" s="132"/>
      <c r="Q7" s="133" t="s">
        <v>128</v>
      </c>
      <c r="R7" s="133"/>
      <c r="S7" s="131"/>
      <c r="T7" s="132"/>
    </row>
    <row r="8" spans="2:20" hidden="1" x14ac:dyDescent="0.15">
      <c r="B8" s="133" t="s">
        <v>129</v>
      </c>
      <c r="C8" s="133"/>
      <c r="D8" s="131">
        <f>D13*D15</f>
        <v>305000</v>
      </c>
      <c r="E8" s="132"/>
      <c r="G8" s="133" t="s">
        <v>130</v>
      </c>
      <c r="H8" s="133"/>
      <c r="I8" s="131"/>
      <c r="J8" s="132"/>
      <c r="L8" s="133" t="s">
        <v>129</v>
      </c>
      <c r="M8" s="133"/>
      <c r="N8" s="131">
        <f>N14*N16</f>
        <v>305000</v>
      </c>
      <c r="O8" s="132"/>
      <c r="Q8" s="133" t="s">
        <v>130</v>
      </c>
      <c r="R8" s="133"/>
      <c r="S8" s="131"/>
      <c r="T8" s="132"/>
    </row>
    <row r="9" spans="2:20" hidden="1" x14ac:dyDescent="0.15">
      <c r="B9" s="133" t="s">
        <v>131</v>
      </c>
      <c r="C9" s="133"/>
      <c r="D9" s="131" t="s">
        <v>132</v>
      </c>
      <c r="E9" s="132"/>
      <c r="G9" s="133" t="s">
        <v>133</v>
      </c>
      <c r="H9" s="133"/>
      <c r="I9" s="131"/>
      <c r="J9" s="132"/>
      <c r="L9" s="133" t="s">
        <v>131</v>
      </c>
      <c r="M9" s="133"/>
      <c r="N9" s="131" t="s">
        <v>132</v>
      </c>
      <c r="O9" s="132"/>
      <c r="Q9" s="133" t="s">
        <v>133</v>
      </c>
      <c r="R9" s="133"/>
      <c r="S9" s="131"/>
      <c r="T9" s="132"/>
    </row>
    <row r="10" spans="2:20" hidden="1" x14ac:dyDescent="0.15">
      <c r="B10" s="133" t="s">
        <v>134</v>
      </c>
      <c r="C10" s="133"/>
      <c r="D10" s="131">
        <v>43084</v>
      </c>
      <c r="E10" s="132"/>
      <c r="G10" s="105" t="s">
        <v>135</v>
      </c>
      <c r="H10" s="105"/>
      <c r="I10" s="131"/>
      <c r="J10" s="132"/>
      <c r="L10" s="133" t="s">
        <v>134</v>
      </c>
      <c r="M10" s="133"/>
      <c r="N10" s="131">
        <v>43084</v>
      </c>
      <c r="O10" s="132"/>
      <c r="Q10" s="105" t="s">
        <v>135</v>
      </c>
      <c r="R10" s="105"/>
      <c r="S10" s="131"/>
      <c r="T10" s="132"/>
    </row>
    <row r="11" spans="2:20" hidden="1" x14ac:dyDescent="0.15">
      <c r="B11" s="133" t="s">
        <v>136</v>
      </c>
      <c r="C11" s="133"/>
      <c r="D11" s="131">
        <v>3935</v>
      </c>
      <c r="E11" s="132"/>
      <c r="G11" s="133" t="s">
        <v>137</v>
      </c>
      <c r="H11" s="133"/>
      <c r="I11" s="131"/>
      <c r="J11" s="132"/>
      <c r="L11" s="133" t="s">
        <v>136</v>
      </c>
      <c r="M11" s="133"/>
      <c r="N11" s="131">
        <v>3935</v>
      </c>
      <c r="O11" s="132"/>
      <c r="Q11" s="133" t="s">
        <v>137</v>
      </c>
      <c r="R11" s="133"/>
      <c r="S11" s="131"/>
      <c r="T11" s="132"/>
    </row>
    <row r="12" spans="2:20" hidden="1" x14ac:dyDescent="0.15">
      <c r="B12" s="133" t="s">
        <v>138</v>
      </c>
      <c r="C12" s="133"/>
      <c r="D12" s="131">
        <v>3800</v>
      </c>
      <c r="E12" s="132"/>
      <c r="G12" s="133" t="s">
        <v>139</v>
      </c>
      <c r="H12" s="133"/>
      <c r="I12" s="131"/>
      <c r="J12" s="132"/>
      <c r="L12" s="133" t="s">
        <v>163</v>
      </c>
      <c r="M12" s="133"/>
      <c r="N12" s="131">
        <v>3800</v>
      </c>
      <c r="O12" s="132"/>
      <c r="Q12" s="133" t="s">
        <v>167</v>
      </c>
      <c r="R12" s="133"/>
      <c r="S12" s="131"/>
      <c r="T12" s="132"/>
    </row>
    <row r="13" spans="2:20" hidden="1" x14ac:dyDescent="0.15">
      <c r="B13" s="133" t="s">
        <v>140</v>
      </c>
      <c r="C13" s="133"/>
      <c r="D13" s="131">
        <v>61</v>
      </c>
      <c r="E13" s="132"/>
      <c r="G13" s="133" t="s">
        <v>141</v>
      </c>
      <c r="H13" s="133"/>
      <c r="I13" s="131"/>
      <c r="J13" s="132"/>
      <c r="L13" s="133" t="s">
        <v>164</v>
      </c>
      <c r="M13" s="133"/>
      <c r="N13" s="131">
        <v>3800</v>
      </c>
      <c r="O13" s="132"/>
      <c r="Q13" s="133" t="s">
        <v>168</v>
      </c>
      <c r="R13" s="133"/>
      <c r="S13" s="131"/>
      <c r="T13" s="132"/>
    </row>
    <row r="14" spans="2:20" hidden="1" x14ac:dyDescent="0.15">
      <c r="B14" s="133" t="s">
        <v>142</v>
      </c>
      <c r="C14" s="133"/>
      <c r="D14" s="131" t="s">
        <v>143</v>
      </c>
      <c r="E14" s="132"/>
      <c r="G14" s="133" t="s">
        <v>144</v>
      </c>
      <c r="H14" s="133"/>
      <c r="I14" s="106"/>
      <c r="J14" s="107"/>
      <c r="L14" s="133" t="s">
        <v>140</v>
      </c>
      <c r="M14" s="133"/>
      <c r="N14" s="131">
        <v>61</v>
      </c>
      <c r="O14" s="132"/>
      <c r="Q14" s="133" t="s">
        <v>141</v>
      </c>
      <c r="R14" s="133"/>
      <c r="S14" s="131"/>
      <c r="T14" s="132"/>
    </row>
    <row r="15" spans="2:20" hidden="1" x14ac:dyDescent="0.15">
      <c r="B15" s="133" t="s">
        <v>145</v>
      </c>
      <c r="C15" s="133"/>
      <c r="D15" s="131">
        <v>5000</v>
      </c>
      <c r="E15" s="132"/>
      <c r="G15" s="133" t="s">
        <v>146</v>
      </c>
      <c r="H15" s="133"/>
      <c r="I15" s="131"/>
      <c r="J15" s="132"/>
      <c r="L15" s="133" t="s">
        <v>142</v>
      </c>
      <c r="M15" s="133"/>
      <c r="N15" s="131" t="s">
        <v>143</v>
      </c>
      <c r="O15" s="132"/>
      <c r="Q15" s="133" t="s">
        <v>144</v>
      </c>
      <c r="R15" s="133"/>
      <c r="S15" s="106"/>
      <c r="T15" s="107"/>
    </row>
    <row r="16" spans="2:20" ht="11.25" hidden="1" thickBot="1" x14ac:dyDescent="0.2">
      <c r="B16" s="128" t="s">
        <v>147</v>
      </c>
      <c r="C16" s="128"/>
      <c r="D16" s="129" t="s">
        <v>148</v>
      </c>
      <c r="E16" s="130"/>
      <c r="G16" s="128" t="s">
        <v>149</v>
      </c>
      <c r="H16" s="128"/>
      <c r="I16" s="129"/>
      <c r="J16" s="130"/>
      <c r="L16" s="133" t="s">
        <v>145</v>
      </c>
      <c r="M16" s="133"/>
      <c r="N16" s="131">
        <v>5000</v>
      </c>
      <c r="O16" s="132"/>
      <c r="Q16" s="133" t="s">
        <v>146</v>
      </c>
      <c r="R16" s="133"/>
      <c r="S16" s="131"/>
      <c r="T16" s="132"/>
    </row>
    <row r="17" spans="2:25" ht="12" hidden="1" thickTop="1" thickBot="1" x14ac:dyDescent="0.2">
      <c r="L17" s="128" t="s">
        <v>147</v>
      </c>
      <c r="M17" s="128"/>
      <c r="N17" s="129" t="s">
        <v>148</v>
      </c>
      <c r="O17" s="130"/>
      <c r="Q17" s="128" t="s">
        <v>149</v>
      </c>
      <c r="R17" s="128"/>
      <c r="S17" s="129"/>
      <c r="T17" s="130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6" t="s">
        <v>188</v>
      </c>
      <c r="C22" s="126"/>
      <c r="D22" s="126"/>
      <c r="E22" s="126"/>
      <c r="G22" s="126" t="s">
        <v>189</v>
      </c>
      <c r="H22" s="126"/>
      <c r="I22" s="126"/>
      <c r="J22" s="126"/>
      <c r="L22" s="136" t="s">
        <v>189</v>
      </c>
      <c r="M22" s="136"/>
      <c r="N22" s="136"/>
      <c r="O22" s="136"/>
      <c r="Q22" s="126" t="s">
        <v>188</v>
      </c>
      <c r="R22" s="126"/>
      <c r="S22" s="126"/>
      <c r="T22" s="126"/>
      <c r="V22" s="136" t="s">
        <v>189</v>
      </c>
      <c r="W22" s="136"/>
      <c r="X22" s="136"/>
      <c r="Y22" s="136"/>
    </row>
    <row r="23" spans="2:25" ht="12" thickTop="1" x14ac:dyDescent="0.15">
      <c r="B23" s="119" t="s">
        <v>122</v>
      </c>
      <c r="C23" s="119"/>
      <c r="D23" s="125">
        <f ca="1">TODAY()</f>
        <v>43202</v>
      </c>
      <c r="E23" s="127"/>
      <c r="G23" s="119" t="s">
        <v>122</v>
      </c>
      <c r="H23" s="119"/>
      <c r="I23" s="125">
        <f ca="1">TODAY()</f>
        <v>43202</v>
      </c>
      <c r="J23" s="127"/>
      <c r="L23" s="119" t="s">
        <v>122</v>
      </c>
      <c r="M23" s="119"/>
      <c r="N23" s="125">
        <f ca="1">TODAY()</f>
        <v>43202</v>
      </c>
      <c r="O23" s="127"/>
      <c r="Q23" s="119" t="s">
        <v>122</v>
      </c>
      <c r="R23" s="119"/>
      <c r="S23" s="125">
        <f ca="1">TODAY()-1</f>
        <v>43201</v>
      </c>
      <c r="T23" s="127"/>
      <c r="V23" s="119" t="s">
        <v>122</v>
      </c>
      <c r="W23" s="119"/>
      <c r="X23" s="125">
        <f ca="1">TODAY()-1</f>
        <v>43201</v>
      </c>
      <c r="Y23" s="127"/>
    </row>
    <row r="24" spans="2:25" ht="11.25" x14ac:dyDescent="0.15">
      <c r="B24" s="119" t="s">
        <v>124</v>
      </c>
      <c r="C24" s="119"/>
      <c r="D24" s="120" t="s">
        <v>186</v>
      </c>
      <c r="E24" s="121"/>
      <c r="G24" s="119" t="s">
        <v>124</v>
      </c>
      <c r="H24" s="119"/>
      <c r="I24" s="120" t="s">
        <v>186</v>
      </c>
      <c r="J24" s="121"/>
      <c r="L24" s="119" t="s">
        <v>124</v>
      </c>
      <c r="M24" s="119"/>
      <c r="N24" s="120" t="s">
        <v>36</v>
      </c>
      <c r="O24" s="121"/>
      <c r="Q24" s="119" t="s">
        <v>124</v>
      </c>
      <c r="R24" s="119"/>
      <c r="S24" s="120" t="s">
        <v>36</v>
      </c>
      <c r="T24" s="121"/>
      <c r="V24" s="119" t="s">
        <v>124</v>
      </c>
      <c r="W24" s="119"/>
      <c r="X24" s="120" t="s">
        <v>36</v>
      </c>
      <c r="Y24" s="121"/>
    </row>
    <row r="25" spans="2:25" ht="11.25" x14ac:dyDescent="0.15">
      <c r="B25" s="119" t="s">
        <v>127</v>
      </c>
      <c r="C25" s="119"/>
      <c r="D25" s="120" t="s">
        <v>5</v>
      </c>
      <c r="E25" s="121"/>
      <c r="G25" s="119" t="s">
        <v>127</v>
      </c>
      <c r="H25" s="119"/>
      <c r="I25" s="120" t="s">
        <v>5</v>
      </c>
      <c r="J25" s="121"/>
      <c r="L25" s="119" t="s">
        <v>127</v>
      </c>
      <c r="M25" s="119"/>
      <c r="N25" s="120" t="s">
        <v>196</v>
      </c>
      <c r="O25" s="121"/>
      <c r="Q25" s="119" t="s">
        <v>127</v>
      </c>
      <c r="R25" s="119"/>
      <c r="S25" s="120" t="s">
        <v>187</v>
      </c>
      <c r="T25" s="121"/>
      <c r="V25" s="119" t="s">
        <v>127</v>
      </c>
      <c r="W25" s="119"/>
      <c r="X25" s="120" t="s">
        <v>187</v>
      </c>
      <c r="Y25" s="121"/>
    </row>
    <row r="26" spans="2:25" ht="11.25" x14ac:dyDescent="0.15">
      <c r="B26" s="119" t="s">
        <v>129</v>
      </c>
      <c r="C26" s="119"/>
      <c r="D26" s="120">
        <f>D31*D33</f>
        <v>388800</v>
      </c>
      <c r="E26" s="121"/>
      <c r="G26" s="119" t="s">
        <v>179</v>
      </c>
      <c r="H26" s="119"/>
      <c r="I26" s="120">
        <f>I31*I33</f>
        <v>271800</v>
      </c>
      <c r="J26" s="121"/>
      <c r="L26" s="119" t="s">
        <v>129</v>
      </c>
      <c r="M26" s="119"/>
      <c r="N26" s="120">
        <f>N31*N33</f>
        <v>275000</v>
      </c>
      <c r="O26" s="121"/>
      <c r="Q26" s="119" t="s">
        <v>129</v>
      </c>
      <c r="R26" s="119"/>
      <c r="S26" s="120">
        <f>S31*S33</f>
        <v>235799.99999999997</v>
      </c>
      <c r="T26" s="121"/>
      <c r="V26" s="119" t="s">
        <v>129</v>
      </c>
      <c r="W26" s="119"/>
      <c r="X26" s="120">
        <f>X31*X33</f>
        <v>235799.99999999997</v>
      </c>
      <c r="Y26" s="121"/>
    </row>
    <row r="27" spans="2:25" ht="11.25" x14ac:dyDescent="0.15">
      <c r="B27" s="119" t="s">
        <v>131</v>
      </c>
      <c r="C27" s="119"/>
      <c r="D27" s="120" t="s">
        <v>132</v>
      </c>
      <c r="E27" s="121"/>
      <c r="G27" s="119" t="s">
        <v>131</v>
      </c>
      <c r="H27" s="119"/>
      <c r="I27" s="120" t="s">
        <v>198</v>
      </c>
      <c r="J27" s="121"/>
      <c r="L27" s="119" t="s">
        <v>131</v>
      </c>
      <c r="M27" s="119"/>
      <c r="N27" s="120" t="s">
        <v>190</v>
      </c>
      <c r="O27" s="121"/>
      <c r="Q27" s="119" t="s">
        <v>131</v>
      </c>
      <c r="R27" s="119"/>
      <c r="S27" s="120" t="s">
        <v>191</v>
      </c>
      <c r="T27" s="121"/>
      <c r="V27" s="119" t="s">
        <v>131</v>
      </c>
      <c r="W27" s="119"/>
      <c r="X27" s="120" t="s">
        <v>190</v>
      </c>
      <c r="Y27" s="121"/>
    </row>
    <row r="28" spans="2:25" ht="11.25" x14ac:dyDescent="0.15">
      <c r="B28" s="119" t="s">
        <v>134</v>
      </c>
      <c r="C28" s="119"/>
      <c r="D28" s="125">
        <v>43182</v>
      </c>
      <c r="E28" s="121"/>
      <c r="G28" s="119" t="s">
        <v>134</v>
      </c>
      <c r="H28" s="119"/>
      <c r="I28" s="125">
        <v>43182</v>
      </c>
      <c r="J28" s="121"/>
      <c r="L28" s="119" t="s">
        <v>134</v>
      </c>
      <c r="M28" s="119"/>
      <c r="N28" s="125">
        <v>43219</v>
      </c>
      <c r="O28" s="121"/>
      <c r="Q28" s="119" t="s">
        <v>134</v>
      </c>
      <c r="R28" s="119"/>
      <c r="S28" s="125">
        <v>43201</v>
      </c>
      <c r="T28" s="121"/>
      <c r="V28" s="119" t="s">
        <v>134</v>
      </c>
      <c r="W28" s="119"/>
      <c r="X28" s="125">
        <v>43201</v>
      </c>
      <c r="Y28" s="121"/>
    </row>
    <row r="29" spans="2:25" ht="11.25" x14ac:dyDescent="0.15">
      <c r="B29" s="119" t="s">
        <v>136</v>
      </c>
      <c r="C29" s="119"/>
      <c r="D29" s="120">
        <v>3856</v>
      </c>
      <c r="E29" s="121"/>
      <c r="G29" s="119" t="s">
        <v>136</v>
      </c>
      <c r="H29" s="119"/>
      <c r="I29" s="120">
        <v>3856</v>
      </c>
      <c r="J29" s="121"/>
      <c r="L29" s="119" t="s">
        <v>136</v>
      </c>
      <c r="M29" s="119"/>
      <c r="N29" s="120">
        <v>3760</v>
      </c>
      <c r="O29" s="121"/>
      <c r="Q29" s="119" t="s">
        <v>136</v>
      </c>
      <c r="R29" s="119"/>
      <c r="S29" s="120">
        <v>524</v>
      </c>
      <c r="T29" s="121"/>
      <c r="V29" s="119" t="s">
        <v>136</v>
      </c>
      <c r="W29" s="119"/>
      <c r="X29" s="120">
        <v>524</v>
      </c>
      <c r="Y29" s="121"/>
    </row>
    <row r="30" spans="2:25" ht="11.25" x14ac:dyDescent="0.15">
      <c r="B30" s="119" t="s">
        <v>138</v>
      </c>
      <c r="C30" s="119"/>
      <c r="D30" s="120">
        <v>3800</v>
      </c>
      <c r="E30" s="121"/>
      <c r="G30" s="119" t="s">
        <v>138</v>
      </c>
      <c r="H30" s="119"/>
      <c r="I30" s="120">
        <v>3930</v>
      </c>
      <c r="J30" s="121"/>
      <c r="L30" s="119" t="s">
        <v>138</v>
      </c>
      <c r="M30" s="119"/>
      <c r="N30" s="120">
        <v>3700</v>
      </c>
      <c r="O30" s="121"/>
      <c r="Q30" s="119" t="s">
        <v>138</v>
      </c>
      <c r="R30" s="119"/>
      <c r="S30" s="120">
        <v>524</v>
      </c>
      <c r="T30" s="121"/>
      <c r="V30" s="119" t="s">
        <v>138</v>
      </c>
      <c r="W30" s="119"/>
      <c r="X30" s="120">
        <v>524</v>
      </c>
      <c r="Y30" s="121"/>
    </row>
    <row r="31" spans="2:25" ht="11.25" x14ac:dyDescent="0.15">
      <c r="B31" s="119" t="s">
        <v>140</v>
      </c>
      <c r="C31" s="119"/>
      <c r="D31" s="120">
        <v>38.880000000000003</v>
      </c>
      <c r="E31" s="121"/>
      <c r="G31" s="119" t="s">
        <v>199</v>
      </c>
      <c r="H31" s="119"/>
      <c r="I31" s="120">
        <v>27.18</v>
      </c>
      <c r="J31" s="121"/>
      <c r="L31" s="119" t="s">
        <v>140</v>
      </c>
      <c r="M31" s="119"/>
      <c r="N31" s="120">
        <v>55</v>
      </c>
      <c r="O31" s="121"/>
      <c r="Q31" s="119" t="s">
        <v>140</v>
      </c>
      <c r="R31" s="119"/>
      <c r="S31" s="120">
        <v>23.58</v>
      </c>
      <c r="T31" s="121"/>
      <c r="V31" s="119" t="s">
        <v>140</v>
      </c>
      <c r="W31" s="119"/>
      <c r="X31" s="120">
        <v>23.58</v>
      </c>
      <c r="Y31" s="121"/>
    </row>
    <row r="32" spans="2:25" ht="11.25" x14ac:dyDescent="0.15">
      <c r="B32" s="119" t="s">
        <v>142</v>
      </c>
      <c r="C32" s="119"/>
      <c r="D32" s="120" t="s">
        <v>197</v>
      </c>
      <c r="E32" s="121"/>
      <c r="G32" s="119" t="s">
        <v>200</v>
      </c>
      <c r="H32" s="119"/>
      <c r="I32" s="120" t="s">
        <v>197</v>
      </c>
      <c r="J32" s="121"/>
      <c r="L32" s="119" t="s">
        <v>142</v>
      </c>
      <c r="M32" s="119"/>
      <c r="N32" s="120" t="s">
        <v>195</v>
      </c>
      <c r="O32" s="121"/>
      <c r="Q32" s="119" t="s">
        <v>142</v>
      </c>
      <c r="R32" s="119"/>
      <c r="S32" s="120" t="s">
        <v>192</v>
      </c>
      <c r="T32" s="121"/>
      <c r="V32" s="119" t="s">
        <v>142</v>
      </c>
      <c r="W32" s="119"/>
      <c r="X32" s="120" t="s">
        <v>192</v>
      </c>
      <c r="Y32" s="121"/>
    </row>
    <row r="33" spans="2:25" ht="11.25" x14ac:dyDescent="0.15">
      <c r="B33" s="119" t="s">
        <v>145</v>
      </c>
      <c r="C33" s="119"/>
      <c r="D33" s="120">
        <v>10000</v>
      </c>
      <c r="E33" s="121"/>
      <c r="G33" s="119" t="s">
        <v>201</v>
      </c>
      <c r="H33" s="119"/>
      <c r="I33" s="120">
        <v>10000</v>
      </c>
      <c r="J33" s="121"/>
      <c r="L33" s="119" t="s">
        <v>145</v>
      </c>
      <c r="M33" s="119"/>
      <c r="N33" s="120">
        <v>5000</v>
      </c>
      <c r="O33" s="121"/>
      <c r="Q33" s="119" t="s">
        <v>145</v>
      </c>
      <c r="R33" s="119"/>
      <c r="S33" s="120">
        <v>10000</v>
      </c>
      <c r="T33" s="121"/>
      <c r="V33" s="119" t="s">
        <v>145</v>
      </c>
      <c r="W33" s="119"/>
      <c r="X33" s="120">
        <v>10000</v>
      </c>
      <c r="Y33" s="121"/>
    </row>
    <row r="34" spans="2:25" ht="12" thickBot="1" x14ac:dyDescent="0.2">
      <c r="B34" s="122" t="s">
        <v>147</v>
      </c>
      <c r="C34" s="122"/>
      <c r="D34" s="123" t="s">
        <v>148</v>
      </c>
      <c r="E34" s="124"/>
      <c r="G34" s="122" t="s">
        <v>147</v>
      </c>
      <c r="H34" s="122"/>
      <c r="I34" s="123" t="s">
        <v>148</v>
      </c>
      <c r="J34" s="124"/>
      <c r="L34" s="122" t="s">
        <v>147</v>
      </c>
      <c r="M34" s="122"/>
      <c r="N34" s="123" t="s">
        <v>148</v>
      </c>
      <c r="O34" s="124"/>
      <c r="Q34" s="122" t="s">
        <v>147</v>
      </c>
      <c r="R34" s="122"/>
      <c r="S34" s="123" t="s">
        <v>148</v>
      </c>
      <c r="T34" s="124"/>
      <c r="V34" s="122" t="s">
        <v>147</v>
      </c>
      <c r="W34" s="122"/>
      <c r="X34" s="123" t="s">
        <v>148</v>
      </c>
      <c r="Y34" s="124"/>
    </row>
    <row r="35" spans="2:25" ht="11.25" thickTop="1" x14ac:dyDescent="0.15"/>
    <row r="36" spans="2:25" ht="12" thickBot="1" x14ac:dyDescent="0.2">
      <c r="B36" s="126" t="s">
        <v>227</v>
      </c>
      <c r="C36" s="126"/>
      <c r="D36" s="126"/>
      <c r="E36" s="126"/>
      <c r="G36" s="126" t="s">
        <v>121</v>
      </c>
      <c r="H36" s="126"/>
      <c r="I36" s="126"/>
      <c r="J36" s="126"/>
      <c r="L36" s="126" t="s">
        <v>234</v>
      </c>
      <c r="M36" s="126"/>
      <c r="N36" s="126"/>
      <c r="O36" s="126"/>
    </row>
    <row r="37" spans="2:25" ht="12" thickTop="1" x14ac:dyDescent="0.15">
      <c r="B37" s="119" t="s">
        <v>122</v>
      </c>
      <c r="C37" s="119"/>
      <c r="D37" s="125"/>
      <c r="E37" s="127"/>
      <c r="G37" s="119" t="s">
        <v>122</v>
      </c>
      <c r="H37" s="119"/>
      <c r="I37" s="125">
        <v>43202</v>
      </c>
      <c r="J37" s="127"/>
      <c r="L37" s="119" t="s">
        <v>122</v>
      </c>
      <c r="M37" s="119"/>
      <c r="N37" s="125">
        <v>43202</v>
      </c>
      <c r="O37" s="127"/>
    </row>
    <row r="38" spans="2:25" ht="11.25" x14ac:dyDescent="0.15">
      <c r="B38" s="119" t="s">
        <v>124</v>
      </c>
      <c r="C38" s="119"/>
      <c r="D38" s="120"/>
      <c r="E38" s="121"/>
      <c r="G38" s="119" t="s">
        <v>124</v>
      </c>
      <c r="H38" s="119"/>
      <c r="I38" s="120" t="s">
        <v>4</v>
      </c>
      <c r="J38" s="121"/>
      <c r="L38" s="119" t="s">
        <v>124</v>
      </c>
      <c r="M38" s="119"/>
      <c r="N38" s="120" t="s">
        <v>246</v>
      </c>
      <c r="O38" s="121"/>
    </row>
    <row r="39" spans="2:25" ht="11.25" x14ac:dyDescent="0.15">
      <c r="B39" s="119" t="s">
        <v>127</v>
      </c>
      <c r="C39" s="119"/>
      <c r="D39" s="120"/>
      <c r="E39" s="121"/>
      <c r="G39" s="119" t="s">
        <v>127</v>
      </c>
      <c r="H39" s="119"/>
      <c r="I39" s="120" t="s">
        <v>232</v>
      </c>
      <c r="J39" s="121"/>
      <c r="L39" s="119" t="s">
        <v>127</v>
      </c>
      <c r="M39" s="119"/>
      <c r="N39" s="120" t="s">
        <v>232</v>
      </c>
      <c r="O39" s="121"/>
    </row>
    <row r="40" spans="2:25" ht="11.25" x14ac:dyDescent="0.15">
      <c r="B40" s="119" t="s">
        <v>179</v>
      </c>
      <c r="C40" s="119"/>
      <c r="D40" s="120"/>
      <c r="E40" s="121"/>
      <c r="G40" s="119" t="s">
        <v>179</v>
      </c>
      <c r="H40" s="119"/>
      <c r="I40" s="120">
        <f>I45*I47</f>
        <v>170000</v>
      </c>
      <c r="J40" s="121"/>
      <c r="L40" s="119" t="s">
        <v>129</v>
      </c>
      <c r="M40" s="119"/>
      <c r="N40" s="120">
        <f>N45*N47</f>
        <v>3150000</v>
      </c>
      <c r="O40" s="121"/>
    </row>
    <row r="41" spans="2:25" ht="11.25" x14ac:dyDescent="0.15">
      <c r="B41" s="119" t="s">
        <v>131</v>
      </c>
      <c r="C41" s="119"/>
      <c r="D41" s="120"/>
      <c r="E41" s="121"/>
      <c r="G41" s="119" t="s">
        <v>131</v>
      </c>
      <c r="H41" s="119"/>
      <c r="I41" s="120" t="s">
        <v>243</v>
      </c>
      <c r="J41" s="121"/>
      <c r="L41" s="119" t="s">
        <v>131</v>
      </c>
      <c r="M41" s="119"/>
      <c r="N41" s="120" t="s">
        <v>247</v>
      </c>
      <c r="O41" s="121"/>
    </row>
    <row r="42" spans="2:25" ht="11.25" x14ac:dyDescent="0.15">
      <c r="B42" s="119" t="s">
        <v>134</v>
      </c>
      <c r="C42" s="119"/>
      <c r="D42" s="125"/>
      <c r="E42" s="121"/>
      <c r="G42" s="119" t="s">
        <v>134</v>
      </c>
      <c r="H42" s="119"/>
      <c r="I42" s="125">
        <v>43301</v>
      </c>
      <c r="J42" s="121"/>
      <c r="L42" s="119" t="s">
        <v>134</v>
      </c>
      <c r="M42" s="119"/>
      <c r="N42" s="125">
        <v>43203</v>
      </c>
      <c r="O42" s="121"/>
    </row>
    <row r="43" spans="2:25" ht="11.25" x14ac:dyDescent="0.15">
      <c r="B43" s="119" t="s">
        <v>136</v>
      </c>
      <c r="C43" s="119"/>
      <c r="D43" s="120"/>
      <c r="E43" s="121"/>
      <c r="G43" s="119" t="s">
        <v>136</v>
      </c>
      <c r="H43" s="119"/>
      <c r="I43" s="120">
        <v>14520</v>
      </c>
      <c r="J43" s="121"/>
      <c r="L43" s="119" t="s">
        <v>136</v>
      </c>
      <c r="M43" s="140"/>
      <c r="N43" s="120">
        <v>3405</v>
      </c>
      <c r="O43" s="121"/>
    </row>
    <row r="44" spans="2:25" ht="11.25" x14ac:dyDescent="0.15">
      <c r="B44" s="119" t="s">
        <v>138</v>
      </c>
      <c r="C44" s="119"/>
      <c r="D44" s="120"/>
      <c r="E44" s="121"/>
      <c r="G44" s="119" t="s">
        <v>138</v>
      </c>
      <c r="H44" s="119"/>
      <c r="I44" s="120">
        <v>11500</v>
      </c>
      <c r="J44" s="121"/>
      <c r="L44" s="119" t="s">
        <v>138</v>
      </c>
      <c r="M44" s="119"/>
      <c r="N44" s="120">
        <v>3720</v>
      </c>
      <c r="O44" s="121"/>
    </row>
    <row r="45" spans="2:25" ht="11.25" x14ac:dyDescent="0.15">
      <c r="B45" s="119" t="s">
        <v>199</v>
      </c>
      <c r="C45" s="119"/>
      <c r="D45" s="120"/>
      <c r="E45" s="121"/>
      <c r="G45" s="119" t="s">
        <v>199</v>
      </c>
      <c r="H45" s="119"/>
      <c r="I45" s="120">
        <v>17</v>
      </c>
      <c r="J45" s="121"/>
      <c r="L45" s="119" t="s">
        <v>140</v>
      </c>
      <c r="M45" s="119"/>
      <c r="N45" s="120">
        <v>315</v>
      </c>
      <c r="O45" s="121"/>
    </row>
    <row r="46" spans="2:25" ht="11.25" x14ac:dyDescent="0.15">
      <c r="B46" s="119" t="s">
        <v>200</v>
      </c>
      <c r="C46" s="119"/>
      <c r="D46" s="120"/>
      <c r="E46" s="121"/>
      <c r="G46" s="119" t="s">
        <v>142</v>
      </c>
      <c r="H46" s="119"/>
      <c r="I46" s="120" t="s">
        <v>240</v>
      </c>
      <c r="J46" s="121"/>
      <c r="L46" s="119" t="s">
        <v>142</v>
      </c>
      <c r="M46" s="119"/>
      <c r="N46" s="120" t="s">
        <v>195</v>
      </c>
      <c r="O46" s="121"/>
    </row>
    <row r="47" spans="2:25" ht="11.25" x14ac:dyDescent="0.15">
      <c r="B47" s="119" t="s">
        <v>201</v>
      </c>
      <c r="C47" s="119"/>
      <c r="D47" s="120"/>
      <c r="E47" s="121"/>
      <c r="G47" s="119" t="s">
        <v>145</v>
      </c>
      <c r="H47" s="119"/>
      <c r="I47" s="120">
        <v>10000</v>
      </c>
      <c r="J47" s="121"/>
      <c r="L47" s="119" t="s">
        <v>145</v>
      </c>
      <c r="M47" s="119"/>
      <c r="N47" s="120">
        <v>10000</v>
      </c>
      <c r="O47" s="121"/>
    </row>
    <row r="48" spans="2:25" ht="12" thickBot="1" x14ac:dyDescent="0.2">
      <c r="B48" s="122" t="s">
        <v>147</v>
      </c>
      <c r="C48" s="122"/>
      <c r="D48" s="123"/>
      <c r="E48" s="124"/>
      <c r="G48" s="122" t="s">
        <v>147</v>
      </c>
      <c r="H48" s="122"/>
      <c r="I48" s="123" t="s">
        <v>236</v>
      </c>
      <c r="J48" s="124"/>
      <c r="L48" s="122" t="s">
        <v>147</v>
      </c>
      <c r="M48" s="122"/>
      <c r="N48" s="123" t="s">
        <v>233</v>
      </c>
      <c r="O48" s="124"/>
    </row>
    <row r="49" ht="11.25" thickTop="1" x14ac:dyDescent="0.15"/>
  </sheetData>
  <mergeCells count="301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5"/>
  <sheetViews>
    <sheetView topLeftCell="A4" zoomScaleNormal="100" workbookViewId="0">
      <selection activeCell="D47" sqref="D47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1" t="s">
        <v>37</v>
      </c>
      <c r="C1" s="141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43202</v>
      </c>
      <c r="F8" s="21">
        <f ca="1">E8+H8</f>
        <v>43382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220</v>
      </c>
      <c r="E9" s="8">
        <f t="shared" ca="1" si="0"/>
        <v>43202</v>
      </c>
      <c r="F9" s="8">
        <f t="shared" ref="F9" ca="1" si="1">E9+H9</f>
        <v>43293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 t="e">
        <f>_xll.dnetGBlackScholesNGreeks("price",$Q9,$P9,$G9,$I9,$C$3,$J9,$K9,$C$4)*R9</f>
        <v>#VALUE!</v>
      </c>
      <c r="M9" s="15"/>
      <c r="N9" s="13" t="e">
        <f t="shared" ref="N9:N10" si="2">M9/10000*I9*P9</f>
        <v>#N/A</v>
      </c>
      <c r="O9" s="13" t="e">
        <f>IF(L9&lt;=0,ABS(L9)+N9,L9-N9)</f>
        <v>#VALUE!</v>
      </c>
      <c r="P9" s="11" t="e">
        <f>RTD("wdf.rtq",,D9,"LastPrice")</f>
        <v>#N/A</v>
      </c>
      <c r="Q9" s="10" t="s">
        <v>85</v>
      </c>
      <c r="R9" s="10">
        <f t="shared" ref="R9" si="3">IF(S9="中金买入",1,-1)</f>
        <v>-1</v>
      </c>
      <c r="S9" s="10" t="s">
        <v>20</v>
      </c>
      <c r="T9" s="14" t="e">
        <f t="shared" ref="T9" si="4">O9/P9</f>
        <v>#VALUE!</v>
      </c>
      <c r="U9" s="13" t="e">
        <f>_xll.dnetGBlackScholesNGreeks("delta",$Q9,$P9,$G9,$I9,$C$3,$J9,$K9,$C$4)*R9</f>
        <v>#VALUE!</v>
      </c>
      <c r="V9" s="13" t="e">
        <f>_xll.dnetGBlackScholesNGreeks("vega",$Q9,$P9,$G9,$I9,$C$3,$J9,$K9,$C$4)*R9</f>
        <v>#VALUE!</v>
      </c>
      <c r="X9" s="6" t="e">
        <f>2000*U9</f>
        <v>#VALUE!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230</v>
      </c>
      <c r="E11" s="8">
        <f t="shared" ref="E11:E13" ca="1" si="5">TODAY()</f>
        <v>43202</v>
      </c>
      <c r="F11" s="8">
        <f t="shared" ref="F11" ca="1" si="6">E11+H11</f>
        <v>43260</v>
      </c>
      <c r="G11" s="10">
        <v>3500</v>
      </c>
      <c r="H11" s="10">
        <v>58</v>
      </c>
      <c r="I11" s="12">
        <f>(H11-4)/365</f>
        <v>0.14794520547945206</v>
      </c>
      <c r="J11" s="12">
        <v>0</v>
      </c>
      <c r="K11" s="9">
        <v>0.2</v>
      </c>
      <c r="L11" s="13">
        <f>_xll.dnetGBlackScholesNGreeks("price",$Q11,$P11,$G11,$I11,$C$3,$J11,$K11,$C$4)*R11</f>
        <v>210.35168222820812</v>
      </c>
      <c r="M11" s="15"/>
      <c r="N11" s="13">
        <f t="shared" ref="N11" si="7">M11/10000*I11*P11</f>
        <v>0</v>
      </c>
      <c r="O11" s="13">
        <f>IF(L11&lt;=0,ABS(L11)+N11,L11-N11)</f>
        <v>210.35168222820812</v>
      </c>
      <c r="P11" s="11">
        <v>3330</v>
      </c>
      <c r="Q11" s="10" t="s">
        <v>85</v>
      </c>
      <c r="R11" s="10">
        <f t="shared" ref="R11" si="8">IF(S11="中金买入",1,-1)</f>
        <v>1</v>
      </c>
      <c r="S11" s="10" t="s">
        <v>151</v>
      </c>
      <c r="T11" s="14">
        <f t="shared" ref="T11" si="9">O11/P11</f>
        <v>6.3168673341804246E-2</v>
      </c>
      <c r="U11" s="13">
        <f>_xll.dnetGBlackScholesNGreeks("delta",$Q11,$P11,$G11,$I11,$C$3,$J11,$K11,$C$4)*R11</f>
        <v>-0.72651184525511781</v>
      </c>
      <c r="V11" s="13">
        <f>_xll.dnetGBlackScholesNGreeks("vega",$Q11,$P11,$G11,$I11,$C$3,$J11,$K11,$C$4)*R11</f>
        <v>4.2310263173901603</v>
      </c>
      <c r="X11" s="6">
        <f>2000*U11</f>
        <v>-1453.0236905102356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161</v>
      </c>
      <c r="D13" s="10" t="s">
        <v>240</v>
      </c>
      <c r="E13" s="8">
        <f t="shared" ca="1" si="5"/>
        <v>43202</v>
      </c>
      <c r="F13" s="8">
        <f t="shared" ref="F13" ca="1" si="10">E13+H13</f>
        <v>43301</v>
      </c>
      <c r="G13" s="10">
        <v>11500</v>
      </c>
      <c r="H13" s="10">
        <v>99</v>
      </c>
      <c r="I13" s="12">
        <f>(H13)/365</f>
        <v>0.27123287671232876</v>
      </c>
      <c r="J13" s="12">
        <v>0</v>
      </c>
      <c r="K13" s="9">
        <v>0.23499999999999999</v>
      </c>
      <c r="L13" s="13" t="e">
        <f>_xll.dnetGBlackScholesNGreeks("price",$Q13,$P13,$G13,$I13,$C$3,$J13,$K13,$C$4)*R13</f>
        <v>#VALUE!</v>
      </c>
      <c r="M13" s="15">
        <v>0</v>
      </c>
      <c r="N13" s="13" t="e">
        <f t="shared" ref="N13" si="11">M13/10000*I13*P13</f>
        <v>#N/A</v>
      </c>
      <c r="O13" s="13" t="e">
        <f>IF(L13&lt;=0,ABS(L13)+N13,L13-N13)</f>
        <v>#VALUE!</v>
      </c>
      <c r="P13" s="11" t="e">
        <f>RTD("wdf.rtq",,D13,"LastPrice")</f>
        <v>#N/A</v>
      </c>
      <c r="Q13" s="10" t="s">
        <v>85</v>
      </c>
      <c r="R13" s="10">
        <f t="shared" ref="R13" si="12">IF(S13="中金买入",1,-1)</f>
        <v>-1</v>
      </c>
      <c r="S13" s="10" t="s">
        <v>20</v>
      </c>
      <c r="T13" s="14" t="e">
        <f t="shared" ref="T13" si="13">O13/P13</f>
        <v>#VALUE!</v>
      </c>
      <c r="U13" s="13" t="e">
        <f>_xll.dnetGBlackScholesNGreeks("delta",$Q13,$P13,$G13,$I13,$C$3,$J13,$K13,$C$4)*R13</f>
        <v>#VALUE!</v>
      </c>
      <c r="V13" s="13" t="e">
        <f>_xll.dnetGBlackScholesNGreeks("vega",$Q13,$P13,$G13,$I13,$C$3,$J13,$K13,$C$4)*R13</f>
        <v>#VALUE!</v>
      </c>
      <c r="X13" s="6" t="e">
        <f>2000*U13</f>
        <v>#VALUE!</v>
      </c>
    </row>
    <row r="14" spans="1:25" ht="10.5" customHeight="1" x14ac:dyDescent="0.15">
      <c r="A14" s="34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34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242</v>
      </c>
      <c r="E16" s="8">
        <f t="shared" ref="E16:E26" ca="1" si="14">TODAY()</f>
        <v>43202</v>
      </c>
      <c r="F16" s="8">
        <f t="shared" ref="F16:F17" ca="1" si="15">E16+H16</f>
        <v>43233</v>
      </c>
      <c r="G16" s="10">
        <v>3300</v>
      </c>
      <c r="H16" s="10">
        <v>31</v>
      </c>
      <c r="I16" s="12">
        <f t="shared" ref="I16:I21" si="16">(H16-2)/365</f>
        <v>7.9452054794520555E-2</v>
      </c>
      <c r="J16" s="12">
        <v>0</v>
      </c>
      <c r="K16" s="9">
        <v>0.185</v>
      </c>
      <c r="L16" s="13" t="e">
        <f>_xll.dnetGBlackScholesNGreeks("price",$Q16,$P16,$G16,$I16,$C$3,$J16,$K16,$C$4)*R16</f>
        <v>#VALUE!</v>
      </c>
      <c r="M16" s="15">
        <v>0</v>
      </c>
      <c r="N16" s="13" t="e">
        <f t="shared" ref="N16:N17" si="17">M16/10000*I16*P16</f>
        <v>#N/A</v>
      </c>
      <c r="O16" s="13" t="e">
        <f t="shared" ref="O16:O21" si="18">IF(L16&lt;=0,ABS(L16)+N16,L16-N16)</f>
        <v>#VALUE!</v>
      </c>
      <c r="P16" s="11" t="e">
        <f>RTD("wdf.rtq",,D16,"LastPrice")</f>
        <v>#N/A</v>
      </c>
      <c r="Q16" s="10" t="s">
        <v>85</v>
      </c>
      <c r="R16" s="10">
        <f t="shared" ref="R16:R17" si="19">IF(S16="中金买入",1,-1)</f>
        <v>1</v>
      </c>
      <c r="S16" s="10" t="s">
        <v>151</v>
      </c>
      <c r="T16" s="14" t="e">
        <f t="shared" ref="T16:T17" si="20">O16/P16</f>
        <v>#VALUE!</v>
      </c>
      <c r="U16" s="13" t="e">
        <f>_xll.dnetGBlackScholesNGreeks("delta",$Q16,$P16,$G16,$I16,$C$3,$J16,$K16,$C$4)*R16</f>
        <v>#VALUE!</v>
      </c>
      <c r="V16" s="13" t="e">
        <f>_xll.dnetGBlackScholesNGreeks("vega",$Q16,$P16,$G16,$I16,$C$3,$J16,$K16,$C$4)*R16</f>
        <v>#VALUE!</v>
      </c>
      <c r="X16" s="6" t="e">
        <f>1000*U16</f>
        <v>#VALUE!</v>
      </c>
    </row>
    <row r="17" spans="1:24" ht="10.5" customHeight="1" x14ac:dyDescent="0.15">
      <c r="A17" s="34"/>
      <c r="B17" s="13" t="s">
        <v>172</v>
      </c>
      <c r="C17" s="10" t="s">
        <v>161</v>
      </c>
      <c r="D17" s="10" t="s">
        <v>242</v>
      </c>
      <c r="E17" s="8">
        <f t="shared" ca="1" si="14"/>
        <v>43202</v>
      </c>
      <c r="F17" s="8">
        <f t="shared" ca="1" si="15"/>
        <v>43264</v>
      </c>
      <c r="G17" s="10">
        <v>3300</v>
      </c>
      <c r="H17" s="10">
        <v>62</v>
      </c>
      <c r="I17" s="12">
        <f t="shared" si="16"/>
        <v>0.16438356164383561</v>
      </c>
      <c r="J17" s="12">
        <v>0</v>
      </c>
      <c r="K17" s="9">
        <v>0.185</v>
      </c>
      <c r="L17" s="13" t="e">
        <f>_xll.dnetGBlackScholesNGreeks("price",$Q17,$P17,$G17,$I17,$C$3,$J17,$K17,$C$4)*R17</f>
        <v>#VALUE!</v>
      </c>
      <c r="M17" s="15">
        <v>0</v>
      </c>
      <c r="N17" s="13" t="e">
        <f t="shared" si="17"/>
        <v>#N/A</v>
      </c>
      <c r="O17" s="13" t="e">
        <f t="shared" si="18"/>
        <v>#VALUE!</v>
      </c>
      <c r="P17" s="11" t="e">
        <f>RTD("wdf.rtq",,D17,"LastPrice")</f>
        <v>#N/A</v>
      </c>
      <c r="Q17" s="10" t="s">
        <v>85</v>
      </c>
      <c r="R17" s="10">
        <f t="shared" si="19"/>
        <v>1</v>
      </c>
      <c r="S17" s="10" t="s">
        <v>151</v>
      </c>
      <c r="T17" s="14" t="e">
        <f t="shared" si="20"/>
        <v>#VALUE!</v>
      </c>
      <c r="U17" s="13" t="e">
        <f>_xll.dnetGBlackScholesNGreeks("delta",$Q17,$P17,$G17,$I17,$C$3,$J17,$K17,$C$4)*R17</f>
        <v>#VALUE!</v>
      </c>
      <c r="V17" s="13" t="e">
        <f>_xll.dnetGBlackScholesNGreeks("vega",$Q17,$P17,$G17,$I17,$C$3,$J17,$K17,$C$4)*R17</f>
        <v>#VALUE!</v>
      </c>
      <c r="X17" s="6" t="e">
        <f t="shared" ref="X17:X21" si="21">1000*U17</f>
        <v>#VALUE!</v>
      </c>
    </row>
    <row r="18" spans="1:24" x14ac:dyDescent="0.15">
      <c r="B18" s="13" t="s">
        <v>172</v>
      </c>
      <c r="C18" s="10" t="s">
        <v>161</v>
      </c>
      <c r="D18" s="10" t="s">
        <v>242</v>
      </c>
      <c r="E18" s="8">
        <f t="shared" ca="1" si="14"/>
        <v>43202</v>
      </c>
      <c r="F18" s="8">
        <f t="shared" ref="F18:F21" ca="1" si="22">E18+H18</f>
        <v>43233</v>
      </c>
      <c r="G18" s="10">
        <v>3250</v>
      </c>
      <c r="H18" s="10">
        <v>31</v>
      </c>
      <c r="I18" s="12">
        <f t="shared" si="16"/>
        <v>7.9452054794520555E-2</v>
      </c>
      <c r="J18" s="12">
        <v>0</v>
      </c>
      <c r="K18" s="9">
        <v>0.185</v>
      </c>
      <c r="L18" s="13" t="e">
        <f>_xll.dnetGBlackScholesNGreeks("price",$Q18,$P18,$G18,$I18,$C$3,$J18,$K18,$C$4)*R18</f>
        <v>#VALUE!</v>
      </c>
      <c r="M18" s="15">
        <v>0</v>
      </c>
      <c r="N18" s="13" t="e">
        <f t="shared" ref="N18:N21" si="23">M18/10000*I18*P18</f>
        <v>#N/A</v>
      </c>
      <c r="O18" s="13" t="e">
        <f t="shared" si="18"/>
        <v>#VALUE!</v>
      </c>
      <c r="P18" s="11" t="e">
        <f>RTD("wdf.rtq",,D18,"LastPrice")</f>
        <v>#N/A</v>
      </c>
      <c r="Q18" s="10" t="s">
        <v>85</v>
      </c>
      <c r="R18" s="10">
        <f t="shared" ref="R18:R21" si="24">IF(S18="中金买入",1,-1)</f>
        <v>1</v>
      </c>
      <c r="S18" s="10" t="s">
        <v>151</v>
      </c>
      <c r="T18" s="14" t="e">
        <f t="shared" ref="T18:T21" si="25">O18/P18</f>
        <v>#VALUE!</v>
      </c>
      <c r="U18" s="13" t="e">
        <f>_xll.dnetGBlackScholesNGreeks("delta",$Q18,$P18,$G18,$I18,$C$3,$J18,$K18,$C$4)*R18</f>
        <v>#VALUE!</v>
      </c>
      <c r="V18" s="13" t="e">
        <f>_xll.dnetGBlackScholesNGreeks("vega",$Q18,$P18,$G18,$I18,$C$3,$J18,$K18,$C$4)*R18</f>
        <v>#VALUE!</v>
      </c>
      <c r="X18" s="6" t="e">
        <f t="shared" si="21"/>
        <v>#VALUE!</v>
      </c>
    </row>
    <row r="19" spans="1:24" ht="10.5" customHeight="1" x14ac:dyDescent="0.15">
      <c r="A19" s="34"/>
      <c r="B19" s="13" t="s">
        <v>172</v>
      </c>
      <c r="C19" s="10" t="s">
        <v>161</v>
      </c>
      <c r="D19" s="10" t="s">
        <v>242</v>
      </c>
      <c r="E19" s="8">
        <f t="shared" ca="1" si="14"/>
        <v>43202</v>
      </c>
      <c r="F19" s="8">
        <f t="shared" ca="1" si="22"/>
        <v>43264</v>
      </c>
      <c r="G19" s="10">
        <v>3250</v>
      </c>
      <c r="H19" s="10">
        <v>62</v>
      </c>
      <c r="I19" s="12">
        <f t="shared" si="16"/>
        <v>0.16438356164383561</v>
      </c>
      <c r="J19" s="12">
        <v>0</v>
      </c>
      <c r="K19" s="9">
        <v>0.185</v>
      </c>
      <c r="L19" s="13" t="e">
        <f>_xll.dnetGBlackScholesNGreeks("price",$Q19,$P19,$G19,$I19,$C$3,$J19,$K19,$C$4)*R19</f>
        <v>#VALUE!</v>
      </c>
      <c r="M19" s="15">
        <v>0</v>
      </c>
      <c r="N19" s="13" t="e">
        <f t="shared" si="23"/>
        <v>#N/A</v>
      </c>
      <c r="O19" s="13" t="e">
        <f t="shared" si="18"/>
        <v>#VALUE!</v>
      </c>
      <c r="P19" s="11" t="e">
        <f>RTD("wdf.rtq",,D19,"LastPrice")</f>
        <v>#N/A</v>
      </c>
      <c r="Q19" s="10" t="s">
        <v>85</v>
      </c>
      <c r="R19" s="10">
        <f t="shared" si="24"/>
        <v>1</v>
      </c>
      <c r="S19" s="10" t="s">
        <v>151</v>
      </c>
      <c r="T19" s="14" t="e">
        <f t="shared" si="25"/>
        <v>#VALUE!</v>
      </c>
      <c r="U19" s="13" t="e">
        <f>_xll.dnetGBlackScholesNGreeks("delta",$Q19,$P19,$G19,$I19,$C$3,$J19,$K19,$C$4)*R19</f>
        <v>#VALUE!</v>
      </c>
      <c r="V19" s="13" t="e">
        <f>_xll.dnetGBlackScholesNGreeks("vega",$Q19,$P19,$G19,$I19,$C$3,$J19,$K19,$C$4)*R19</f>
        <v>#VALUE!</v>
      </c>
      <c r="X19" s="6" t="e">
        <f t="shared" si="21"/>
        <v>#VALUE!</v>
      </c>
    </row>
    <row r="20" spans="1:24" ht="10.5" customHeight="1" x14ac:dyDescent="0.15">
      <c r="A20" s="34"/>
      <c r="B20" s="13" t="s">
        <v>172</v>
      </c>
      <c r="C20" s="10" t="s">
        <v>161</v>
      </c>
      <c r="D20" s="10" t="s">
        <v>242</v>
      </c>
      <c r="E20" s="8">
        <f t="shared" ca="1" si="14"/>
        <v>43202</v>
      </c>
      <c r="F20" s="8">
        <f t="shared" ca="1" si="22"/>
        <v>43233</v>
      </c>
      <c r="G20" s="10">
        <v>3200</v>
      </c>
      <c r="H20" s="10">
        <v>31</v>
      </c>
      <c r="I20" s="12">
        <f t="shared" si="16"/>
        <v>7.9452054794520555E-2</v>
      </c>
      <c r="J20" s="12">
        <v>0</v>
      </c>
      <c r="K20" s="9">
        <v>0.185</v>
      </c>
      <c r="L20" s="13" t="e">
        <f>_xll.dnetGBlackScholesNGreeks("price",$Q20,$P20,$G20,$I20,$C$3,$J20,$K20,$C$4)*R20</f>
        <v>#VALUE!</v>
      </c>
      <c r="M20" s="15">
        <v>0</v>
      </c>
      <c r="N20" s="13" t="e">
        <f t="shared" si="23"/>
        <v>#N/A</v>
      </c>
      <c r="O20" s="13" t="e">
        <f t="shared" si="18"/>
        <v>#VALUE!</v>
      </c>
      <c r="P20" s="11" t="e">
        <f>RTD("wdf.rtq",,D20,"LastPrice")</f>
        <v>#N/A</v>
      </c>
      <c r="Q20" s="10" t="s">
        <v>85</v>
      </c>
      <c r="R20" s="10">
        <f t="shared" si="24"/>
        <v>1</v>
      </c>
      <c r="S20" s="10" t="s">
        <v>151</v>
      </c>
      <c r="T20" s="14" t="e">
        <f t="shared" si="25"/>
        <v>#VALUE!</v>
      </c>
      <c r="U20" s="13" t="e">
        <f>_xll.dnetGBlackScholesNGreeks("delta",$Q20,$P20,$G20,$I20,$C$3,$J20,$K20,$C$4)*R20</f>
        <v>#VALUE!</v>
      </c>
      <c r="V20" s="13" t="e">
        <f>_xll.dnetGBlackScholesNGreeks("vega",$Q20,$P20,$G20,$I20,$C$3,$J20,$K20,$C$4)*R20</f>
        <v>#VALUE!</v>
      </c>
      <c r="X20" s="6" t="e">
        <f t="shared" si="21"/>
        <v>#VALUE!</v>
      </c>
    </row>
    <row r="21" spans="1:24" ht="10.5" customHeight="1" x14ac:dyDescent="0.15">
      <c r="A21" s="34"/>
      <c r="B21" s="13" t="s">
        <v>172</v>
      </c>
      <c r="C21" s="10" t="s">
        <v>161</v>
      </c>
      <c r="D21" s="10" t="s">
        <v>242</v>
      </c>
      <c r="E21" s="8">
        <f t="shared" ca="1" si="14"/>
        <v>43202</v>
      </c>
      <c r="F21" s="8">
        <f t="shared" ca="1" si="22"/>
        <v>43264</v>
      </c>
      <c r="G21" s="10">
        <v>3200</v>
      </c>
      <c r="H21" s="10">
        <v>62</v>
      </c>
      <c r="I21" s="12">
        <f t="shared" si="16"/>
        <v>0.16438356164383561</v>
      </c>
      <c r="J21" s="12">
        <v>0</v>
      </c>
      <c r="K21" s="9">
        <v>0.185</v>
      </c>
      <c r="L21" s="13" t="e">
        <f>_xll.dnetGBlackScholesNGreeks("price",$Q21,$P21,$G21,$I21,$C$3,$J21,$K21,$C$4)*R21</f>
        <v>#VALUE!</v>
      </c>
      <c r="M21" s="15">
        <v>0</v>
      </c>
      <c r="N21" s="13" t="e">
        <f t="shared" si="23"/>
        <v>#N/A</v>
      </c>
      <c r="O21" s="13" t="e">
        <f t="shared" si="18"/>
        <v>#VALUE!</v>
      </c>
      <c r="P21" s="11" t="e">
        <f>RTD("wdf.rtq",,D21,"LastPrice")</f>
        <v>#N/A</v>
      </c>
      <c r="Q21" s="10" t="s">
        <v>85</v>
      </c>
      <c r="R21" s="10">
        <f t="shared" si="24"/>
        <v>1</v>
      </c>
      <c r="S21" s="10" t="s">
        <v>151</v>
      </c>
      <c r="T21" s="14" t="e">
        <f t="shared" si="25"/>
        <v>#VALUE!</v>
      </c>
      <c r="U21" s="13" t="e">
        <f>_xll.dnetGBlackScholesNGreeks("delta",$Q21,$P21,$G21,$I21,$C$3,$J21,$K21,$C$4)*R21</f>
        <v>#VALUE!</v>
      </c>
      <c r="V21" s="13" t="e">
        <f>_xll.dnetGBlackScholesNGreeks("vega",$Q21,$P21,$G21,$I21,$C$3,$J21,$K21,$C$4)*R21</f>
        <v>#VALUE!</v>
      </c>
      <c r="X21" s="6" t="e">
        <f t="shared" si="21"/>
        <v>#VALUE!</v>
      </c>
    </row>
    <row r="22" spans="1:24" ht="10.5" customHeight="1" x14ac:dyDescent="0.15">
      <c r="A22" s="34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4" ht="10.5" customHeight="1" x14ac:dyDescent="0.15">
      <c r="A23" s="34"/>
      <c r="B23" s="13" t="s">
        <v>172</v>
      </c>
      <c r="C23" s="10" t="s">
        <v>161</v>
      </c>
      <c r="D23" s="10" t="s">
        <v>242</v>
      </c>
      <c r="E23" s="8">
        <f t="shared" ca="1" si="14"/>
        <v>43202</v>
      </c>
      <c r="F23" s="8">
        <f t="shared" ref="F23:F26" ca="1" si="26">E23+H23</f>
        <v>43233</v>
      </c>
      <c r="G23" s="10">
        <v>3400</v>
      </c>
      <c r="H23" s="10">
        <v>31</v>
      </c>
      <c r="I23" s="12">
        <f>(H23-2)/365</f>
        <v>7.9452054794520555E-2</v>
      </c>
      <c r="J23" s="12">
        <v>0</v>
      </c>
      <c r="K23" s="9">
        <v>0.19</v>
      </c>
      <c r="L23" s="13" t="e">
        <f>_xll.dnetGBlackScholesNGreeks("price",$Q23,$P23,$G23,$I23,$C$3,$J23,$K23,$C$4)*R23</f>
        <v>#VALUE!</v>
      </c>
      <c r="M23" s="15">
        <v>0</v>
      </c>
      <c r="N23" s="13" t="e">
        <f t="shared" ref="N23:N26" si="27">M23/10000*I23*P23</f>
        <v>#N/A</v>
      </c>
      <c r="O23" s="13" t="e">
        <f>IF(L23&lt;=0,ABS(L23)+N23,L23-N23)</f>
        <v>#VALUE!</v>
      </c>
      <c r="P23" s="11" t="e">
        <f>RTD("wdf.rtq",,D23,"LastPrice")</f>
        <v>#N/A</v>
      </c>
      <c r="Q23" s="10" t="s">
        <v>85</v>
      </c>
      <c r="R23" s="10">
        <f t="shared" ref="R23:R26" si="28">IF(S23="中金买入",1,-1)</f>
        <v>1</v>
      </c>
      <c r="S23" s="10" t="s">
        <v>151</v>
      </c>
      <c r="T23" s="14" t="e">
        <f t="shared" ref="T23:T26" si="29">O23/P23</f>
        <v>#VALUE!</v>
      </c>
      <c r="U23" s="13" t="e">
        <f>_xll.dnetGBlackScholesNGreeks("delta",$Q23,$P23,$G23,$I23,$C$3,$J23,$K23,$C$4)*R23</f>
        <v>#VALUE!</v>
      </c>
      <c r="V23" s="13" t="e">
        <f>_xll.dnetGBlackScholesNGreeks("vega",$Q23,$P23,$G23,$I23,$C$3,$J23,$K23,$C$4)*R23</f>
        <v>#VALUE!</v>
      </c>
      <c r="X23" s="6" t="e">
        <f>1000*U23</f>
        <v>#VALUE!</v>
      </c>
    </row>
    <row r="24" spans="1:24" ht="10.5" customHeight="1" x14ac:dyDescent="0.15">
      <c r="A24" s="34"/>
      <c r="B24" s="13" t="s">
        <v>172</v>
      </c>
      <c r="C24" s="10" t="s">
        <v>161</v>
      </c>
      <c r="D24" s="10" t="s">
        <v>242</v>
      </c>
      <c r="E24" s="8">
        <f t="shared" ca="1" si="14"/>
        <v>43202</v>
      </c>
      <c r="F24" s="8">
        <f t="shared" ca="1" si="26"/>
        <v>43264</v>
      </c>
      <c r="G24" s="10">
        <v>3400</v>
      </c>
      <c r="H24" s="10">
        <v>62</v>
      </c>
      <c r="I24" s="12">
        <f>(H24-2)/365</f>
        <v>0.16438356164383561</v>
      </c>
      <c r="J24" s="12">
        <v>0</v>
      </c>
      <c r="K24" s="9">
        <v>0.19</v>
      </c>
      <c r="L24" s="13" t="e">
        <f>_xll.dnetGBlackScholesNGreeks("price",$Q24,$P24,$G24,$I24,$C$3,$J24,$K24,$C$4)*R24</f>
        <v>#VALUE!</v>
      </c>
      <c r="M24" s="15">
        <v>0</v>
      </c>
      <c r="N24" s="13" t="e">
        <f t="shared" si="27"/>
        <v>#N/A</v>
      </c>
      <c r="O24" s="13" t="e">
        <f>IF(L24&lt;=0,ABS(L24)+N24,L24-N24)</f>
        <v>#VALUE!</v>
      </c>
      <c r="P24" s="11" t="e">
        <f>RTD("wdf.rtq",,D24,"LastPrice")</f>
        <v>#N/A</v>
      </c>
      <c r="Q24" s="10" t="s">
        <v>85</v>
      </c>
      <c r="R24" s="10">
        <f t="shared" si="28"/>
        <v>1</v>
      </c>
      <c r="S24" s="10" t="s">
        <v>151</v>
      </c>
      <c r="T24" s="14" t="e">
        <f t="shared" si="29"/>
        <v>#VALUE!</v>
      </c>
      <c r="U24" s="13" t="e">
        <f>_xll.dnetGBlackScholesNGreeks("delta",$Q24,$P24,$G24,$I24,$C$3,$J24,$K24,$C$4)*R24</f>
        <v>#VALUE!</v>
      </c>
      <c r="V24" s="13" t="e">
        <f>_xll.dnetGBlackScholesNGreeks("vega",$Q24,$P24,$G24,$I24,$C$3,$J24,$K24,$C$4)*R24</f>
        <v>#VALUE!</v>
      </c>
      <c r="X24" s="6" t="e">
        <f t="shared" ref="X24:X26" si="30">1000*U24</f>
        <v>#VALUE!</v>
      </c>
    </row>
    <row r="25" spans="1:24" x14ac:dyDescent="0.15">
      <c r="B25" s="13" t="s">
        <v>172</v>
      </c>
      <c r="C25" s="10" t="s">
        <v>161</v>
      </c>
      <c r="D25" s="10" t="s">
        <v>242</v>
      </c>
      <c r="E25" s="8">
        <f t="shared" ca="1" si="14"/>
        <v>43202</v>
      </c>
      <c r="F25" s="8">
        <f t="shared" ca="1" si="26"/>
        <v>43233</v>
      </c>
      <c r="G25" s="10">
        <v>3350</v>
      </c>
      <c r="H25" s="10">
        <v>31</v>
      </c>
      <c r="I25" s="12">
        <f>(H25-2)/365</f>
        <v>7.9452054794520555E-2</v>
      </c>
      <c r="J25" s="12">
        <v>0</v>
      </c>
      <c r="K25" s="9">
        <v>0.19</v>
      </c>
      <c r="L25" s="13" t="e">
        <f>_xll.dnetGBlackScholesNGreeks("price",$Q25,$P25,$G25,$I25,$C$3,$J25,$K25,$C$4)*R25</f>
        <v>#VALUE!</v>
      </c>
      <c r="M25" s="15">
        <v>0</v>
      </c>
      <c r="N25" s="13" t="e">
        <f t="shared" si="27"/>
        <v>#N/A</v>
      </c>
      <c r="O25" s="13" t="e">
        <f>IF(L25&lt;=0,ABS(L25)+N25,L25-N25)</f>
        <v>#VALUE!</v>
      </c>
      <c r="P25" s="11" t="e">
        <f>RTD("wdf.rtq",,D25,"LastPrice")</f>
        <v>#N/A</v>
      </c>
      <c r="Q25" s="10" t="s">
        <v>85</v>
      </c>
      <c r="R25" s="10">
        <f t="shared" si="28"/>
        <v>1</v>
      </c>
      <c r="S25" s="10" t="s">
        <v>151</v>
      </c>
      <c r="T25" s="14" t="e">
        <f t="shared" si="29"/>
        <v>#VALUE!</v>
      </c>
      <c r="U25" s="13" t="e">
        <f>_xll.dnetGBlackScholesNGreeks("delta",$Q25,$P25,$G25,$I25,$C$3,$J25,$K25,$C$4)*R25</f>
        <v>#VALUE!</v>
      </c>
      <c r="V25" s="13" t="e">
        <f>_xll.dnetGBlackScholesNGreeks("vega",$Q25,$P25,$G25,$I25,$C$3,$J25,$K25,$C$4)*R25</f>
        <v>#VALUE!</v>
      </c>
      <c r="X25" s="6" t="e">
        <f t="shared" si="30"/>
        <v>#VALUE!</v>
      </c>
    </row>
    <row r="26" spans="1:24" ht="10.5" customHeight="1" x14ac:dyDescent="0.15">
      <c r="A26" s="34"/>
      <c r="B26" s="13" t="s">
        <v>172</v>
      </c>
      <c r="C26" s="10" t="s">
        <v>161</v>
      </c>
      <c r="D26" s="10" t="s">
        <v>242</v>
      </c>
      <c r="E26" s="8">
        <f t="shared" ca="1" si="14"/>
        <v>43202</v>
      </c>
      <c r="F26" s="8">
        <f t="shared" ca="1" si="26"/>
        <v>43264</v>
      </c>
      <c r="G26" s="10">
        <v>3350</v>
      </c>
      <c r="H26" s="10">
        <v>62</v>
      </c>
      <c r="I26" s="12">
        <f>(H26-2)/365</f>
        <v>0.16438356164383561</v>
      </c>
      <c r="J26" s="12">
        <v>0</v>
      </c>
      <c r="K26" s="9">
        <v>0.19</v>
      </c>
      <c r="L26" s="13" t="e">
        <f>_xll.dnetGBlackScholesNGreeks("price",$Q26,$P26,$G26,$I26,$C$3,$J26,$K26,$C$4)*R26</f>
        <v>#VALUE!</v>
      </c>
      <c r="M26" s="15">
        <v>0</v>
      </c>
      <c r="N26" s="13" t="e">
        <f t="shared" si="27"/>
        <v>#N/A</v>
      </c>
      <c r="O26" s="13" t="e">
        <f>IF(L26&lt;=0,ABS(L26)+N26,L26-N26)</f>
        <v>#VALUE!</v>
      </c>
      <c r="P26" s="11" t="e">
        <f>RTD("wdf.rtq",,D26,"LastPrice")</f>
        <v>#N/A</v>
      </c>
      <c r="Q26" s="10" t="s">
        <v>85</v>
      </c>
      <c r="R26" s="10">
        <f t="shared" si="28"/>
        <v>1</v>
      </c>
      <c r="S26" s="10" t="s">
        <v>151</v>
      </c>
      <c r="T26" s="14" t="e">
        <f t="shared" si="29"/>
        <v>#VALUE!</v>
      </c>
      <c r="U26" s="13" t="e">
        <f>_xll.dnetGBlackScholesNGreeks("delta",$Q26,$P26,$G26,$I26,$C$3,$J26,$K26,$C$4)*R26</f>
        <v>#VALUE!</v>
      </c>
      <c r="V26" s="13" t="e">
        <f>_xll.dnetGBlackScholesNGreeks("vega",$Q26,$P26,$G26,$I26,$C$3,$J26,$K26,$C$4)*R26</f>
        <v>#VALUE!</v>
      </c>
      <c r="X26" s="6" t="e">
        <f t="shared" si="30"/>
        <v>#VALUE!</v>
      </c>
    </row>
    <row r="27" spans="1:24" ht="10.5" customHeight="1" x14ac:dyDescent="0.15">
      <c r="A27" s="34"/>
      <c r="B27" s="13"/>
      <c r="C27" s="10"/>
      <c r="D27" s="10"/>
      <c r="E27" s="8"/>
      <c r="F27" s="8"/>
      <c r="G27" s="10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4" ht="10.5" customHeight="1" x14ac:dyDescent="0.15">
      <c r="A28" s="34"/>
      <c r="B28" s="13"/>
      <c r="C28" s="10"/>
      <c r="D28" s="10"/>
      <c r="E28" s="8"/>
      <c r="F28" s="8"/>
      <c r="G28" s="10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4" ht="10.5" customHeight="1" x14ac:dyDescent="0.15">
      <c r="A29" s="34"/>
      <c r="B29" s="13"/>
      <c r="C29" s="10"/>
      <c r="D29" s="10"/>
      <c r="E29" s="8"/>
      <c r="F29" s="8"/>
      <c r="G29" s="10"/>
      <c r="H29" s="10"/>
      <c r="I29" s="12"/>
      <c r="J29" s="12"/>
      <c r="K29" s="9"/>
      <c r="L29" s="13"/>
      <c r="M29" s="15"/>
      <c r="N29" s="13" t="s">
        <v>241</v>
      </c>
      <c r="O29" s="13"/>
      <c r="P29" s="11"/>
      <c r="Q29" s="10"/>
      <c r="R29" s="10"/>
      <c r="S29" s="10"/>
      <c r="T29" s="14"/>
      <c r="U29" s="13"/>
      <c r="V29" s="13"/>
    </row>
    <row r="30" spans="1:24" ht="10.5" customHeight="1" x14ac:dyDescent="0.15">
      <c r="A30" s="34"/>
      <c r="B30" s="13"/>
      <c r="C30" s="10"/>
      <c r="D30" s="10"/>
      <c r="E30" s="8"/>
      <c r="F30" s="8"/>
      <c r="G30" s="10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4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5" spans="6:6" x14ac:dyDescent="0.15">
      <c r="F35" s="116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S13:S31</xm:sqref>
        </x14:dataValidation>
        <x14:dataValidation type="list" allowBlank="1" showInputMessage="1" showErrorMessage="1">
          <x14:formula1>
            <xm:f>configs!$C$1:$C$2</xm:f>
          </x14:formula1>
          <xm:sqref>Q8:Q9 Q11 Q13:Q31</xm:sqref>
        </x14:dataValidation>
        <x14:dataValidation type="list" allowBlank="1" showInputMessage="1">
          <x14:formula1>
            <xm:f>configs!$A$1:$A$36</xm:f>
          </x14:formula1>
          <xm:sqref>C8:C9 C11 C13:C31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3"/>
  <sheetViews>
    <sheetView zoomScale="85" zoomScaleNormal="85" workbookViewId="0">
      <selection activeCell="G21" sqref="G2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2" t="s">
        <v>37</v>
      </c>
      <c r="C1" s="141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43202</v>
      </c>
      <c r="F8" s="46">
        <f ca="1">E8+H8</f>
        <v>43232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43202</v>
      </c>
      <c r="F9" s="54">
        <f ca="1">F8</f>
        <v>43232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43202</v>
      </c>
      <c r="F10" s="62">
        <f ca="1">F9</f>
        <v>43232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206</v>
      </c>
      <c r="E11" s="46">
        <f ca="1">TODAY()</f>
        <v>43202</v>
      </c>
      <c r="F11" s="46">
        <f ca="1">E11+H11</f>
        <v>43217</v>
      </c>
      <c r="G11" s="117" t="e">
        <f>P11-20</f>
        <v>#N/A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 t="e">
        <f>_xll.dnetGBlackScholesNGreeks("price",$Q11,$P11,$G11,$I11,$C$3,$J11,$K11,$C$4)*R11</f>
        <v>#VALUE!</v>
      </c>
      <c r="M11" s="49"/>
      <c r="N11" s="43"/>
      <c r="O11" s="43" t="e">
        <f t="shared" ref="O11:O13" si="1">IF(L11&lt;=0,ABS(L11)+N11,L11-N11)</f>
        <v>#VALUE!</v>
      </c>
      <c r="P11" s="113" t="e">
        <f>RTD("wdf.rtq",,D11,"LastPrice")</f>
        <v>#N/A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 t="e">
        <f>_xll.dnetGBlackScholesNGreeks("delta",$Q11,$P11,$G11,$I11,$C$3,$J11,$K11,$C$4)*R11</f>
        <v>#VALUE!</v>
      </c>
      <c r="V11" s="43" t="e">
        <f>_xll.dnetGBlackScholesNGreeks("vega",$Q11,$P11,$G11,$I11,$C$3,$J11,$K11,$C$4)*R11</f>
        <v>#VALUE!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206</v>
      </c>
      <c r="E12" s="54">
        <f t="shared" ref="E12:F12" ca="1" si="2">E11</f>
        <v>43202</v>
      </c>
      <c r="F12" s="54">
        <f t="shared" ca="1" si="2"/>
        <v>43217</v>
      </c>
      <c r="G12" s="52" t="e">
        <f>G11+50</f>
        <v>#N/A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 t="e">
        <f>_xll.dnetGBlackScholesNGreeks("price",$Q12,$P12,$G12,$I12,$C$3,$J12,$K12,$C$4)*R12</f>
        <v>#VALUE!</v>
      </c>
      <c r="M12" s="57"/>
      <c r="N12" s="51"/>
      <c r="O12" s="51" t="e">
        <f t="shared" si="1"/>
        <v>#VALUE!</v>
      </c>
      <c r="P12" s="94" t="e">
        <f>P11</f>
        <v>#N/A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 t="e">
        <f>_xll.dnetGBlackScholesNGreeks("delta",$Q12,$P12,$G12,$I12,$C$3,$J12,$K12,$C$4)*R12</f>
        <v>#VALUE!</v>
      </c>
      <c r="V12" s="51" t="e">
        <f>_xll.dnetGBlackScholesNGreeks("vega",$Q12,$P12,$G12,$I12,$C$3,$J12,$K12,$C$4)*R12</f>
        <v>#VALUE!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43202</v>
      </c>
      <c r="F13" s="62">
        <f t="shared" ca="1" si="3"/>
        <v>43217</v>
      </c>
      <c r="G13" s="60" t="e">
        <f>G11 &amp; "|" &amp; G12</f>
        <v>#N/A</v>
      </c>
      <c r="H13" s="60">
        <f>H12</f>
        <v>15</v>
      </c>
      <c r="I13" s="63">
        <f>I12</f>
        <v>4.1095890410958902E-2</v>
      </c>
      <c r="J13" s="63"/>
      <c r="K13" s="60"/>
      <c r="L13" s="59" t="e">
        <f>L12+L11</f>
        <v>#VALUE!</v>
      </c>
      <c r="M13" s="60">
        <v>0</v>
      </c>
      <c r="N13" s="59" t="e">
        <f>M13/10000*I13*P13</f>
        <v>#N/A</v>
      </c>
      <c r="O13" s="59" t="e">
        <f t="shared" si="1"/>
        <v>#VALUE!</v>
      </c>
      <c r="P13" s="114" t="e">
        <f>P12</f>
        <v>#N/A</v>
      </c>
      <c r="Q13" s="60"/>
      <c r="R13" s="60"/>
      <c r="S13" s="56" t="s">
        <v>151</v>
      </c>
      <c r="T13" s="64" t="e">
        <f>O13/P13</f>
        <v>#VALUE!</v>
      </c>
      <c r="U13" s="64" t="e">
        <f>U12+U11</f>
        <v>#VALUE!</v>
      </c>
      <c r="V13" s="64" t="e">
        <f>V12+V11</f>
        <v>#VALUE!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C8:C13</xm:sqref>
        </x14:dataValidation>
        <x14:dataValidation type="list" allowBlank="1" showInputMessage="1" showErrorMessage="1">
          <x14:formula1>
            <xm:f>configs!$C$1:$C$2</xm:f>
          </x14:formula1>
          <xm:sqref>Q8:Q13</xm:sqref>
        </x14:dataValidation>
        <x14:dataValidation type="list" allowBlank="1" showInputMessage="1" showErrorMessage="1">
          <x14:formula1>
            <xm:f>configs!$B$1:$B$2</xm:f>
          </x14:formula1>
          <xm:sqref>S8:S13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K23" sqref="K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1" t="s">
        <v>38</v>
      </c>
      <c r="C1" s="141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43202</v>
      </c>
      <c r="N8" s="21">
        <f ca="1">M8+O8</f>
        <v>43232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43202</v>
      </c>
      <c r="N9" s="8">
        <f ca="1">M9+O9</f>
        <v>43382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3" t="s">
        <v>37</v>
      </c>
      <c r="C1" s="143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43202</v>
      </c>
      <c r="K8" s="21">
        <f ca="1">J8+L8</f>
        <v>43232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43202</v>
      </c>
      <c r="K9" s="8">
        <f ca="1">J9+L9</f>
        <v>43232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43202</v>
      </c>
      <c r="K10" s="8">
        <f ca="1">J10+L10</f>
        <v>43232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2018-04-12T09:31:34Z</dcterms:modified>
</cp:coreProperties>
</file>