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128" i="1" l="1"/>
  <c r="I128" i="1"/>
  <c r="E128" i="1"/>
  <c r="F128" i="1" s="1"/>
  <c r="R127" i="1"/>
  <c r="J127" i="1"/>
  <c r="J128" i="1" s="1"/>
  <c r="I127" i="1"/>
  <c r="E127" i="1"/>
  <c r="F127" i="1" s="1"/>
  <c r="R125" i="1"/>
  <c r="I125" i="1"/>
  <c r="E125" i="1"/>
  <c r="F125" i="1" s="1"/>
  <c r="R124" i="1"/>
  <c r="I124" i="1"/>
  <c r="E124" i="1"/>
  <c r="F124" i="1" s="1"/>
  <c r="R123" i="1"/>
  <c r="J123" i="1"/>
  <c r="J124" i="1" s="1"/>
  <c r="J125" i="1" s="1"/>
  <c r="I123" i="1"/>
  <c r="E123" i="1"/>
  <c r="F123" i="1" s="1"/>
  <c r="P127" i="1"/>
  <c r="P128" i="1"/>
  <c r="U128" i="1"/>
  <c r="L127" i="1"/>
  <c r="P125" i="1"/>
  <c r="P124" i="1"/>
  <c r="P123" i="1"/>
  <c r="V124" i="1"/>
  <c r="L124" i="1"/>
  <c r="L125" i="1"/>
  <c r="L123" i="1"/>
  <c r="V125" i="1"/>
  <c r="U124" i="1"/>
  <c r="V123" i="1"/>
  <c r="U123" i="1"/>
  <c r="Y128" i="1" l="1"/>
  <c r="N128" i="1"/>
  <c r="N127" i="1"/>
  <c r="O127" i="1" s="1"/>
  <c r="T127" i="1" s="1"/>
  <c r="Y123" i="1"/>
  <c r="Y124" i="1"/>
  <c r="N123" i="1"/>
  <c r="O123" i="1" s="1"/>
  <c r="T123" i="1" s="1"/>
  <c r="N124" i="1"/>
  <c r="O124" i="1" s="1"/>
  <c r="T124" i="1" s="1"/>
  <c r="N125" i="1"/>
  <c r="O125" i="1" s="1"/>
  <c r="T125" i="1" s="1"/>
  <c r="L76" i="9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U127" i="1"/>
  <c r="V127" i="1"/>
  <c r="V128" i="1"/>
  <c r="L128" i="1"/>
  <c r="U125" i="1"/>
  <c r="U119" i="1"/>
  <c r="U121" i="1"/>
  <c r="L119" i="1"/>
  <c r="V119" i="1"/>
  <c r="L118" i="1"/>
  <c r="L120" i="1"/>
  <c r="O128" i="1" l="1"/>
  <c r="T128" i="1" s="1"/>
  <c r="Y127" i="1"/>
  <c r="Y125" i="1"/>
  <c r="Y121" i="1"/>
  <c r="N121" i="1"/>
  <c r="N120" i="1"/>
  <c r="O120" i="1" s="1"/>
  <c r="T120" i="1" s="1"/>
  <c r="Y119" i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V120" i="1"/>
  <c r="U120" i="1"/>
  <c r="V118" i="1"/>
  <c r="V68" i="9"/>
  <c r="V121" i="1"/>
  <c r="U118" i="1"/>
  <c r="P64" i="9"/>
  <c r="U68" i="9"/>
  <c r="L68" i="9"/>
  <c r="L121" i="1"/>
  <c r="Y120" i="1" l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V64" i="9"/>
  <c r="V69" i="9"/>
  <c r="L69" i="9"/>
  <c r="U69" i="9"/>
  <c r="P52" i="9"/>
  <c r="L64" i="9"/>
  <c r="U64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U65" i="9"/>
  <c r="V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5" i="1"/>
  <c r="P114" i="1"/>
  <c r="V115" i="1"/>
  <c r="P116" i="1"/>
  <c r="L114" i="1"/>
  <c r="L116" i="1"/>
  <c r="V116" i="1"/>
  <c r="N116" i="1" l="1"/>
  <c r="O116" i="1" s="1"/>
  <c r="T116" i="1" s="1"/>
  <c r="N114" i="1"/>
  <c r="O114" i="1" s="1"/>
  <c r="T114" i="1" s="1"/>
  <c r="N115" i="1"/>
  <c r="U116" i="1"/>
  <c r="L115" i="1"/>
  <c r="V114" i="1"/>
  <c r="U115" i="1"/>
  <c r="U114" i="1"/>
  <c r="O115" i="1" l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60" i="9"/>
  <c r="P111" i="1"/>
  <c r="P109" i="1"/>
  <c r="P108" i="1"/>
  <c r="V108" i="1" s="1"/>
  <c r="P107" i="1"/>
  <c r="P112" i="1"/>
  <c r="V112" i="1"/>
  <c r="L112" i="1"/>
  <c r="P110" i="1"/>
  <c r="U110" i="1" s="1"/>
  <c r="V111" i="1"/>
  <c r="V107" i="1"/>
  <c r="N111" i="1" l="1"/>
  <c r="N112" i="1"/>
  <c r="O112" i="1" s="1"/>
  <c r="T112" i="1" s="1"/>
  <c r="N108" i="1"/>
  <c r="N109" i="1"/>
  <c r="N110" i="1"/>
  <c r="N107" i="1"/>
  <c r="Y110" i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L109" i="1"/>
  <c r="U60" i="9"/>
  <c r="V110" i="1"/>
  <c r="L110" i="1"/>
  <c r="U107" i="1"/>
  <c r="L101" i="1"/>
  <c r="U109" i="1"/>
  <c r="L107" i="1"/>
  <c r="V109" i="1"/>
  <c r="V60" i="9"/>
  <c r="L108" i="1"/>
  <c r="L111" i="1"/>
  <c r="U112" i="1"/>
  <c r="U111" i="1"/>
  <c r="V102" i="1"/>
  <c r="U108" i="1"/>
  <c r="L60" i="9"/>
  <c r="L104" i="1"/>
  <c r="O107" i="1" l="1"/>
  <c r="T107" i="1" s="1"/>
  <c r="O109" i="1"/>
  <c r="T109" i="1" s="1"/>
  <c r="Y108" i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V61" i="9"/>
  <c r="U104" i="1"/>
  <c r="U61" i="9"/>
  <c r="V104" i="1"/>
  <c r="P97" i="1"/>
  <c r="L61" i="9"/>
  <c r="U102" i="1"/>
  <c r="P99" i="1"/>
  <c r="L99" i="1" s="1"/>
  <c r="P98" i="1"/>
  <c r="U101" i="1"/>
  <c r="L102" i="1"/>
  <c r="V101" i="1"/>
  <c r="L98" i="1"/>
  <c r="V97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O98" i="1" s="1"/>
  <c r="T98" i="1" s="1"/>
  <c r="N99" i="1"/>
  <c r="O99" i="1" s="1"/>
  <c r="T99" i="1" s="1"/>
  <c r="N97" i="1"/>
  <c r="R95" i="1"/>
  <c r="I95" i="1"/>
  <c r="N95" i="1" s="1"/>
  <c r="E95" i="1"/>
  <c r="F95" i="1" s="1"/>
  <c r="R94" i="1"/>
  <c r="I94" i="1"/>
  <c r="N94" i="1" s="1"/>
  <c r="E94" i="1"/>
  <c r="F94" i="1" s="1"/>
  <c r="U97" i="1"/>
  <c r="U98" i="1"/>
  <c r="V99" i="1"/>
  <c r="U99" i="1"/>
  <c r="L94" i="1"/>
  <c r="L97" i="1"/>
  <c r="V98" i="1"/>
  <c r="L95" i="1"/>
  <c r="Y97" i="1" l="1"/>
  <c r="O97" i="1"/>
  <c r="T97" i="1" s="1"/>
  <c r="Y98" i="1"/>
  <c r="Y99" i="1"/>
  <c r="O94" i="1"/>
  <c r="T94" i="1" s="1"/>
  <c r="O95" i="1"/>
  <c r="T95" i="1" s="1"/>
  <c r="P16" i="8"/>
  <c r="V95" i="1"/>
  <c r="V94" i="1"/>
  <c r="U95" i="1"/>
  <c r="U94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U91" i="1"/>
  <c r="V92" i="1"/>
  <c r="U92" i="1"/>
  <c r="L91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7" i="9"/>
  <c r="L56" i="9"/>
  <c r="H58" i="9" l="1"/>
  <c r="O56" i="9"/>
  <c r="O57" i="9"/>
  <c r="L58" i="9"/>
  <c r="O58" i="9" s="1"/>
  <c r="T58" i="9" s="1"/>
  <c r="F56" i="9"/>
  <c r="F57" i="9" s="1"/>
  <c r="F58" i="9" s="1"/>
  <c r="U56" i="9"/>
  <c r="V56" i="9"/>
  <c r="U57" i="9"/>
  <c r="V57" i="9"/>
  <c r="V58" i="9" l="1"/>
  <c r="U58" i="9"/>
  <c r="R89" i="1" l="1"/>
  <c r="I89" i="1"/>
  <c r="E89" i="1"/>
  <c r="F89" i="1" s="1"/>
  <c r="R88" i="1"/>
  <c r="I88" i="1"/>
  <c r="E88" i="1"/>
  <c r="F88" i="1" s="1"/>
  <c r="L89" i="1"/>
  <c r="V89" i="1"/>
  <c r="L88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P86" i="1"/>
  <c r="U88" i="1"/>
  <c r="L49" i="9"/>
  <c r="U89" i="1"/>
  <c r="L52" i="9"/>
  <c r="L79" i="1"/>
  <c r="V88" i="1"/>
  <c r="L46" i="9"/>
  <c r="U49" i="9"/>
  <c r="L53" i="9"/>
  <c r="V83" i="1"/>
  <c r="V82" i="1"/>
  <c r="U80" i="1"/>
  <c r="L81" i="1"/>
  <c r="L84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U81" i="1"/>
  <c r="U82" i="1"/>
  <c r="V47" i="9"/>
  <c r="V86" i="1"/>
  <c r="V84" i="1"/>
  <c r="V80" i="1"/>
  <c r="V46" i="9"/>
  <c r="V49" i="9"/>
  <c r="U50" i="9"/>
  <c r="V79" i="1"/>
  <c r="L86" i="1"/>
  <c r="L80" i="1"/>
  <c r="L50" i="9"/>
  <c r="U84" i="1"/>
  <c r="U79" i="1"/>
  <c r="V52" i="9"/>
  <c r="U46" i="9"/>
  <c r="V50" i="9"/>
  <c r="L83" i="1"/>
  <c r="V53" i="9"/>
  <c r="U53" i="9"/>
  <c r="U52" i="9"/>
  <c r="U47" i="9"/>
  <c r="L82" i="1"/>
  <c r="V81" i="1"/>
  <c r="U83" i="1"/>
  <c r="L47" i="9"/>
  <c r="U86" i="1"/>
  <c r="P77" i="1"/>
  <c r="V77" i="1" s="1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U77" i="1"/>
  <c r="L74" i="1"/>
  <c r="L77" i="1"/>
  <c r="V75" i="1"/>
  <c r="O48" i="9" l="1"/>
  <c r="T48" i="9" s="1"/>
  <c r="O51" i="9"/>
  <c r="T51" i="9" s="1"/>
  <c r="Y77" i="1"/>
  <c r="O77" i="1"/>
  <c r="T77" i="1" s="1"/>
  <c r="O74" i="1"/>
  <c r="T74" i="1" s="1"/>
  <c r="U75" i="1"/>
  <c r="U74" i="1"/>
  <c r="L75" i="1"/>
  <c r="V74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2" i="1"/>
  <c r="P71" i="1"/>
  <c r="G72" i="1" l="1"/>
  <c r="N72" i="1"/>
  <c r="N71" i="1"/>
  <c r="R69" i="1"/>
  <c r="I69" i="1"/>
  <c r="E69" i="1"/>
  <c r="F69" i="1" s="1"/>
  <c r="R68" i="1"/>
  <c r="I68" i="1"/>
  <c r="E68" i="1"/>
  <c r="F68" i="1" s="1"/>
  <c r="L69" i="1"/>
  <c r="L71" i="1"/>
  <c r="U71" i="1"/>
  <c r="U72" i="1"/>
  <c r="V71" i="1"/>
  <c r="L72" i="1"/>
  <c r="V72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U68" i="1"/>
  <c r="V69" i="1"/>
  <c r="V68" i="1"/>
  <c r="U69" i="1"/>
  <c r="V66" i="1"/>
  <c r="Y69" i="1" l="1"/>
  <c r="Y68" i="1"/>
  <c r="R65" i="1"/>
  <c r="I65" i="1"/>
  <c r="E65" i="1"/>
  <c r="F65" i="1" s="1"/>
  <c r="L66" i="1"/>
  <c r="U66" i="1"/>
  <c r="L65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61" i="1"/>
  <c r="P59" i="1"/>
  <c r="P58" i="1"/>
  <c r="N61" i="1" l="1"/>
  <c r="G58" i="1"/>
  <c r="G59" i="1"/>
  <c r="N59" i="1"/>
  <c r="N58" i="1"/>
  <c r="L58" i="1"/>
  <c r="L59" i="1"/>
  <c r="U59" i="1"/>
  <c r="V61" i="1"/>
  <c r="U61" i="1"/>
  <c r="L61" i="1"/>
  <c r="V59" i="1"/>
  <c r="U58" i="1"/>
  <c r="V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51" i="1"/>
  <c r="P47" i="1"/>
  <c r="V57" i="1"/>
  <c r="P52" i="1"/>
  <c r="P50" i="1"/>
  <c r="P26" i="9"/>
  <c r="P53" i="1"/>
  <c r="L39" i="9"/>
  <c r="P54" i="1"/>
  <c r="P55" i="1"/>
  <c r="L57" i="1"/>
  <c r="P32" i="9"/>
  <c r="P29" i="9"/>
  <c r="P31" i="9"/>
  <c r="L48" i="1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U52" i="1"/>
  <c r="L54" i="1"/>
  <c r="V36" i="9"/>
  <c r="U51" i="1"/>
  <c r="V52" i="1"/>
  <c r="V51" i="1"/>
  <c r="U55" i="1"/>
  <c r="V54" i="1"/>
  <c r="L50" i="1"/>
  <c r="L52" i="1"/>
  <c r="U42" i="9"/>
  <c r="L36" i="9"/>
  <c r="V40" i="9"/>
  <c r="U54" i="1"/>
  <c r="U36" i="9"/>
  <c r="L53" i="1"/>
  <c r="V37" i="9"/>
  <c r="V47" i="1"/>
  <c r="L42" i="9"/>
  <c r="V48" i="1"/>
  <c r="L55" i="1"/>
  <c r="P30" i="9"/>
  <c r="U37" i="9"/>
  <c r="L47" i="1"/>
  <c r="V45" i="1"/>
  <c r="P27" i="9"/>
  <c r="U40" i="9"/>
  <c r="L40" i="9"/>
  <c r="V55" i="1"/>
  <c r="V42" i="9"/>
  <c r="V53" i="1"/>
  <c r="U39" i="9"/>
  <c r="V50" i="1"/>
  <c r="U48" i="1"/>
  <c r="V39" i="9"/>
  <c r="U50" i="1"/>
  <c r="U47" i="1"/>
  <c r="L51" i="1"/>
  <c r="L43" i="9"/>
  <c r="U53" i="1"/>
  <c r="U43" i="9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45" i="1"/>
  <c r="L37" i="9"/>
  <c r="U45" i="1"/>
  <c r="V43" i="1"/>
  <c r="V43" i="9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U41" i="1"/>
  <c r="P8" i="1"/>
  <c r="L41" i="1"/>
  <c r="O41" i="1" l="1"/>
  <c r="T41" i="1" s="1"/>
  <c r="Y41" i="1"/>
  <c r="R39" i="1"/>
  <c r="I39" i="1"/>
  <c r="N39" i="1" s="1"/>
  <c r="E39" i="1"/>
  <c r="F39" i="1" s="1"/>
  <c r="U39" i="1"/>
  <c r="Y39" i="1" l="1"/>
  <c r="V39" i="1"/>
  <c r="L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V38" i="1"/>
  <c r="L38" i="1"/>
  <c r="P36" i="1"/>
  <c r="U38" i="1"/>
  <c r="P35" i="1"/>
  <c r="Y38" i="1" l="1"/>
  <c r="O38" i="1"/>
  <c r="T38" i="1" s="1"/>
  <c r="G36" i="1"/>
  <c r="G35" i="1"/>
  <c r="N36" i="1"/>
  <c r="N35" i="1"/>
  <c r="R34" i="1"/>
  <c r="I34" i="1"/>
  <c r="E34" i="1"/>
  <c r="F34" i="1" s="1"/>
  <c r="V35" i="1"/>
  <c r="U36" i="1"/>
  <c r="L36" i="1"/>
  <c r="U35" i="1"/>
  <c r="L35" i="1"/>
  <c r="P34" i="1"/>
  <c r="V36" i="1"/>
  <c r="O35" i="1" l="1"/>
  <c r="T35" i="1" s="1"/>
  <c r="Y36" i="1"/>
  <c r="Y35" i="1"/>
  <c r="O36" i="1"/>
  <c r="T36" i="1" s="1"/>
  <c r="N34" i="1"/>
  <c r="U34" i="1"/>
  <c r="L34" i="1"/>
  <c r="V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L32" i="1"/>
  <c r="L31" i="1"/>
  <c r="U31" i="1"/>
  <c r="U32" i="1"/>
  <c r="V32" i="1"/>
  <c r="V29" i="1"/>
  <c r="V31" i="1"/>
  <c r="U29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U27" i="1"/>
  <c r="P20" i="1"/>
  <c r="P21" i="1"/>
  <c r="V27" i="1"/>
  <c r="P18" i="1"/>
  <c r="P22" i="1"/>
  <c r="L27" i="1"/>
  <c r="L25" i="1"/>
  <c r="L23" i="1"/>
  <c r="P19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V25" i="1"/>
  <c r="L21" i="1"/>
  <c r="L18" i="1"/>
  <c r="V18" i="1"/>
  <c r="V20" i="1"/>
  <c r="V19" i="1"/>
  <c r="U21" i="1"/>
  <c r="U20" i="1"/>
  <c r="L19" i="1"/>
  <c r="V23" i="1"/>
  <c r="U25" i="1"/>
  <c r="L20" i="1"/>
  <c r="V21" i="1"/>
  <c r="U18" i="1"/>
  <c r="L22" i="1"/>
  <c r="U19" i="1"/>
  <c r="U22" i="1"/>
  <c r="V22" i="1"/>
  <c r="U23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1" i="6"/>
  <c r="K30" i="6"/>
  <c r="V15" i="1"/>
  <c r="V16" i="1"/>
  <c r="N30" i="6" l="1"/>
  <c r="U16" i="1"/>
  <c r="L15" i="1"/>
  <c r="L16" i="1"/>
  <c r="U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3" i="9"/>
  <c r="U32" i="9"/>
  <c r="L32" i="9"/>
  <c r="P34" i="9"/>
  <c r="O32" i="9" l="1"/>
  <c r="N34" i="9"/>
  <c r="U33" i="9"/>
  <c r="L33" i="9"/>
  <c r="V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L26" i="9"/>
  <c r="U30" i="9"/>
  <c r="U26" i="9"/>
  <c r="V30" i="9"/>
  <c r="U29" i="9"/>
  <c r="U27" i="9"/>
  <c r="V26" i="9"/>
  <c r="L27" i="9"/>
  <c r="V29" i="9"/>
  <c r="V27" i="9"/>
  <c r="L29" i="9"/>
  <c r="L30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U22" i="9"/>
  <c r="V19" i="9"/>
  <c r="L22" i="9"/>
  <c r="V18" i="9"/>
  <c r="V22" i="9"/>
  <c r="L19" i="9"/>
  <c r="L18" i="9"/>
  <c r="U21" i="9"/>
  <c r="U19" i="9"/>
  <c r="L21" i="9"/>
  <c r="U18" i="9"/>
  <c r="V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1" i="8"/>
  <c r="K12" i="8"/>
  <c r="K14" i="8"/>
  <c r="K16" i="8"/>
  <c r="K13" i="8"/>
  <c r="K15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3" i="8"/>
  <c r="Y13" i="8"/>
  <c r="Y11" i="8"/>
  <c r="Y14" i="8"/>
  <c r="X12" i="8"/>
  <c r="S12" i="8"/>
  <c r="S11" i="8"/>
  <c r="S13" i="8"/>
  <c r="Y15" i="8"/>
  <c r="Y12" i="8"/>
  <c r="Y16" i="8"/>
  <c r="X14" i="8"/>
  <c r="S14" i="8"/>
  <c r="X15" i="8"/>
  <c r="L14" i="9"/>
  <c r="X16" i="8"/>
  <c r="V14" i="9"/>
  <c r="S16" i="8"/>
  <c r="X11" i="8"/>
  <c r="U14" i="9"/>
  <c r="S15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T9" i="7"/>
  <c r="T10" i="7"/>
  <c r="H8" i="8"/>
  <c r="U9" i="7"/>
  <c r="O9" i="7"/>
  <c r="H8" i="7"/>
  <c r="K9" i="8"/>
  <c r="U10" i="7"/>
  <c r="U8" i="8" l="1"/>
  <c r="Q9" i="7"/>
  <c r="R9" i="7" s="1"/>
  <c r="S9" i="7" s="1"/>
  <c r="Q10" i="7"/>
  <c r="R10" i="7" s="1"/>
  <c r="S10" i="7" s="1"/>
  <c r="Q8" i="7"/>
  <c r="K8" i="8"/>
  <c r="T8" i="7"/>
  <c r="S9" i="8"/>
  <c r="U8" i="7"/>
  <c r="O8" i="7"/>
  <c r="Y9" i="8"/>
  <c r="X9" i="8"/>
  <c r="V9" i="8" l="1"/>
  <c r="W9" i="8" s="1"/>
  <c r="R8" i="7"/>
  <c r="S8" i="7" s="1"/>
  <c r="X8" i="8"/>
  <c r="Y8" i="8"/>
  <c r="S8" i="8"/>
  <c r="V8" i="8" l="1"/>
  <c r="W8" i="8" s="1"/>
  <c r="G12" i="9" l="1"/>
  <c r="G13" i="9" s="1"/>
  <c r="V11" i="9"/>
  <c r="V12" i="9"/>
  <c r="L12" i="9"/>
  <c r="L11" i="9"/>
  <c r="U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<sst xmlns="http://schemas.openxmlformats.org/spreadsheetml/2006/main" count="2597" uniqueCount="340">
  <si>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</si>
  <si>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</si>
  <si>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</si>
  <si>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</si>
  <si>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</si>
  <si>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</si>
  <si>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</si>
  <si>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</si>
  <si>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</si>
  <si>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</si>
  <si>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</si>
  <si>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</si>
  <si>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</si>
  <si>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</si>
  <si>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</si>
  <si>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</si>
  <si>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</si>
  <si>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</si>
  <si>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</si>
  <si>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</si>
  <si>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</si>
  <si>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</si>
  <si>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</si>
  <si>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</si>
  <si>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</si>
  <si>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</si>
  <si>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</si>
  <si>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</si>
  <si>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</si>
  <si>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</si>
  <si>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</si>
  <si>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</si>
  <si>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</si>
  <si>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</si>
  <si>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</si>
  <si>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</si>
  <si>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</si>
  <si>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</si>
  <si>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</si>
  <si>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</si>
  <si>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</si>
  <si>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</si>
  <si>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</si>
  <si>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</si>
  <si>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</si>
  <si>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</si>
  <si>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</si>
  <si>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</si>
  <si>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</si>
  <si>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</si>
  <si>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</si>
  <si>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</si>
  <si>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</si>
  <si>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</si>
  <si>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</si>
  <si>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</si>
  <si>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</si>
  <si>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</si>
  <si>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</si>
  <si>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</si>
  <si>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</si>
  <si>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</si>
  <si>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</si>
  <si>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</si>
  <si>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</si>
  <si>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</si>
  <si>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</si>
  <si>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</si>
  <si>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</si>
  <si>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</si>
  <si>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</si>
  <si>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</si>
  <si>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</si>
  <si>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</si>
  <si>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</si>
  <si>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</si>
  <si>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</si>
  <si>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</si>
  <si>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</si>
  <si>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</si>
  <si>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</si>
  <si>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</si>
  <si>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</si>
  <si>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</si>
  <si>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</si>
  <si>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</si>
  <si>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</si>
  <si>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</si>
  <si>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</si>
  <si>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</si>
  <si>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</si>
  <si>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</si>
  <si>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</si>
  <si>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</si>
  <si>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</si>
  <si>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</si>
  <si>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</si>
  <si>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</si>
  <si>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</si>
  <si>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</si>
  <si>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</si>
  <si>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</si>
  <si>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</si>
  <si>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</si>
  <si>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</si>
  <si>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</si>
  <si>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</si>
  <si>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</si>
  <si>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</si>
  <si>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</si>
  <si>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</si>
  <si>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</si>
  <si>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</si>
  <si>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</si>
  <si>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</si>
  <si>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</si>
  <si>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</si>
  <si>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</si>
  <si>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</si>
  <si>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</si>
  <si>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</si>
  <si>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</si>
  <si>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</si>
  <si>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</si>
  <si>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</si>
  <si>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</si>
  <si>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</si>
  <si>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</si>
  <si>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</si>
  <si>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</si>
  <si>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</si>
  <si>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</si>
  <si>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</si>
  <si>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</si>
  <si>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</si>
  <si>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</si>
  <si>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</si>
  <si>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</si>
  <si>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</si>
  <si>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</si>
  <si>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</si>
  <si>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</si>
  <si>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</si>
  <si>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</si>
  <si>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</si>
  <si>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</si>
  <si>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</si>
  <si>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</si>
  <si>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</si>
  <si>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</si>
  <si>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</si>
  <si>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</si>
  <si>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</si>
  <si>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</si>
  <si>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</si>
  <si>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</si>
  <si>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</si>
  <si>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</si>
  <si>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</si>
  <si>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</si>
  <si>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</si>
  <si>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</si>
  <si>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</si>
  <si>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</si>
  <si>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</si>
  <si>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</si>
  <si>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</si>
  <si>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</si>
  <si>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</si>
  <si>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</si>
  <si>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</si>
  <si>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</si>
  <si>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</si>
  <si>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</si>
  <si>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</si>
  <si>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</si>
  <si>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</si>
  <si>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</si>
  <si>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</si>
  <si>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</si>
  <si>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</si>
  <si>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</si>
  <si>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</si>
  <si>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</si>
  <si>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</si>
  <si>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</si>
  <si>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</si>
  <si>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</si>
  <si>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</si>
  <si>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</si>
  <si>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</si>
  <si>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</si>
  <si>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</si>
  <si>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</si>
  <si>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</si>
  <si>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</si>
  <si>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</si>
  <si>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</si>
  <si>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</si>
  <si>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</si>
  <si>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</si>
  <si>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</si>
  <si>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</si>
  <si>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</si>
  <si>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</si>
  <si>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</si>
  <si>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</si>
  <si>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</si>
  <si>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</si>
  <si>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</si>
  <si>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</si>
  <si>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</si>
  <si>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</si>
  <si>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</si>
  <si>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</si>
  <si>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</si>
  <si>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</si>
  <si>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</si>
  <si>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</si>
  <si>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</si>
  <si>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</si>
  <si>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</si>
  <si>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</si>
  <si>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</si>
  <si>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</si>
  <si>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</si>
  <si>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</si>
  <si>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</si>
  <si>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</si>
  <si>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</si>
  <si>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</si>
  <si>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</si>
  <si>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</si>
  <si>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</si>
  <si>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</si>
  <si>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</si>
  <si>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</si>
  <si>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</si>
  <si>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</si>
  <si>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</si>
  <si>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</si>
  <si>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</si>
  <si>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</si>
  <si>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</si>
  <si>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</si>
  <si>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</si>
  <si>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</si>
  <si>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</si>
  <si>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</si>
  <si>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</si>
  <si>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</si>
  <si>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</si>
  <si>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</si>
  <si>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</si>
  <si>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</si>
  <si>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</si>
  <si>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</si>
  <si>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</si>
  <si>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</si>
  <si>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</si>
  <si>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</si>
  <si>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</si>
  <si>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</si>
  <si>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</si>
  <si>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</si>
  <si>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</si>
  <si>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</si>
  <si>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</si>
  <si>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</si>
  <si>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</si>
  <si>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</si>
  <si>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</si>
  <si>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</si>
  <si>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</si>
  <si>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</si>
  <si>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</si>
  <si>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</si>
  <si>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</si>
  <si>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</si>
  <si>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</si>
  <si>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</si>
  <si>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</si>
  <si>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</si>
  <si>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</si>
  <si>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</si>
  <si>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</si>
  <si>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</si>
  <si>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</si>
  <si>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</si>
  <si>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</si>
  <si>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</si>
  <si>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</si>
  <si>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</si>
  <si>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</si>
  <si>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</si>
  <si>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</si>
  <si>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</si>
  <si>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</si>
  <si>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</si>
  <si>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</si>
  <si>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</si>
  <si>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</si>
  <si>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</si>
  <si>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</si>
  <si>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</si>
  <si>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</si>
  <si>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</si>
  <si>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</si>
  <si>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</si>
  <si>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</si>
  <si>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</si>
  <si>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</si>
  <si>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</si>
  <si>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</si>
  <si>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</si>
  <si>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</si>
  <si>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</si>
  <si>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</si>
  <si>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</si>
  <si>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</si>
  <si>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</si>
  <si>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</si>
  <si>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</si>
  <si>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</si>
  <si>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</si>
  <si>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</si>
  <si>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</si>
  <si>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</si>
  <si>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</si>
  <si>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</si>
  <si>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</si>
  <si>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</si>
  <si>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</si>
  <si>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</si>
  <si>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</si>
  <si>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</si>
  <si>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</si>
  <si>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</si>
  <si>
    <t>zn1812</t>
  </si>
  <si>
    <t>zn1812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</si>
</sst>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5" formatCode="0.0000000000000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185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49350</v>
        <stp/>
        <stp>cu1809</stp>
        <stp>LastPrice</stp>
        <tr r="P64" s="9"/>
      </tp>
      <tp>
        <v>11995</v>
        <stp/>
        <stp>ru1901</stp>
        <stp>LastPrice</stp>
        <tr r="P35" s="1"/>
        <tr r="P36" s="1"/>
      </tp>
      <tp>
        <v>3244</v>
        <stp/>
        <stp>bu1812</stp>
        <stp>LastPrice</stp>
        <tr r="P47" s="1"/>
      </tp>
      <tp>
        <v>5598</v>
        <stp/>
        <stp>y1809</stp>
        <stp>LastPrice</stp>
        <tr r="P60" s="9"/>
      </tp>
      <tp>
        <v>14245</v>
        <stp/>
        <stp>al1811</stp>
        <stp>LastPrice</stp>
        <tr r="P20" s="1"/>
        <tr r="P31" s="1"/>
        <tr r="P29" s="1"/>
        <tr r="P32" s="1"/>
        <tr r="P112" s="1"/>
        <tr r="P111" s="1"/>
      </tp>
      <tp>
        <v>21620</v>
        <stp/>
        <stp>zn1812</stp>
        <stp>LastPrice</stp>
        <tr r="P123" s="1"/>
        <tr r="P124" s="1"/>
        <tr r="P125" s="1"/>
      </tp>
      <tp>
        <v>14175</v>
        <stp/>
        <stp>al1810</stp>
        <stp>LastPrice</stp>
        <tr r="P19" s="1"/>
        <tr r="P22" s="1"/>
        <tr r="P61" s="1"/>
        <tr r="P110" s="1"/>
        <tr r="P109" s="1"/>
      </tp>
      <tp>
        <v>19180</v>
        <stp/>
        <stp>pb1809</stp>
        <stp>LastPrice</stp>
        <tr r="P27" s="1"/>
      </tp>
      <tp>
        <v>14100</v>
        <stp/>
        <stp>al1809</stp>
        <stp>LastPrice</stp>
        <tr r="P18" s="1"/>
        <tr r="P21" s="1"/>
        <tr r="P107" s="1"/>
        <tr r="P108" s="1"/>
      </tp>
      <tp>
        <v>16300</v>
        <stp/>
        <stp>cf901</stp>
        <stp>LastPrice</stp>
        <tr r="P71" s="1"/>
        <tr r="P72" s="1"/>
      </tp>
      <tp>
        <v>14025</v>
        <stp/>
        <stp>al1808</stp>
        <stp>LastPrice</stp>
        <tr r="P8" s="1"/>
      </tp>
      <tp>
        <v>2012.5</v>
        <stp/>
        <stp>j1809</stp>
        <stp>LastPrice</stp>
        <tr r="P98" s="1"/>
        <tr r="P99" s="1"/>
        <tr r="P97" s="1"/>
        <tr r="P114" s="1"/>
      </tp>
      <tp>
        <v>459.5</v>
        <stp/>
        <stp>i1809</stp>
        <stp>LastPrice</stp>
        <tr r="P11" s="9"/>
        <tr r="P34" s="1"/>
        <tr r="P77" s="1"/>
        <tr r="P116" s="1"/>
        <tr r="P115" s="1"/>
        <tr r="P52" s="9"/>
      </tp>
      <tp>
        <v>10155</v>
        <stp/>
        <stp>ap901</stp>
        <stp>LastPrice</stp>
        <tr r="P59" s="1"/>
      </tp>
      <tp>
        <v>9355</v>
        <stp/>
        <stp>ap810</stp>
        <stp>LastPrice</stp>
        <tr r="P58" s="1"/>
      </tp>
      <tp>
        <v>3856</v>
        <stp/>
        <stp>hc1810</stp>
        <stp>LastPrice</stp>
        <tr r="P86" s="1"/>
      </tp>
      <tp>
        <v>3098</v>
        <stp/>
        <stp>m1809</stp>
        <stp>LastPrice</stp>
        <tr r="P21" s="9"/>
        <tr r="P18" s="9"/>
      </tp>
      <tp>
        <v>3778</v>
        <stp/>
        <stp>rb1810</stp>
        <stp>LastPrice</stp>
        <tr r="P14" s="9"/>
        <tr r="P28" s="9"/>
        <tr r="P34" s="9"/>
        <tr r="P33" s="9"/>
        <tr r="P27" s="9"/>
        <tr r="P30" s="9"/>
        <tr r="P31" s="9"/>
        <tr r="P29" s="9"/>
        <tr r="P32" s="9"/>
        <tr r="P55" s="1"/>
        <tr r="P54" s="1"/>
        <tr r="P53" s="1"/>
        <tr r="P26" s="9"/>
        <tr r="P50" s="1"/>
        <tr r="P52" s="1"/>
        <tr r="P51" s="1"/>
        <tr r="P128" s="1"/>
        <tr r="P127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1"/>
  <sheetViews>
    <sheetView tabSelected="1" zoomScaleNormal="100" workbookViewId="0">
      <pane ySplit="8" topLeftCell="A175" activePane="bottomLeft" state="frozen"/>
      <selection pane="bottomLeft" activeCell="V184" sqref="V18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8" t="s">
        <v>158</v>
      </c>
      <c r="C1" s="138"/>
      <c r="D1" s="138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43287</v>
      </c>
      <c r="E30" s="93">
        <f t="shared" ref="E30:E31" ca="1" si="1">D30+G30</f>
        <v>43346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43287</v>
      </c>
      <c r="E31" s="93">
        <f t="shared" ca="1" si="1"/>
        <v>43346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  <row r="185" spans="2:18" x14ac:dyDescent="0.15">
      <c r="B185" s="91" t="s">
        <v>2</v>
      </c>
      <c r="C185" s="33" t="s">
        <v>317</v>
      </c>
      <c r="D185" s="33" t="s">
        <v>318</v>
      </c>
      <c r="E185" s="33" t="s">
        <v>10</v>
      </c>
      <c r="F185" s="33" t="s">
        <v>319</v>
      </c>
      <c r="G185" s="33" t="s">
        <v>11</v>
      </c>
      <c r="H185" s="33" t="s">
        <v>12</v>
      </c>
      <c r="I185" s="33" t="s">
        <v>47</v>
      </c>
      <c r="J185" s="33" t="s">
        <v>13</v>
      </c>
      <c r="K185" s="33" t="s">
        <v>14</v>
      </c>
      <c r="L185" s="33" t="s">
        <v>26</v>
      </c>
      <c r="M185" s="33" t="s">
        <v>322</v>
      </c>
      <c r="N185" s="133" t="s">
        <v>323</v>
      </c>
      <c r="O185" s="33" t="s">
        <v>8</v>
      </c>
      <c r="P185" s="33" t="s">
        <v>23</v>
      </c>
      <c r="Q185" s="33"/>
      <c r="R185" s="33" t="s">
        <v>30</v>
      </c>
    </row>
    <row r="186" spans="2:18" x14ac:dyDescent="0.15">
      <c r="B186" s="124" t="s">
        <v>160</v>
      </c>
      <c r="C186" s="124" t="s">
        <v>338</v>
      </c>
      <c r="D186" s="125">
        <v>43287</v>
      </c>
      <c r="E186" s="125">
        <v>43410</v>
      </c>
      <c r="F186" s="124">
        <v>20000</v>
      </c>
      <c r="G186" s="124">
        <v>123</v>
      </c>
      <c r="H186" s="124">
        <v>0.32328767123287672</v>
      </c>
      <c r="I186" s="124">
        <v>0</v>
      </c>
      <c r="J186" s="124">
        <v>0.21</v>
      </c>
      <c r="K186" s="124">
        <v>-439.11711329441005</v>
      </c>
      <c r="L186" s="124">
        <v>0</v>
      </c>
      <c r="M186" s="124">
        <v>0</v>
      </c>
      <c r="N186" s="126">
        <v>439.11711329441005</v>
      </c>
      <c r="O186" s="124">
        <v>21390</v>
      </c>
      <c r="P186" s="124" t="s">
        <v>85</v>
      </c>
      <c r="Q186" s="124">
        <v>-1</v>
      </c>
      <c r="R186" s="124" t="s">
        <v>20</v>
      </c>
    </row>
    <row r="187" spans="2:18" x14ac:dyDescent="0.15">
      <c r="B187" s="124" t="s">
        <v>160</v>
      </c>
      <c r="C187" s="124" t="s">
        <v>338</v>
      </c>
      <c r="D187" s="125">
        <v>43287</v>
      </c>
      <c r="E187" s="125">
        <v>43410</v>
      </c>
      <c r="F187" s="124">
        <v>19500</v>
      </c>
      <c r="G187" s="124">
        <v>123</v>
      </c>
      <c r="H187" s="124">
        <v>0.32328767123287672</v>
      </c>
      <c r="I187" s="124">
        <v>0</v>
      </c>
      <c r="J187" s="124">
        <v>0.215</v>
      </c>
      <c r="K187" s="124">
        <v>-321.24158331979015</v>
      </c>
      <c r="L187" s="124">
        <v>0</v>
      </c>
      <c r="M187" s="124">
        <v>0</v>
      </c>
      <c r="N187" s="126">
        <v>321.24158331979015</v>
      </c>
      <c r="O187" s="124">
        <v>21390</v>
      </c>
      <c r="P187" s="124" t="s">
        <v>85</v>
      </c>
      <c r="Q187" s="124">
        <v>-1</v>
      </c>
      <c r="R187" s="124" t="s">
        <v>20</v>
      </c>
    </row>
    <row r="188" spans="2:18" x14ac:dyDescent="0.15">
      <c r="B188" s="124" t="s">
        <v>160</v>
      </c>
      <c r="C188" s="124" t="s">
        <v>338</v>
      </c>
      <c r="D188" s="125">
        <v>43287</v>
      </c>
      <c r="E188" s="125">
        <v>43410</v>
      </c>
      <c r="F188" s="124">
        <v>19000</v>
      </c>
      <c r="G188" s="124">
        <v>123</v>
      </c>
      <c r="H188" s="124">
        <v>0.32328767123287672</v>
      </c>
      <c r="I188" s="124">
        <v>0</v>
      </c>
      <c r="J188" s="124">
        <v>0.22</v>
      </c>
      <c r="K188" s="124">
        <v>-230.31021206698824</v>
      </c>
      <c r="L188" s="124">
        <v>0</v>
      </c>
      <c r="M188" s="124">
        <v>0</v>
      </c>
      <c r="N188" s="126">
        <v>230.31021206698824</v>
      </c>
      <c r="O188" s="124">
        <v>21390</v>
      </c>
      <c r="P188" s="124" t="s">
        <v>85</v>
      </c>
      <c r="Q188" s="124">
        <v>-1</v>
      </c>
      <c r="R188" s="124" t="s">
        <v>20</v>
      </c>
    </row>
    <row r="189" spans="2:18" x14ac:dyDescent="0.15">
      <c r="B189" s="91" t="s">
        <v>2</v>
      </c>
      <c r="C189" s="33" t="s">
        <v>317</v>
      </c>
      <c r="D189" s="33" t="s">
        <v>318</v>
      </c>
      <c r="E189" s="33" t="s">
        <v>10</v>
      </c>
      <c r="F189" s="33" t="s">
        <v>319</v>
      </c>
      <c r="G189" s="33" t="s">
        <v>11</v>
      </c>
      <c r="H189" s="33" t="s">
        <v>12</v>
      </c>
      <c r="I189" s="33" t="s">
        <v>47</v>
      </c>
      <c r="J189" s="33" t="s">
        <v>13</v>
      </c>
      <c r="K189" s="33" t="s">
        <v>14</v>
      </c>
      <c r="L189" s="33" t="s">
        <v>26</v>
      </c>
      <c r="M189" s="33" t="s">
        <v>322</v>
      </c>
      <c r="N189" s="133" t="s">
        <v>323</v>
      </c>
      <c r="O189" s="33" t="s">
        <v>8</v>
      </c>
      <c r="P189" s="33" t="s">
        <v>23</v>
      </c>
      <c r="Q189" s="33"/>
      <c r="R189" s="33" t="s">
        <v>30</v>
      </c>
    </row>
    <row r="190" spans="2:18" x14ac:dyDescent="0.15">
      <c r="B190" s="124" t="s">
        <v>160</v>
      </c>
      <c r="C190" s="124" t="s">
        <v>276</v>
      </c>
      <c r="D190" s="125">
        <v>43287</v>
      </c>
      <c r="E190" s="125">
        <v>43318</v>
      </c>
      <c r="F190" s="124">
        <v>3900</v>
      </c>
      <c r="G190" s="124">
        <v>31</v>
      </c>
      <c r="H190" s="124">
        <v>7.1232876712328766E-2</v>
      </c>
      <c r="I190" s="124">
        <v>0</v>
      </c>
      <c r="J190" s="124">
        <v>0.28000000000000003</v>
      </c>
      <c r="K190" s="124">
        <v>-51.210379081770498</v>
      </c>
      <c r="L190" s="124">
        <v>0</v>
      </c>
      <c r="M190" s="124">
        <v>0</v>
      </c>
      <c r="N190" s="126">
        <v>51.210379081770498</v>
      </c>
      <c r="O190" s="124">
        <v>3740</v>
      </c>
      <c r="P190" s="124" t="s">
        <v>39</v>
      </c>
      <c r="Q190" s="124">
        <v>-1</v>
      </c>
      <c r="R190" s="124" t="s">
        <v>20</v>
      </c>
    </row>
    <row r="191" spans="2:18" x14ac:dyDescent="0.15">
      <c r="B191" s="124" t="s">
        <v>160</v>
      </c>
      <c r="C191" s="124" t="s">
        <v>276</v>
      </c>
      <c r="D191" s="125">
        <v>43287</v>
      </c>
      <c r="E191" s="125">
        <v>43349</v>
      </c>
      <c r="F191" s="124">
        <v>3900</v>
      </c>
      <c r="G191" s="124">
        <v>62</v>
      </c>
      <c r="H191" s="124">
        <v>0.15616438356164383</v>
      </c>
      <c r="I191" s="124">
        <v>0</v>
      </c>
      <c r="J191" s="124">
        <v>0.28000000000000003</v>
      </c>
      <c r="K191" s="124">
        <v>-100.14785624813612</v>
      </c>
      <c r="L191" s="124">
        <v>0</v>
      </c>
      <c r="M191" s="124">
        <v>0</v>
      </c>
      <c r="N191" s="126">
        <v>100.14785624813612</v>
      </c>
      <c r="O191" s="124">
        <v>3740</v>
      </c>
      <c r="P191" s="124" t="s">
        <v>39</v>
      </c>
      <c r="Q191" s="124">
        <v>-1</v>
      </c>
      <c r="R191" s="124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5" t="s">
        <v>37</v>
      </c>
      <c r="C1" s="16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43287</v>
      </c>
      <c r="K8" s="21">
        <f ca="1">J8+L8</f>
        <v>43317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43287</v>
      </c>
      <c r="K9" s="8">
        <f ca="1">J9+L9</f>
        <v>43317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43287</v>
      </c>
      <c r="K10" s="8">
        <f ca="1">J10+L10</f>
        <v>43317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0" activePane="bottomLeft" state="frozen"/>
      <selection pane="bottomLeft" activeCell="Q63" sqref="Q63:T63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7" t="s">
        <v>118</v>
      </c>
      <c r="C1" s="157"/>
    </row>
    <row r="2" spans="2:20" ht="11.25" thickTop="1" x14ac:dyDescent="0.15"/>
    <row r="3" spans="2:20" ht="11.25" thickBot="1" x14ac:dyDescent="0.2">
      <c r="B3" s="158" t="s">
        <v>119</v>
      </c>
      <c r="C3" s="158"/>
      <c r="D3" s="158"/>
      <c r="E3" s="158"/>
      <c r="G3" s="162" t="s">
        <v>120</v>
      </c>
      <c r="H3" s="162"/>
      <c r="I3" s="162"/>
      <c r="J3" s="162"/>
      <c r="L3" s="158" t="s">
        <v>165</v>
      </c>
      <c r="M3" s="158"/>
      <c r="N3" s="158"/>
      <c r="O3" s="158"/>
      <c r="Q3" s="162" t="s">
        <v>166</v>
      </c>
      <c r="R3" s="162"/>
      <c r="S3" s="162"/>
      <c r="T3" s="162"/>
    </row>
    <row r="4" spans="2:20" ht="12" thickTop="1" thickBot="1" x14ac:dyDescent="0.2">
      <c r="B4" s="159" t="s">
        <v>121</v>
      </c>
      <c r="C4" s="159"/>
      <c r="D4" s="159"/>
      <c r="E4" s="159"/>
      <c r="G4" s="159" t="s">
        <v>34</v>
      </c>
      <c r="H4" s="159"/>
      <c r="I4" s="159"/>
      <c r="J4" s="159"/>
      <c r="L4" s="159" t="s">
        <v>121</v>
      </c>
      <c r="M4" s="159"/>
      <c r="N4" s="159"/>
      <c r="O4" s="159"/>
      <c r="Q4" s="159" t="s">
        <v>34</v>
      </c>
      <c r="R4" s="159"/>
      <c r="S4" s="159"/>
      <c r="T4" s="159"/>
    </row>
    <row r="5" spans="2:20" ht="15" customHeight="1" thickTop="1" x14ac:dyDescent="0.15">
      <c r="B5" s="156" t="s">
        <v>122</v>
      </c>
      <c r="C5" s="156"/>
      <c r="D5" s="160"/>
      <c r="E5" s="161"/>
      <c r="G5" s="156" t="s">
        <v>123</v>
      </c>
      <c r="H5" s="156"/>
      <c r="I5" s="103"/>
      <c r="J5" s="104"/>
      <c r="L5" s="101" t="s">
        <v>122</v>
      </c>
      <c r="M5" s="102"/>
      <c r="N5" s="103"/>
      <c r="O5" s="104"/>
      <c r="Q5" s="156" t="s">
        <v>123</v>
      </c>
      <c r="R5" s="156"/>
      <c r="S5" s="103"/>
      <c r="T5" s="104"/>
    </row>
    <row r="6" spans="2:20" x14ac:dyDescent="0.15">
      <c r="B6" s="156" t="s">
        <v>124</v>
      </c>
      <c r="C6" s="156"/>
      <c r="D6" s="154" t="s">
        <v>125</v>
      </c>
      <c r="E6" s="155"/>
      <c r="G6" s="156" t="s">
        <v>126</v>
      </c>
      <c r="H6" s="156"/>
      <c r="I6" s="154"/>
      <c r="J6" s="155"/>
      <c r="L6" s="156" t="s">
        <v>124</v>
      </c>
      <c r="M6" s="156"/>
      <c r="N6" s="154" t="s">
        <v>125</v>
      </c>
      <c r="O6" s="155"/>
      <c r="Q6" s="156" t="s">
        <v>126</v>
      </c>
      <c r="R6" s="156"/>
      <c r="S6" s="154"/>
      <c r="T6" s="155"/>
    </row>
    <row r="7" spans="2:20" ht="2.25" customHeight="1" x14ac:dyDescent="0.15">
      <c r="B7" s="156" t="s">
        <v>127</v>
      </c>
      <c r="C7" s="156"/>
      <c r="D7" s="154" t="s">
        <v>125</v>
      </c>
      <c r="E7" s="155"/>
      <c r="G7" s="156" t="s">
        <v>128</v>
      </c>
      <c r="H7" s="156"/>
      <c r="I7" s="154"/>
      <c r="J7" s="155"/>
      <c r="L7" s="156" t="s">
        <v>127</v>
      </c>
      <c r="M7" s="156"/>
      <c r="N7" s="154" t="s">
        <v>125</v>
      </c>
      <c r="O7" s="155"/>
      <c r="Q7" s="156" t="s">
        <v>128</v>
      </c>
      <c r="R7" s="156"/>
      <c r="S7" s="154"/>
      <c r="T7" s="155"/>
    </row>
    <row r="8" spans="2:20" hidden="1" x14ac:dyDescent="0.15">
      <c r="B8" s="156" t="s">
        <v>129</v>
      </c>
      <c r="C8" s="156"/>
      <c r="D8" s="154">
        <f>D13*D15</f>
        <v>305000</v>
      </c>
      <c r="E8" s="155"/>
      <c r="G8" s="156" t="s">
        <v>130</v>
      </c>
      <c r="H8" s="156"/>
      <c r="I8" s="154"/>
      <c r="J8" s="155"/>
      <c r="L8" s="156" t="s">
        <v>129</v>
      </c>
      <c r="M8" s="156"/>
      <c r="N8" s="154">
        <f>N14*N16</f>
        <v>305000</v>
      </c>
      <c r="O8" s="155"/>
      <c r="Q8" s="156" t="s">
        <v>130</v>
      </c>
      <c r="R8" s="156"/>
      <c r="S8" s="154"/>
      <c r="T8" s="155"/>
    </row>
    <row r="9" spans="2:20" hidden="1" x14ac:dyDescent="0.15">
      <c r="B9" s="156" t="s">
        <v>131</v>
      </c>
      <c r="C9" s="156"/>
      <c r="D9" s="154" t="s">
        <v>132</v>
      </c>
      <c r="E9" s="155"/>
      <c r="G9" s="156" t="s">
        <v>133</v>
      </c>
      <c r="H9" s="156"/>
      <c r="I9" s="154"/>
      <c r="J9" s="155"/>
      <c r="L9" s="156" t="s">
        <v>131</v>
      </c>
      <c r="M9" s="156"/>
      <c r="N9" s="154" t="s">
        <v>132</v>
      </c>
      <c r="O9" s="155"/>
      <c r="Q9" s="156" t="s">
        <v>133</v>
      </c>
      <c r="R9" s="156"/>
      <c r="S9" s="154"/>
      <c r="T9" s="155"/>
    </row>
    <row r="10" spans="2:20" hidden="1" x14ac:dyDescent="0.15">
      <c r="B10" s="156" t="s">
        <v>134</v>
      </c>
      <c r="C10" s="156"/>
      <c r="D10" s="154">
        <v>43084</v>
      </c>
      <c r="E10" s="155"/>
      <c r="G10" s="105" t="s">
        <v>135</v>
      </c>
      <c r="H10" s="105"/>
      <c r="I10" s="154"/>
      <c r="J10" s="155"/>
      <c r="L10" s="156" t="s">
        <v>134</v>
      </c>
      <c r="M10" s="156"/>
      <c r="N10" s="154">
        <v>43084</v>
      </c>
      <c r="O10" s="155"/>
      <c r="Q10" s="105" t="s">
        <v>135</v>
      </c>
      <c r="R10" s="105"/>
      <c r="S10" s="154"/>
      <c r="T10" s="155"/>
    </row>
    <row r="11" spans="2:20" hidden="1" x14ac:dyDescent="0.15">
      <c r="B11" s="156" t="s">
        <v>136</v>
      </c>
      <c r="C11" s="156"/>
      <c r="D11" s="154">
        <v>3935</v>
      </c>
      <c r="E11" s="155"/>
      <c r="G11" s="156" t="s">
        <v>137</v>
      </c>
      <c r="H11" s="156"/>
      <c r="I11" s="154"/>
      <c r="J11" s="155"/>
      <c r="L11" s="156" t="s">
        <v>136</v>
      </c>
      <c r="M11" s="156"/>
      <c r="N11" s="154">
        <v>3935</v>
      </c>
      <c r="O11" s="155"/>
      <c r="Q11" s="156" t="s">
        <v>137</v>
      </c>
      <c r="R11" s="156"/>
      <c r="S11" s="154"/>
      <c r="T11" s="155"/>
    </row>
    <row r="12" spans="2:20" hidden="1" x14ac:dyDescent="0.15">
      <c r="B12" s="156" t="s">
        <v>138</v>
      </c>
      <c r="C12" s="156"/>
      <c r="D12" s="154">
        <v>3800</v>
      </c>
      <c r="E12" s="155"/>
      <c r="G12" s="156" t="s">
        <v>139</v>
      </c>
      <c r="H12" s="156"/>
      <c r="I12" s="154"/>
      <c r="J12" s="155"/>
      <c r="L12" s="156" t="s">
        <v>163</v>
      </c>
      <c r="M12" s="156"/>
      <c r="N12" s="154">
        <v>3800</v>
      </c>
      <c r="O12" s="155"/>
      <c r="Q12" s="156" t="s">
        <v>167</v>
      </c>
      <c r="R12" s="156"/>
      <c r="S12" s="154"/>
      <c r="T12" s="155"/>
    </row>
    <row r="13" spans="2:20" hidden="1" x14ac:dyDescent="0.15">
      <c r="B13" s="156" t="s">
        <v>140</v>
      </c>
      <c r="C13" s="156"/>
      <c r="D13" s="154">
        <v>61</v>
      </c>
      <c r="E13" s="155"/>
      <c r="G13" s="156" t="s">
        <v>141</v>
      </c>
      <c r="H13" s="156"/>
      <c r="I13" s="154"/>
      <c r="J13" s="155"/>
      <c r="L13" s="156" t="s">
        <v>164</v>
      </c>
      <c r="M13" s="156"/>
      <c r="N13" s="154">
        <v>3800</v>
      </c>
      <c r="O13" s="155"/>
      <c r="Q13" s="156" t="s">
        <v>168</v>
      </c>
      <c r="R13" s="156"/>
      <c r="S13" s="154"/>
      <c r="T13" s="155"/>
    </row>
    <row r="14" spans="2:20" hidden="1" x14ac:dyDescent="0.15">
      <c r="B14" s="156" t="s">
        <v>142</v>
      </c>
      <c r="C14" s="156"/>
      <c r="D14" s="154" t="s">
        <v>143</v>
      </c>
      <c r="E14" s="155"/>
      <c r="G14" s="156" t="s">
        <v>144</v>
      </c>
      <c r="H14" s="156"/>
      <c r="I14" s="106"/>
      <c r="J14" s="107"/>
      <c r="L14" s="156" t="s">
        <v>140</v>
      </c>
      <c r="M14" s="156"/>
      <c r="N14" s="154">
        <v>61</v>
      </c>
      <c r="O14" s="155"/>
      <c r="Q14" s="156" t="s">
        <v>141</v>
      </c>
      <c r="R14" s="156"/>
      <c r="S14" s="154"/>
      <c r="T14" s="155"/>
    </row>
    <row r="15" spans="2:20" hidden="1" x14ac:dyDescent="0.15">
      <c r="B15" s="156" t="s">
        <v>145</v>
      </c>
      <c r="C15" s="156"/>
      <c r="D15" s="154">
        <v>5000</v>
      </c>
      <c r="E15" s="155"/>
      <c r="G15" s="156" t="s">
        <v>146</v>
      </c>
      <c r="H15" s="156"/>
      <c r="I15" s="154"/>
      <c r="J15" s="155"/>
      <c r="L15" s="156" t="s">
        <v>142</v>
      </c>
      <c r="M15" s="156"/>
      <c r="N15" s="154" t="s">
        <v>143</v>
      </c>
      <c r="O15" s="155"/>
      <c r="Q15" s="156" t="s">
        <v>144</v>
      </c>
      <c r="R15" s="156"/>
      <c r="S15" s="106"/>
      <c r="T15" s="107"/>
    </row>
    <row r="16" spans="2:20" ht="11.25" hidden="1" thickBot="1" x14ac:dyDescent="0.2">
      <c r="B16" s="151" t="s">
        <v>147</v>
      </c>
      <c r="C16" s="151"/>
      <c r="D16" s="152" t="s">
        <v>148</v>
      </c>
      <c r="E16" s="153"/>
      <c r="G16" s="151" t="s">
        <v>149</v>
      </c>
      <c r="H16" s="151"/>
      <c r="I16" s="152"/>
      <c r="J16" s="153"/>
      <c r="L16" s="156" t="s">
        <v>145</v>
      </c>
      <c r="M16" s="156"/>
      <c r="N16" s="154">
        <v>5000</v>
      </c>
      <c r="O16" s="155"/>
      <c r="Q16" s="156" t="s">
        <v>146</v>
      </c>
      <c r="R16" s="156"/>
      <c r="S16" s="154"/>
      <c r="T16" s="155"/>
    </row>
    <row r="17" spans="2:25" ht="12" hidden="1" thickTop="1" thickBot="1" x14ac:dyDescent="0.2">
      <c r="L17" s="151" t="s">
        <v>147</v>
      </c>
      <c r="M17" s="151"/>
      <c r="N17" s="152" t="s">
        <v>148</v>
      </c>
      <c r="O17" s="153"/>
      <c r="Q17" s="151" t="s">
        <v>149</v>
      </c>
      <c r="R17" s="151"/>
      <c r="S17" s="152"/>
      <c r="T17" s="153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7" t="s">
        <v>219</v>
      </c>
      <c r="C22" s="147"/>
      <c r="D22" s="147"/>
      <c r="E22" s="147"/>
      <c r="G22" s="147" t="s">
        <v>188</v>
      </c>
      <c r="H22" s="147"/>
      <c r="I22" s="147"/>
      <c r="J22" s="147"/>
      <c r="L22" s="159" t="s">
        <v>188</v>
      </c>
      <c r="M22" s="159"/>
      <c r="N22" s="159"/>
      <c r="O22" s="159"/>
      <c r="Q22" s="147" t="s">
        <v>187</v>
      </c>
      <c r="R22" s="147"/>
      <c r="S22" s="147"/>
      <c r="T22" s="147"/>
      <c r="V22" s="159" t="s">
        <v>188</v>
      </c>
      <c r="W22" s="159"/>
      <c r="X22" s="159"/>
      <c r="Y22" s="159"/>
    </row>
    <row r="23" spans="2:25" ht="12" thickTop="1" x14ac:dyDescent="0.15">
      <c r="B23" s="139" t="s">
        <v>122</v>
      </c>
      <c r="C23" s="139"/>
      <c r="D23" s="145">
        <v>43209</v>
      </c>
      <c r="E23" s="148"/>
      <c r="G23" s="139" t="s">
        <v>122</v>
      </c>
      <c r="H23" s="139"/>
      <c r="I23" s="145">
        <f ca="1">TODAY()</f>
        <v>43287</v>
      </c>
      <c r="J23" s="148"/>
      <c r="L23" s="139" t="s">
        <v>122</v>
      </c>
      <c r="M23" s="139"/>
      <c r="N23" s="145">
        <f ca="1">TODAY()</f>
        <v>43287</v>
      </c>
      <c r="O23" s="148"/>
      <c r="Q23" s="139" t="s">
        <v>122</v>
      </c>
      <c r="R23" s="139"/>
      <c r="S23" s="145">
        <f ca="1">TODAY()-1</f>
        <v>43286</v>
      </c>
      <c r="T23" s="148"/>
      <c r="V23" s="139" t="s">
        <v>122</v>
      </c>
      <c r="W23" s="139"/>
      <c r="X23" s="145">
        <f ca="1">TODAY()-1</f>
        <v>43286</v>
      </c>
      <c r="Y23" s="148"/>
    </row>
    <row r="24" spans="2:25" ht="11.25" x14ac:dyDescent="0.15">
      <c r="B24" s="139" t="s">
        <v>124</v>
      </c>
      <c r="C24" s="139"/>
      <c r="D24" s="140" t="s">
        <v>185</v>
      </c>
      <c r="E24" s="141"/>
      <c r="G24" s="139" t="s">
        <v>124</v>
      </c>
      <c r="H24" s="139"/>
      <c r="I24" s="140" t="s">
        <v>185</v>
      </c>
      <c r="J24" s="141"/>
      <c r="L24" s="139" t="s">
        <v>124</v>
      </c>
      <c r="M24" s="139"/>
      <c r="N24" s="140" t="s">
        <v>36</v>
      </c>
      <c r="O24" s="141"/>
      <c r="Q24" s="139" t="s">
        <v>124</v>
      </c>
      <c r="R24" s="139"/>
      <c r="S24" s="140" t="s">
        <v>36</v>
      </c>
      <c r="T24" s="141"/>
      <c r="V24" s="139" t="s">
        <v>124</v>
      </c>
      <c r="W24" s="139"/>
      <c r="X24" s="140" t="s">
        <v>36</v>
      </c>
      <c r="Y24" s="141"/>
    </row>
    <row r="25" spans="2:25" ht="11.25" x14ac:dyDescent="0.15">
      <c r="B25" s="139" t="s">
        <v>127</v>
      </c>
      <c r="C25" s="139"/>
      <c r="D25" s="140" t="s">
        <v>220</v>
      </c>
      <c r="E25" s="141"/>
      <c r="G25" s="139" t="s">
        <v>127</v>
      </c>
      <c r="H25" s="139"/>
      <c r="I25" s="140" t="s">
        <v>5</v>
      </c>
      <c r="J25" s="141"/>
      <c r="L25" s="139" t="s">
        <v>127</v>
      </c>
      <c r="M25" s="139"/>
      <c r="N25" s="140" t="s">
        <v>193</v>
      </c>
      <c r="O25" s="141"/>
      <c r="Q25" s="139" t="s">
        <v>127</v>
      </c>
      <c r="R25" s="139"/>
      <c r="S25" s="140" t="s">
        <v>186</v>
      </c>
      <c r="T25" s="141"/>
      <c r="V25" s="139" t="s">
        <v>127</v>
      </c>
      <c r="W25" s="139"/>
      <c r="X25" s="140" t="s">
        <v>186</v>
      </c>
      <c r="Y25" s="141"/>
    </row>
    <row r="26" spans="2:25" ht="11.25" x14ac:dyDescent="0.15">
      <c r="B26" s="139" t="s">
        <v>129</v>
      </c>
      <c r="C26" s="139"/>
      <c r="D26" s="140">
        <f>D31*D33</f>
        <v>290000</v>
      </c>
      <c r="E26" s="141"/>
      <c r="G26" s="139" t="s">
        <v>179</v>
      </c>
      <c r="H26" s="139"/>
      <c r="I26" s="140">
        <f>I31*I33</f>
        <v>271800</v>
      </c>
      <c r="J26" s="141"/>
      <c r="L26" s="139" t="s">
        <v>129</v>
      </c>
      <c r="M26" s="139"/>
      <c r="N26" s="140">
        <f>N31*N33</f>
        <v>275000</v>
      </c>
      <c r="O26" s="141"/>
      <c r="Q26" s="139" t="s">
        <v>129</v>
      </c>
      <c r="R26" s="139"/>
      <c r="S26" s="140">
        <f>S31*S33</f>
        <v>235799.99999999997</v>
      </c>
      <c r="T26" s="141"/>
      <c r="V26" s="139" t="s">
        <v>129</v>
      </c>
      <c r="W26" s="139"/>
      <c r="X26" s="140">
        <f>X31*X33</f>
        <v>235799.99999999997</v>
      </c>
      <c r="Y26" s="141"/>
    </row>
    <row r="27" spans="2:25" ht="11.25" x14ac:dyDescent="0.15">
      <c r="B27" s="139" t="s">
        <v>131</v>
      </c>
      <c r="C27" s="139"/>
      <c r="D27" s="140" t="s">
        <v>190</v>
      </c>
      <c r="E27" s="141"/>
      <c r="F27" s="100">
        <f>1160*250</f>
        <v>290000</v>
      </c>
      <c r="G27" s="139" t="s">
        <v>131</v>
      </c>
      <c r="H27" s="139"/>
      <c r="I27" s="140" t="s">
        <v>195</v>
      </c>
      <c r="J27" s="141"/>
      <c r="L27" s="139" t="s">
        <v>131</v>
      </c>
      <c r="M27" s="139"/>
      <c r="N27" s="140" t="s">
        <v>189</v>
      </c>
      <c r="O27" s="141"/>
      <c r="Q27" s="139" t="s">
        <v>131</v>
      </c>
      <c r="R27" s="139"/>
      <c r="S27" s="140" t="s">
        <v>190</v>
      </c>
      <c r="T27" s="141"/>
      <c r="V27" s="139" t="s">
        <v>131</v>
      </c>
      <c r="W27" s="139"/>
      <c r="X27" s="140" t="s">
        <v>189</v>
      </c>
      <c r="Y27" s="141"/>
    </row>
    <row r="28" spans="2:25" ht="11.25" x14ac:dyDescent="0.15">
      <c r="B28" s="139" t="s">
        <v>134</v>
      </c>
      <c r="C28" s="139"/>
      <c r="D28" s="145">
        <v>43222</v>
      </c>
      <c r="E28" s="141"/>
      <c r="G28" s="139" t="s">
        <v>134</v>
      </c>
      <c r="H28" s="139"/>
      <c r="I28" s="145">
        <v>43182</v>
      </c>
      <c r="J28" s="141"/>
      <c r="L28" s="139" t="s">
        <v>134</v>
      </c>
      <c r="M28" s="139"/>
      <c r="N28" s="145">
        <v>43219</v>
      </c>
      <c r="O28" s="141"/>
      <c r="Q28" s="139" t="s">
        <v>134</v>
      </c>
      <c r="R28" s="139"/>
      <c r="S28" s="145">
        <v>43201</v>
      </c>
      <c r="T28" s="141"/>
      <c r="V28" s="139" t="s">
        <v>134</v>
      </c>
      <c r="W28" s="139"/>
      <c r="X28" s="145">
        <v>43201</v>
      </c>
      <c r="Y28" s="141"/>
    </row>
    <row r="29" spans="2:25" ht="11.25" x14ac:dyDescent="0.15">
      <c r="B29" s="139" t="s">
        <v>136</v>
      </c>
      <c r="C29" s="139"/>
      <c r="D29" s="140">
        <v>108500</v>
      </c>
      <c r="E29" s="141"/>
      <c r="G29" s="139" t="s">
        <v>136</v>
      </c>
      <c r="H29" s="139"/>
      <c r="I29" s="140">
        <v>3856</v>
      </c>
      <c r="J29" s="141"/>
      <c r="L29" s="139" t="s">
        <v>136</v>
      </c>
      <c r="M29" s="139"/>
      <c r="N29" s="140">
        <v>3760</v>
      </c>
      <c r="O29" s="141"/>
      <c r="Q29" s="139" t="s">
        <v>136</v>
      </c>
      <c r="R29" s="139"/>
      <c r="S29" s="140">
        <v>524</v>
      </c>
      <c r="T29" s="141"/>
      <c r="V29" s="139" t="s">
        <v>136</v>
      </c>
      <c r="W29" s="139"/>
      <c r="X29" s="140">
        <v>524</v>
      </c>
      <c r="Y29" s="141"/>
    </row>
    <row r="30" spans="2:25" ht="11.25" x14ac:dyDescent="0.15">
      <c r="B30" s="139" t="s">
        <v>138</v>
      </c>
      <c r="C30" s="139"/>
      <c r="D30" s="140">
        <v>110000</v>
      </c>
      <c r="E30" s="141"/>
      <c r="G30" s="139" t="s">
        <v>138</v>
      </c>
      <c r="H30" s="139"/>
      <c r="I30" s="140">
        <v>3930</v>
      </c>
      <c r="J30" s="141"/>
      <c r="L30" s="139" t="s">
        <v>138</v>
      </c>
      <c r="M30" s="139"/>
      <c r="N30" s="140">
        <v>3700</v>
      </c>
      <c r="O30" s="141"/>
      <c r="Q30" s="139" t="s">
        <v>138</v>
      </c>
      <c r="R30" s="139"/>
      <c r="S30" s="140">
        <v>524</v>
      </c>
      <c r="T30" s="141"/>
      <c r="V30" s="139" t="s">
        <v>138</v>
      </c>
      <c r="W30" s="139"/>
      <c r="X30" s="140">
        <v>524</v>
      </c>
      <c r="Y30" s="141"/>
    </row>
    <row r="31" spans="2:25" ht="11.25" x14ac:dyDescent="0.15">
      <c r="B31" s="139" t="s">
        <v>140</v>
      </c>
      <c r="C31" s="139"/>
      <c r="D31" s="140">
        <v>1160</v>
      </c>
      <c r="E31" s="141"/>
      <c r="G31" s="139" t="s">
        <v>196</v>
      </c>
      <c r="H31" s="139"/>
      <c r="I31" s="140">
        <v>27.18</v>
      </c>
      <c r="J31" s="141"/>
      <c r="L31" s="139" t="s">
        <v>140</v>
      </c>
      <c r="M31" s="139"/>
      <c r="N31" s="140">
        <v>55</v>
      </c>
      <c r="O31" s="141"/>
      <c r="Q31" s="139" t="s">
        <v>140</v>
      </c>
      <c r="R31" s="139"/>
      <c r="S31" s="140">
        <v>23.58</v>
      </c>
      <c r="T31" s="141"/>
      <c r="V31" s="139" t="s">
        <v>140</v>
      </c>
      <c r="W31" s="139"/>
      <c r="X31" s="140">
        <v>23.58</v>
      </c>
      <c r="Y31" s="141"/>
    </row>
    <row r="32" spans="2:25" ht="11.25" x14ac:dyDescent="0.15">
      <c r="B32" s="139" t="s">
        <v>142</v>
      </c>
      <c r="C32" s="139"/>
      <c r="D32" s="140" t="s">
        <v>207</v>
      </c>
      <c r="E32" s="141"/>
      <c r="G32" s="139" t="s">
        <v>197</v>
      </c>
      <c r="H32" s="139"/>
      <c r="I32" s="140" t="s">
        <v>194</v>
      </c>
      <c r="J32" s="141"/>
      <c r="L32" s="139" t="s">
        <v>142</v>
      </c>
      <c r="M32" s="139"/>
      <c r="N32" s="140" t="s">
        <v>192</v>
      </c>
      <c r="O32" s="141"/>
      <c r="Q32" s="139" t="s">
        <v>142</v>
      </c>
      <c r="R32" s="139"/>
      <c r="S32" s="140" t="s">
        <v>191</v>
      </c>
      <c r="T32" s="141"/>
      <c r="V32" s="139" t="s">
        <v>142</v>
      </c>
      <c r="W32" s="139"/>
      <c r="X32" s="140" t="s">
        <v>191</v>
      </c>
      <c r="Y32" s="141"/>
    </row>
    <row r="33" spans="2:25" ht="11.25" x14ac:dyDescent="0.15">
      <c r="B33" s="139" t="s">
        <v>145</v>
      </c>
      <c r="C33" s="139"/>
      <c r="D33" s="140">
        <v>250</v>
      </c>
      <c r="E33" s="141"/>
      <c r="G33" s="139" t="s">
        <v>198</v>
      </c>
      <c r="H33" s="139"/>
      <c r="I33" s="140">
        <v>10000</v>
      </c>
      <c r="J33" s="141"/>
      <c r="L33" s="139" t="s">
        <v>145</v>
      </c>
      <c r="M33" s="139"/>
      <c r="N33" s="140">
        <v>5000</v>
      </c>
      <c r="O33" s="141"/>
      <c r="Q33" s="139" t="s">
        <v>145</v>
      </c>
      <c r="R33" s="139"/>
      <c r="S33" s="140">
        <v>10000</v>
      </c>
      <c r="T33" s="141"/>
      <c r="V33" s="139" t="s">
        <v>145</v>
      </c>
      <c r="W33" s="139"/>
      <c r="X33" s="140">
        <v>10000</v>
      </c>
      <c r="Y33" s="141"/>
    </row>
    <row r="34" spans="2:25" ht="12" thickBot="1" x14ac:dyDescent="0.2">
      <c r="B34" s="142" t="s">
        <v>147</v>
      </c>
      <c r="C34" s="142"/>
      <c r="D34" s="143" t="s">
        <v>148</v>
      </c>
      <c r="E34" s="144"/>
      <c r="G34" s="142" t="s">
        <v>147</v>
      </c>
      <c r="H34" s="142"/>
      <c r="I34" s="143" t="s">
        <v>148</v>
      </c>
      <c r="J34" s="144"/>
      <c r="L34" s="142" t="s">
        <v>147</v>
      </c>
      <c r="M34" s="142"/>
      <c r="N34" s="143" t="s">
        <v>148</v>
      </c>
      <c r="O34" s="144"/>
      <c r="Q34" s="142" t="s">
        <v>147</v>
      </c>
      <c r="R34" s="142"/>
      <c r="S34" s="143" t="s">
        <v>148</v>
      </c>
      <c r="T34" s="144"/>
      <c r="V34" s="142" t="s">
        <v>147</v>
      </c>
      <c r="W34" s="142"/>
      <c r="X34" s="143" t="s">
        <v>148</v>
      </c>
      <c r="Y34" s="144"/>
    </row>
    <row r="35" spans="2:25" ht="11.25" thickTop="1" x14ac:dyDescent="0.15"/>
    <row r="36" spans="2:25" ht="12" thickBot="1" x14ac:dyDescent="0.2">
      <c r="B36" s="147" t="s">
        <v>224</v>
      </c>
      <c r="C36" s="147"/>
      <c r="D36" s="147"/>
      <c r="E36" s="147"/>
      <c r="G36" s="147" t="s">
        <v>225</v>
      </c>
      <c r="H36" s="147"/>
      <c r="I36" s="147"/>
      <c r="J36" s="147"/>
      <c r="L36" s="147" t="s">
        <v>204</v>
      </c>
      <c r="M36" s="147"/>
      <c r="N36" s="147"/>
      <c r="O36" s="147"/>
      <c r="Q36" s="147" t="s">
        <v>121</v>
      </c>
      <c r="R36" s="147"/>
      <c r="S36" s="147"/>
      <c r="T36" s="147"/>
    </row>
    <row r="37" spans="2:25" ht="12" thickTop="1" x14ac:dyDescent="0.15">
      <c r="B37" s="139" t="s">
        <v>122</v>
      </c>
      <c r="C37" s="139"/>
      <c r="D37" s="145">
        <v>43229</v>
      </c>
      <c r="E37" s="148"/>
      <c r="G37" s="139" t="s">
        <v>122</v>
      </c>
      <c r="H37" s="139"/>
      <c r="I37" s="145">
        <v>43229</v>
      </c>
      <c r="J37" s="148"/>
      <c r="L37" s="139" t="s">
        <v>122</v>
      </c>
      <c r="M37" s="139"/>
      <c r="N37" s="145">
        <v>43214</v>
      </c>
      <c r="O37" s="148"/>
      <c r="Q37" s="139" t="s">
        <v>122</v>
      </c>
      <c r="R37" s="139"/>
      <c r="S37" s="145">
        <v>43209</v>
      </c>
      <c r="T37" s="148"/>
    </row>
    <row r="38" spans="2:25" ht="11.25" x14ac:dyDescent="0.15">
      <c r="B38" s="139" t="s">
        <v>124</v>
      </c>
      <c r="C38" s="139"/>
      <c r="D38" s="140" t="s">
        <v>186</v>
      </c>
      <c r="E38" s="141"/>
      <c r="G38" s="139" t="s">
        <v>124</v>
      </c>
      <c r="H38" s="139"/>
      <c r="I38" s="140" t="s">
        <v>186</v>
      </c>
      <c r="J38" s="141"/>
      <c r="L38" s="139" t="s">
        <v>124</v>
      </c>
      <c r="M38" s="139"/>
      <c r="N38" s="140" t="s">
        <v>202</v>
      </c>
      <c r="O38" s="141"/>
      <c r="Q38" s="139" t="s">
        <v>124</v>
      </c>
      <c r="R38" s="139"/>
      <c r="S38" s="140" t="s">
        <v>216</v>
      </c>
      <c r="T38" s="141"/>
    </row>
    <row r="39" spans="2:25" ht="11.25" x14ac:dyDescent="0.15">
      <c r="B39" s="139" t="s">
        <v>127</v>
      </c>
      <c r="C39" s="139"/>
      <c r="D39" s="140" t="s">
        <v>221</v>
      </c>
      <c r="E39" s="141"/>
      <c r="G39" s="139" t="s">
        <v>127</v>
      </c>
      <c r="H39" s="139"/>
      <c r="I39" s="140" t="s">
        <v>202</v>
      </c>
      <c r="J39" s="141"/>
      <c r="L39" s="139" t="s">
        <v>127</v>
      </c>
      <c r="M39" s="139"/>
      <c r="N39" s="140" t="s">
        <v>4</v>
      </c>
      <c r="O39" s="141"/>
      <c r="Q39" s="139" t="s">
        <v>127</v>
      </c>
      <c r="R39" s="139"/>
      <c r="S39" s="140" t="s">
        <v>202</v>
      </c>
      <c r="T39" s="141"/>
    </row>
    <row r="40" spans="2:25" ht="11.25" x14ac:dyDescent="0.15">
      <c r="B40" s="139" t="s">
        <v>179</v>
      </c>
      <c r="C40" s="139"/>
      <c r="D40" s="140">
        <f>D47*D45</f>
        <v>410500.00000000006</v>
      </c>
      <c r="E40" s="141"/>
      <c r="G40" s="139" t="s">
        <v>179</v>
      </c>
      <c r="H40" s="139"/>
      <c r="I40" s="140">
        <f>I45*I47</f>
        <v>410500.00000000006</v>
      </c>
      <c r="J40" s="141"/>
      <c r="L40" s="139" t="s">
        <v>129</v>
      </c>
      <c r="M40" s="139"/>
      <c r="N40" s="140">
        <f>N45*N47</f>
        <v>2117500</v>
      </c>
      <c r="O40" s="141"/>
      <c r="Q40" s="139" t="s">
        <v>179</v>
      </c>
      <c r="R40" s="139"/>
      <c r="S40" s="140">
        <f>S45*S47</f>
        <v>1045200</v>
      </c>
      <c r="T40" s="141"/>
    </row>
    <row r="41" spans="2:25" ht="11.25" x14ac:dyDescent="0.15">
      <c r="B41" s="139" t="s">
        <v>131</v>
      </c>
      <c r="C41" s="139"/>
      <c r="D41" s="140" t="s">
        <v>222</v>
      </c>
      <c r="E41" s="141"/>
      <c r="G41" s="139" t="s">
        <v>131</v>
      </c>
      <c r="H41" s="139"/>
      <c r="I41" s="140" t="s">
        <v>217</v>
      </c>
      <c r="J41" s="141"/>
      <c r="L41" s="139" t="s">
        <v>131</v>
      </c>
      <c r="M41" s="139"/>
      <c r="N41" s="140" t="s">
        <v>206</v>
      </c>
      <c r="O41" s="141"/>
      <c r="Q41" s="139" t="s">
        <v>131</v>
      </c>
      <c r="R41" s="139"/>
      <c r="S41" s="140" t="s">
        <v>217</v>
      </c>
      <c r="T41" s="141"/>
    </row>
    <row r="42" spans="2:25" ht="11.25" x14ac:dyDescent="0.15">
      <c r="B42" s="139" t="s">
        <v>134</v>
      </c>
      <c r="C42" s="139"/>
      <c r="D42" s="145">
        <f>D37+98</f>
        <v>43327</v>
      </c>
      <c r="E42" s="141"/>
      <c r="G42" s="139" t="s">
        <v>134</v>
      </c>
      <c r="H42" s="139"/>
      <c r="I42" s="145">
        <f>I37+98</f>
        <v>43327</v>
      </c>
      <c r="J42" s="141"/>
      <c r="L42" s="139" t="s">
        <v>134</v>
      </c>
      <c r="M42" s="139"/>
      <c r="N42" s="145">
        <v>43266</v>
      </c>
      <c r="O42" s="141"/>
      <c r="Q42" s="139" t="s">
        <v>134</v>
      </c>
      <c r="R42" s="139"/>
      <c r="S42" s="145">
        <v>43266</v>
      </c>
      <c r="T42" s="141"/>
    </row>
    <row r="43" spans="2:25" ht="11.25" x14ac:dyDescent="0.15">
      <c r="B43" s="139" t="s">
        <v>136</v>
      </c>
      <c r="C43" s="139"/>
      <c r="D43" s="140">
        <v>470.5</v>
      </c>
      <c r="E43" s="141"/>
      <c r="G43" s="139" t="s">
        <v>136</v>
      </c>
      <c r="H43" s="139"/>
      <c r="I43" s="140">
        <v>470.5</v>
      </c>
      <c r="J43" s="141"/>
      <c r="L43" s="139" t="s">
        <v>136</v>
      </c>
      <c r="M43" s="146"/>
      <c r="N43" s="140">
        <v>14535</v>
      </c>
      <c r="O43" s="141"/>
      <c r="Q43" s="139" t="s">
        <v>136</v>
      </c>
      <c r="R43" s="139"/>
      <c r="S43" s="140">
        <v>15250</v>
      </c>
      <c r="T43" s="141"/>
    </row>
    <row r="44" spans="2:25" ht="11.25" x14ac:dyDescent="0.15">
      <c r="B44" s="139" t="s">
        <v>138</v>
      </c>
      <c r="C44" s="139"/>
      <c r="D44" s="140">
        <v>470.5</v>
      </c>
      <c r="E44" s="141"/>
      <c r="F44" s="100">
        <f>D44*1.55/100</f>
        <v>7.2927499999999998</v>
      </c>
      <c r="G44" s="139" t="s">
        <v>138</v>
      </c>
      <c r="H44" s="139"/>
      <c r="I44" s="140">
        <v>470.5</v>
      </c>
      <c r="J44" s="141"/>
      <c r="L44" s="139" t="s">
        <v>138</v>
      </c>
      <c r="M44" s="139"/>
      <c r="N44" s="140">
        <v>14500</v>
      </c>
      <c r="O44" s="141"/>
      <c r="Q44" s="139" t="s">
        <v>138</v>
      </c>
      <c r="R44" s="139"/>
      <c r="S44" s="140">
        <v>14500</v>
      </c>
      <c r="T44" s="141"/>
    </row>
    <row r="45" spans="2:25" ht="11.25" x14ac:dyDescent="0.15">
      <c r="B45" s="139" t="s">
        <v>140</v>
      </c>
      <c r="C45" s="139"/>
      <c r="D45" s="140">
        <v>32.840000000000003</v>
      </c>
      <c r="E45" s="141"/>
      <c r="G45" s="139" t="s">
        <v>140</v>
      </c>
      <c r="H45" s="139"/>
      <c r="I45" s="140">
        <v>32.840000000000003</v>
      </c>
      <c r="J45" s="141"/>
      <c r="L45" s="139" t="s">
        <v>140</v>
      </c>
      <c r="M45" s="139"/>
      <c r="N45" s="140">
        <v>423.5</v>
      </c>
      <c r="O45" s="141"/>
      <c r="Q45" s="139" t="s">
        <v>196</v>
      </c>
      <c r="R45" s="139"/>
      <c r="S45" s="140">
        <v>209.04</v>
      </c>
      <c r="T45" s="141"/>
    </row>
    <row r="46" spans="2:25" ht="11.25" x14ac:dyDescent="0.15">
      <c r="B46" s="139" t="s">
        <v>197</v>
      </c>
      <c r="C46" s="139"/>
      <c r="D46" s="140" t="s">
        <v>200</v>
      </c>
      <c r="E46" s="141"/>
      <c r="G46" s="139" t="s">
        <v>142</v>
      </c>
      <c r="H46" s="139"/>
      <c r="I46" s="140" t="s">
        <v>200</v>
      </c>
      <c r="J46" s="141"/>
      <c r="L46" s="139" t="s">
        <v>142</v>
      </c>
      <c r="M46" s="139"/>
      <c r="N46" s="140" t="s">
        <v>208</v>
      </c>
      <c r="O46" s="141"/>
      <c r="Q46" s="139" t="s">
        <v>142</v>
      </c>
      <c r="R46" s="139"/>
      <c r="S46" s="140" t="s">
        <v>218</v>
      </c>
      <c r="T46" s="141"/>
    </row>
    <row r="47" spans="2:25" ht="11.25" x14ac:dyDescent="0.15">
      <c r="B47" s="139" t="s">
        <v>145</v>
      </c>
      <c r="C47" s="139"/>
      <c r="D47" s="140">
        <v>12500</v>
      </c>
      <c r="E47" s="141"/>
      <c r="G47" s="139" t="s">
        <v>145</v>
      </c>
      <c r="H47" s="139"/>
      <c r="I47" s="140">
        <v>12500</v>
      </c>
      <c r="J47" s="141"/>
      <c r="L47" s="139" t="s">
        <v>145</v>
      </c>
      <c r="M47" s="139"/>
      <c r="N47" s="140">
        <v>5000</v>
      </c>
      <c r="O47" s="141"/>
      <c r="Q47" s="139" t="s">
        <v>145</v>
      </c>
      <c r="R47" s="139"/>
      <c r="S47" s="140">
        <v>5000</v>
      </c>
      <c r="T47" s="141"/>
    </row>
    <row r="48" spans="2:25" ht="12" thickBot="1" x14ac:dyDescent="0.2">
      <c r="B48" s="142" t="s">
        <v>147</v>
      </c>
      <c r="C48" s="142"/>
      <c r="D48" s="143" t="s">
        <v>223</v>
      </c>
      <c r="E48" s="144"/>
      <c r="G48" s="142" t="s">
        <v>147</v>
      </c>
      <c r="H48" s="142"/>
      <c r="I48" s="143" t="s">
        <v>205</v>
      </c>
      <c r="J48" s="144"/>
      <c r="L48" s="142" t="s">
        <v>147</v>
      </c>
      <c r="M48" s="142"/>
      <c r="N48" s="143" t="s">
        <v>203</v>
      </c>
      <c r="O48" s="144"/>
      <c r="Q48" s="142" t="s">
        <v>147</v>
      </c>
      <c r="R48" s="142"/>
      <c r="S48" s="143" t="s">
        <v>205</v>
      </c>
      <c r="T48" s="144"/>
    </row>
    <row r="49" spans="2:20" ht="12.75" thickTop="1" thickBot="1" x14ac:dyDescent="0.2">
      <c r="B49" s="147" t="s">
        <v>121</v>
      </c>
      <c r="C49" s="147"/>
      <c r="D49" s="147"/>
      <c r="E49" s="147"/>
      <c r="G49" s="147" t="s">
        <v>204</v>
      </c>
      <c r="H49" s="147"/>
      <c r="I49" s="147"/>
      <c r="J49" s="147"/>
      <c r="L49" s="147" t="s">
        <v>188</v>
      </c>
      <c r="M49" s="147"/>
      <c r="N49" s="147"/>
      <c r="O49" s="147"/>
      <c r="Q49" s="147" t="s">
        <v>232</v>
      </c>
      <c r="R49" s="147"/>
      <c r="S49" s="147"/>
      <c r="T49" s="147"/>
    </row>
    <row r="50" spans="2:20" ht="12" thickTop="1" x14ac:dyDescent="0.15">
      <c r="B50" s="139" t="s">
        <v>122</v>
      </c>
      <c r="C50" s="139"/>
      <c r="D50" s="145">
        <v>43235</v>
      </c>
      <c r="E50" s="148"/>
      <c r="G50" s="139" t="s">
        <v>122</v>
      </c>
      <c r="H50" s="139"/>
      <c r="I50" s="145">
        <v>43265</v>
      </c>
      <c r="J50" s="148"/>
      <c r="L50" s="139" t="s">
        <v>122</v>
      </c>
      <c r="M50" s="139"/>
      <c r="N50" s="145">
        <v>43237</v>
      </c>
      <c r="O50" s="148"/>
      <c r="Q50" s="139" t="s">
        <v>122</v>
      </c>
      <c r="R50" s="139"/>
      <c r="S50" s="145">
        <v>43237</v>
      </c>
      <c r="T50" s="148"/>
    </row>
    <row r="51" spans="2:20" ht="11.25" x14ac:dyDescent="0.15">
      <c r="B51" s="139" t="s">
        <v>124</v>
      </c>
      <c r="C51" s="139"/>
      <c r="D51" s="140" t="s">
        <v>221</v>
      </c>
      <c r="E51" s="141"/>
      <c r="G51" s="139" t="s">
        <v>124</v>
      </c>
      <c r="H51" s="139"/>
      <c r="I51" s="140" t="s">
        <v>202</v>
      </c>
      <c r="J51" s="141"/>
      <c r="L51" s="139" t="s">
        <v>124</v>
      </c>
      <c r="M51" s="139"/>
      <c r="N51" s="140" t="s">
        <v>4</v>
      </c>
      <c r="O51" s="141"/>
      <c r="Q51" s="139" t="s">
        <v>124</v>
      </c>
      <c r="R51" s="139"/>
      <c r="S51" s="140" t="s">
        <v>4</v>
      </c>
      <c r="T51" s="141"/>
    </row>
    <row r="52" spans="2:20" ht="11.25" x14ac:dyDescent="0.15">
      <c r="B52" s="139" t="s">
        <v>127</v>
      </c>
      <c r="C52" s="139"/>
      <c r="D52" s="140" t="s">
        <v>230</v>
      </c>
      <c r="E52" s="141"/>
      <c r="G52" s="139" t="s">
        <v>127</v>
      </c>
      <c r="H52" s="139"/>
      <c r="I52" s="140" t="s">
        <v>4</v>
      </c>
      <c r="J52" s="141"/>
      <c r="L52" s="139" t="s">
        <v>127</v>
      </c>
      <c r="M52" s="139"/>
      <c r="N52" s="140" t="s">
        <v>36</v>
      </c>
      <c r="O52" s="141"/>
      <c r="Q52" s="139" t="s">
        <v>127</v>
      </c>
      <c r="R52" s="139"/>
      <c r="S52" s="140" t="s">
        <v>36</v>
      </c>
      <c r="T52" s="141"/>
    </row>
    <row r="53" spans="2:20" ht="11.25" x14ac:dyDescent="0.15">
      <c r="B53" s="139" t="s">
        <v>179</v>
      </c>
      <c r="C53" s="139"/>
      <c r="D53" s="140">
        <f>D58*D60</f>
        <v>280000</v>
      </c>
      <c r="E53" s="141"/>
      <c r="G53" s="139" t="s">
        <v>129</v>
      </c>
      <c r="H53" s="139"/>
      <c r="I53" s="140">
        <f>I58*I60</f>
        <v>252000</v>
      </c>
      <c r="J53" s="141"/>
      <c r="L53" s="139" t="s">
        <v>179</v>
      </c>
      <c r="M53" s="139"/>
      <c r="N53" s="140">
        <f>N58*N60</f>
        <v>1272000</v>
      </c>
      <c r="O53" s="141"/>
      <c r="Q53" s="139" t="s">
        <v>179</v>
      </c>
      <c r="R53" s="139"/>
      <c r="S53" s="140">
        <f>S58*S60</f>
        <v>1230000</v>
      </c>
      <c r="T53" s="141"/>
    </row>
    <row r="54" spans="2:20" ht="11.25" x14ac:dyDescent="0.15">
      <c r="B54" s="139" t="s">
        <v>131</v>
      </c>
      <c r="C54" s="139"/>
      <c r="D54" s="140" t="s">
        <v>189</v>
      </c>
      <c r="E54" s="141"/>
      <c r="G54" s="139" t="s">
        <v>131</v>
      </c>
      <c r="H54" s="139"/>
      <c r="I54" s="140" t="s">
        <v>206</v>
      </c>
      <c r="J54" s="141"/>
      <c r="L54" s="139" t="s">
        <v>131</v>
      </c>
      <c r="M54" s="139"/>
      <c r="N54" s="140" t="s">
        <v>132</v>
      </c>
      <c r="O54" s="141"/>
      <c r="Q54" s="139" t="s">
        <v>131</v>
      </c>
      <c r="R54" s="139"/>
      <c r="S54" s="140" t="s">
        <v>132</v>
      </c>
      <c r="T54" s="141"/>
    </row>
    <row r="55" spans="2:20" ht="11.25" x14ac:dyDescent="0.15">
      <c r="B55" s="139" t="s">
        <v>134</v>
      </c>
      <c r="C55" s="139"/>
      <c r="D55" s="145">
        <f>D50+87</f>
        <v>43322</v>
      </c>
      <c r="E55" s="141"/>
      <c r="G55" s="139" t="s">
        <v>134</v>
      </c>
      <c r="H55" s="139"/>
      <c r="I55" s="145">
        <v>43294</v>
      </c>
      <c r="J55" s="141"/>
      <c r="L55" s="139" t="s">
        <v>134</v>
      </c>
      <c r="M55" s="139"/>
      <c r="N55" s="145">
        <f>N50+85</f>
        <v>43322</v>
      </c>
      <c r="O55" s="141"/>
      <c r="Q55" s="139" t="s">
        <v>134</v>
      </c>
      <c r="R55" s="139"/>
      <c r="S55" s="145">
        <f>S50+85</f>
        <v>43322</v>
      </c>
      <c r="T55" s="141"/>
    </row>
    <row r="56" spans="2:20" ht="11.25" x14ac:dyDescent="0.15">
      <c r="B56" s="139" t="s">
        <v>136</v>
      </c>
      <c r="C56" s="139"/>
      <c r="D56" s="140">
        <v>14825</v>
      </c>
      <c r="E56" s="141"/>
      <c r="G56" s="139" t="s">
        <v>136</v>
      </c>
      <c r="H56" s="146"/>
      <c r="I56" s="140">
        <v>14700</v>
      </c>
      <c r="J56" s="141"/>
      <c r="L56" s="139" t="s">
        <v>136</v>
      </c>
      <c r="M56" s="139"/>
      <c r="N56" s="140">
        <v>482</v>
      </c>
      <c r="O56" s="141"/>
      <c r="Q56" s="139" t="s">
        <v>136</v>
      </c>
      <c r="R56" s="139"/>
      <c r="S56" s="140">
        <v>482.5</v>
      </c>
      <c r="T56" s="141"/>
    </row>
    <row r="57" spans="2:20" ht="11.25" x14ac:dyDescent="0.15">
      <c r="B57" s="139" t="s">
        <v>138</v>
      </c>
      <c r="C57" s="139"/>
      <c r="D57" s="140">
        <v>14100</v>
      </c>
      <c r="E57" s="141"/>
      <c r="G57" s="139" t="s">
        <v>138</v>
      </c>
      <c r="H57" s="139"/>
      <c r="I57" s="140">
        <v>14500</v>
      </c>
      <c r="J57" s="141"/>
      <c r="L57" s="139" t="s">
        <v>138</v>
      </c>
      <c r="M57" s="139"/>
      <c r="N57" s="140">
        <v>480</v>
      </c>
      <c r="O57" s="141"/>
      <c r="Q57" s="139" t="s">
        <v>138</v>
      </c>
      <c r="R57" s="139"/>
      <c r="S57" s="140">
        <v>430</v>
      </c>
      <c r="T57" s="141"/>
    </row>
    <row r="58" spans="2:20" ht="11.25" x14ac:dyDescent="0.15">
      <c r="B58" s="139" t="s">
        <v>140</v>
      </c>
      <c r="C58" s="139"/>
      <c r="D58" s="140">
        <v>140</v>
      </c>
      <c r="E58" s="141"/>
      <c r="G58" s="139" t="s">
        <v>140</v>
      </c>
      <c r="H58" s="139"/>
      <c r="I58" s="140">
        <v>126</v>
      </c>
      <c r="J58" s="141"/>
      <c r="L58" s="139" t="s">
        <v>140</v>
      </c>
      <c r="M58" s="139"/>
      <c r="N58" s="140">
        <v>31.8</v>
      </c>
      <c r="O58" s="141"/>
      <c r="Q58" s="139" t="s">
        <v>140</v>
      </c>
      <c r="R58" s="139"/>
      <c r="S58" s="140">
        <v>12.3</v>
      </c>
      <c r="T58" s="141"/>
    </row>
    <row r="59" spans="2:20" ht="11.25" x14ac:dyDescent="0.15">
      <c r="B59" s="139" t="s">
        <v>142</v>
      </c>
      <c r="C59" s="139"/>
      <c r="D59" s="140" t="s">
        <v>229</v>
      </c>
      <c r="E59" s="141"/>
      <c r="G59" s="139" t="s">
        <v>142</v>
      </c>
      <c r="H59" s="139"/>
      <c r="I59" s="140" t="s">
        <v>231</v>
      </c>
      <c r="J59" s="141"/>
      <c r="L59" s="139" t="s">
        <v>142</v>
      </c>
      <c r="M59" s="139"/>
      <c r="N59" s="140" t="s">
        <v>200</v>
      </c>
      <c r="O59" s="141"/>
      <c r="Q59" s="139" t="s">
        <v>142</v>
      </c>
      <c r="R59" s="139"/>
      <c r="S59" s="140" t="s">
        <v>200</v>
      </c>
      <c r="T59" s="141"/>
    </row>
    <row r="60" spans="2:20" ht="11.25" x14ac:dyDescent="0.15">
      <c r="B60" s="139" t="s">
        <v>145</v>
      </c>
      <c r="C60" s="139"/>
      <c r="D60" s="140">
        <v>2000</v>
      </c>
      <c r="E60" s="141"/>
      <c r="G60" s="139" t="s">
        <v>145</v>
      </c>
      <c r="H60" s="139"/>
      <c r="I60" s="140">
        <v>2000</v>
      </c>
      <c r="J60" s="141"/>
      <c r="L60" s="139" t="s">
        <v>145</v>
      </c>
      <c r="M60" s="139"/>
      <c r="N60" s="140">
        <v>40000</v>
      </c>
      <c r="O60" s="141"/>
      <c r="Q60" s="139" t="s">
        <v>145</v>
      </c>
      <c r="R60" s="139"/>
      <c r="S60" s="140">
        <v>100000</v>
      </c>
      <c r="T60" s="141"/>
    </row>
    <row r="61" spans="2:20" ht="12" thickBot="1" x14ac:dyDescent="0.2">
      <c r="B61" s="142" t="s">
        <v>147</v>
      </c>
      <c r="C61" s="142"/>
      <c r="D61" s="143" t="s">
        <v>205</v>
      </c>
      <c r="E61" s="144"/>
      <c r="G61" s="142" t="s">
        <v>147</v>
      </c>
      <c r="H61" s="142"/>
      <c r="I61" s="143" t="s">
        <v>203</v>
      </c>
      <c r="J61" s="144"/>
      <c r="L61" s="142" t="s">
        <v>147</v>
      </c>
      <c r="M61" s="142"/>
      <c r="N61" s="143" t="s">
        <v>205</v>
      </c>
      <c r="O61" s="144"/>
      <c r="Q61" s="142" t="s">
        <v>147</v>
      </c>
      <c r="R61" s="142"/>
      <c r="S61" s="143" t="s">
        <v>205</v>
      </c>
      <c r="T61" s="144"/>
    </row>
    <row r="62" spans="2:20" ht="11.25" thickTop="1" x14ac:dyDescent="0.15"/>
    <row r="63" spans="2:20" ht="12" thickBot="1" x14ac:dyDescent="0.2">
      <c r="G63" s="147" t="s">
        <v>236</v>
      </c>
      <c r="H63" s="147"/>
      <c r="I63" s="147"/>
      <c r="J63" s="147"/>
      <c r="L63" s="147" t="s">
        <v>237</v>
      </c>
      <c r="M63" s="147"/>
      <c r="N63" s="147"/>
      <c r="O63" s="147"/>
      <c r="Q63" s="147" t="s">
        <v>249</v>
      </c>
      <c r="R63" s="147"/>
      <c r="S63" s="147"/>
      <c r="T63" s="147"/>
    </row>
    <row r="64" spans="2:20" ht="12" thickTop="1" x14ac:dyDescent="0.15">
      <c r="G64" s="139" t="s">
        <v>122</v>
      </c>
      <c r="H64" s="139"/>
      <c r="I64" s="145">
        <v>43248</v>
      </c>
      <c r="J64" s="148"/>
      <c r="L64" s="139" t="s">
        <v>122</v>
      </c>
      <c r="M64" s="139"/>
      <c r="N64" s="145">
        <v>43248</v>
      </c>
      <c r="O64" s="148"/>
      <c r="Q64" s="139" t="s">
        <v>122</v>
      </c>
      <c r="R64" s="139"/>
      <c r="S64" s="145">
        <v>43264</v>
      </c>
      <c r="T64" s="148"/>
    </row>
    <row r="65" spans="7:20" ht="11.25" x14ac:dyDescent="0.15">
      <c r="G65" s="139" t="s">
        <v>124</v>
      </c>
      <c r="H65" s="139"/>
      <c r="I65" s="140" t="s">
        <v>234</v>
      </c>
      <c r="J65" s="141"/>
      <c r="L65" s="139" t="s">
        <v>124</v>
      </c>
      <c r="M65" s="139"/>
      <c r="N65" s="140" t="s">
        <v>234</v>
      </c>
      <c r="O65" s="141"/>
      <c r="Q65" s="139" t="s">
        <v>124</v>
      </c>
      <c r="R65" s="139"/>
      <c r="S65" s="140" t="s">
        <v>250</v>
      </c>
      <c r="T65" s="141"/>
    </row>
    <row r="66" spans="7:20" ht="11.25" x14ac:dyDescent="0.15">
      <c r="G66" s="139" t="s">
        <v>127</v>
      </c>
      <c r="H66" s="139"/>
      <c r="I66" s="140" t="s">
        <v>36</v>
      </c>
      <c r="J66" s="141"/>
      <c r="L66" s="139" t="s">
        <v>127</v>
      </c>
      <c r="M66" s="139"/>
      <c r="N66" s="140" t="s">
        <v>36</v>
      </c>
      <c r="O66" s="141"/>
      <c r="Q66" s="139" t="s">
        <v>127</v>
      </c>
      <c r="R66" s="139"/>
      <c r="S66" s="140" t="s">
        <v>36</v>
      </c>
      <c r="T66" s="141"/>
    </row>
    <row r="67" spans="7:20" ht="11.25" x14ac:dyDescent="0.15">
      <c r="G67" s="139" t="s">
        <v>179</v>
      </c>
      <c r="H67" s="139"/>
      <c r="I67" s="140">
        <f>I72*I74</f>
        <v>244200.00000000003</v>
      </c>
      <c r="J67" s="141"/>
      <c r="L67" s="139" t="s">
        <v>179</v>
      </c>
      <c r="M67" s="139"/>
      <c r="N67" s="140">
        <f>N72*N74</f>
        <v>244200.00000000003</v>
      </c>
      <c r="O67" s="141"/>
      <c r="Q67" s="139" t="s">
        <v>129</v>
      </c>
      <c r="R67" s="139"/>
      <c r="S67" s="140">
        <f>S72*S74</f>
        <v>35120</v>
      </c>
      <c r="T67" s="141"/>
    </row>
    <row r="68" spans="7:20" ht="11.25" x14ac:dyDescent="0.15">
      <c r="G68" s="139" t="s">
        <v>131</v>
      </c>
      <c r="H68" s="139"/>
      <c r="I68" s="140" t="s">
        <v>132</v>
      </c>
      <c r="J68" s="141"/>
      <c r="L68" s="139" t="s">
        <v>131</v>
      </c>
      <c r="M68" s="139"/>
      <c r="N68" s="140" t="s">
        <v>235</v>
      </c>
      <c r="O68" s="141"/>
      <c r="Q68" s="139" t="s">
        <v>131</v>
      </c>
      <c r="R68" s="139"/>
      <c r="S68" s="140" t="s">
        <v>190</v>
      </c>
      <c r="T68" s="141"/>
    </row>
    <row r="69" spans="7:20" ht="11.25" x14ac:dyDescent="0.15">
      <c r="G69" s="139" t="s">
        <v>134</v>
      </c>
      <c r="H69" s="139"/>
      <c r="I69" s="145">
        <f>I64+79</f>
        <v>43327</v>
      </c>
      <c r="J69" s="141"/>
      <c r="L69" s="139" t="s">
        <v>134</v>
      </c>
      <c r="M69" s="139"/>
      <c r="N69" s="145">
        <f>N64+79</f>
        <v>43327</v>
      </c>
      <c r="O69" s="141"/>
      <c r="Q69" s="139" t="s">
        <v>134</v>
      </c>
      <c r="R69" s="139"/>
      <c r="S69" s="145">
        <f>S64+30</f>
        <v>43294</v>
      </c>
      <c r="T69" s="141"/>
    </row>
    <row r="70" spans="7:20" ht="11.25" x14ac:dyDescent="0.15">
      <c r="G70" s="139" t="s">
        <v>136</v>
      </c>
      <c r="H70" s="139"/>
      <c r="I70" s="140">
        <v>456.5</v>
      </c>
      <c r="J70" s="141"/>
      <c r="L70" s="139" t="s">
        <v>136</v>
      </c>
      <c r="M70" s="139"/>
      <c r="N70" s="140">
        <v>456.5</v>
      </c>
      <c r="O70" s="141"/>
      <c r="Q70" s="139" t="s">
        <v>136</v>
      </c>
      <c r="R70" s="139"/>
      <c r="S70" s="140">
        <v>18280</v>
      </c>
      <c r="T70" s="141"/>
    </row>
    <row r="71" spans="7:20" ht="11.25" x14ac:dyDescent="0.15">
      <c r="G71" s="139" t="s">
        <v>138</v>
      </c>
      <c r="H71" s="139"/>
      <c r="I71" s="140">
        <v>456.5</v>
      </c>
      <c r="J71" s="141"/>
      <c r="L71" s="139" t="s">
        <v>138</v>
      </c>
      <c r="M71" s="139"/>
      <c r="N71" s="140">
        <v>456.5</v>
      </c>
      <c r="O71" s="141"/>
      <c r="Q71" s="139" t="s">
        <v>138</v>
      </c>
      <c r="R71" s="139"/>
      <c r="S71" s="140">
        <v>19000</v>
      </c>
      <c r="T71" s="141"/>
    </row>
    <row r="72" spans="7:20" ht="11.25" x14ac:dyDescent="0.15">
      <c r="G72" s="139" t="s">
        <v>140</v>
      </c>
      <c r="H72" s="139"/>
      <c r="I72" s="140">
        <v>24.42</v>
      </c>
      <c r="J72" s="141"/>
      <c r="L72" s="139" t="s">
        <v>140</v>
      </c>
      <c r="M72" s="139"/>
      <c r="N72" s="140">
        <v>24.42</v>
      </c>
      <c r="O72" s="141"/>
      <c r="Q72" s="139" t="s">
        <v>140</v>
      </c>
      <c r="R72" s="139"/>
      <c r="S72" s="140">
        <v>439</v>
      </c>
      <c r="T72" s="141"/>
    </row>
    <row r="73" spans="7:20" ht="11.25" x14ac:dyDescent="0.15">
      <c r="G73" s="139" t="s">
        <v>142</v>
      </c>
      <c r="H73" s="139"/>
      <c r="I73" s="140" t="s">
        <v>200</v>
      </c>
      <c r="J73" s="141"/>
      <c r="L73" s="139" t="s">
        <v>142</v>
      </c>
      <c r="M73" s="139"/>
      <c r="N73" s="140" t="s">
        <v>200</v>
      </c>
      <c r="O73" s="141"/>
      <c r="Q73" s="139" t="s">
        <v>142</v>
      </c>
      <c r="R73" s="139"/>
      <c r="S73" s="140" t="s">
        <v>248</v>
      </c>
      <c r="T73" s="141"/>
    </row>
    <row r="74" spans="7:20" ht="11.25" x14ac:dyDescent="0.15">
      <c r="G74" s="139" t="s">
        <v>145</v>
      </c>
      <c r="H74" s="139"/>
      <c r="I74" s="140">
        <v>10000</v>
      </c>
      <c r="J74" s="141"/>
      <c r="L74" s="139" t="s">
        <v>145</v>
      </c>
      <c r="M74" s="139"/>
      <c r="N74" s="140">
        <v>10000</v>
      </c>
      <c r="O74" s="141"/>
      <c r="Q74" s="139" t="s">
        <v>145</v>
      </c>
      <c r="R74" s="139"/>
      <c r="S74" s="140">
        <v>80</v>
      </c>
      <c r="T74" s="141"/>
    </row>
    <row r="75" spans="7:20" ht="12" thickBot="1" x14ac:dyDescent="0.2">
      <c r="G75" s="142" t="s">
        <v>147</v>
      </c>
      <c r="H75" s="142"/>
      <c r="I75" s="143" t="s">
        <v>205</v>
      </c>
      <c r="J75" s="144"/>
      <c r="L75" s="142" t="s">
        <v>147</v>
      </c>
      <c r="M75" s="142"/>
      <c r="N75" s="143" t="s">
        <v>205</v>
      </c>
      <c r="O75" s="144"/>
      <c r="Q75" s="142" t="s">
        <v>147</v>
      </c>
      <c r="R75" s="142"/>
      <c r="S75" s="143" t="s">
        <v>205</v>
      </c>
      <c r="T75" s="144"/>
    </row>
    <row r="76" spans="7:20" ht="11.25" thickTop="1" x14ac:dyDescent="0.15"/>
    <row r="77" spans="7:20" ht="12" thickBot="1" x14ac:dyDescent="0.2">
      <c r="G77" s="147" t="s">
        <v>236</v>
      </c>
      <c r="H77" s="147"/>
      <c r="I77" s="147"/>
      <c r="J77" s="147"/>
      <c r="L77" s="147" t="s">
        <v>251</v>
      </c>
      <c r="M77" s="147"/>
      <c r="N77" s="147"/>
      <c r="O77" s="147"/>
      <c r="Q77" s="147" t="s">
        <v>204</v>
      </c>
      <c r="R77" s="147"/>
      <c r="S77" s="147"/>
      <c r="T77" s="147"/>
    </row>
    <row r="78" spans="7:20" ht="12" thickTop="1" x14ac:dyDescent="0.15">
      <c r="G78" s="139" t="s">
        <v>122</v>
      </c>
      <c r="H78" s="139"/>
      <c r="I78" s="145">
        <v>43248</v>
      </c>
      <c r="J78" s="148"/>
      <c r="L78" s="139" t="s">
        <v>122</v>
      </c>
      <c r="M78" s="139"/>
      <c r="N78" s="145">
        <v>43265</v>
      </c>
      <c r="O78" s="148"/>
      <c r="Q78" s="139" t="s">
        <v>122</v>
      </c>
      <c r="R78" s="139"/>
      <c r="S78" s="145">
        <v>43276</v>
      </c>
      <c r="T78" s="148"/>
    </row>
    <row r="79" spans="7:20" ht="11.25" x14ac:dyDescent="0.15">
      <c r="G79" s="139" t="s">
        <v>124</v>
      </c>
      <c r="H79" s="139"/>
      <c r="I79" s="140" t="s">
        <v>234</v>
      </c>
      <c r="J79" s="141"/>
      <c r="L79" s="139" t="s">
        <v>124</v>
      </c>
      <c r="M79" s="139"/>
      <c r="N79" s="140" t="s">
        <v>234</v>
      </c>
      <c r="O79" s="141"/>
      <c r="Q79" s="139" t="s">
        <v>124</v>
      </c>
      <c r="R79" s="139"/>
      <c r="S79" s="140" t="s">
        <v>202</v>
      </c>
      <c r="T79" s="141"/>
    </row>
    <row r="80" spans="7:20" ht="11.25" x14ac:dyDescent="0.15">
      <c r="G80" s="139" t="s">
        <v>127</v>
      </c>
      <c r="H80" s="139"/>
      <c r="I80" s="140" t="s">
        <v>36</v>
      </c>
      <c r="J80" s="141"/>
      <c r="L80" s="139" t="s">
        <v>127</v>
      </c>
      <c r="M80" s="139"/>
      <c r="N80" s="140" t="s">
        <v>36</v>
      </c>
      <c r="O80" s="141"/>
      <c r="Q80" s="139" t="s">
        <v>127</v>
      </c>
      <c r="R80" s="139"/>
      <c r="S80" s="140" t="s">
        <v>4</v>
      </c>
      <c r="T80" s="141"/>
    </row>
    <row r="81" spans="7:20" ht="11.25" x14ac:dyDescent="0.15">
      <c r="G81" s="139" t="s">
        <v>179</v>
      </c>
      <c r="H81" s="139"/>
      <c r="I81" s="140">
        <f>I86*I88</f>
        <v>244200.00000000003</v>
      </c>
      <c r="J81" s="141"/>
      <c r="L81" s="139" t="s">
        <v>179</v>
      </c>
      <c r="M81" s="139"/>
      <c r="N81" s="149">
        <f>N86*N88</f>
        <v>784480</v>
      </c>
      <c r="O81" s="150"/>
      <c r="Q81" s="139" t="s">
        <v>129</v>
      </c>
      <c r="R81" s="139"/>
      <c r="S81" s="149">
        <f>S86*S88</f>
        <v>1009200</v>
      </c>
      <c r="T81" s="150"/>
    </row>
    <row r="82" spans="7:20" ht="11.25" x14ac:dyDescent="0.15">
      <c r="G82" s="139" t="s">
        <v>131</v>
      </c>
      <c r="H82" s="139"/>
      <c r="I82" s="140" t="s">
        <v>132</v>
      </c>
      <c r="J82" s="141"/>
      <c r="L82" s="139" t="s">
        <v>131</v>
      </c>
      <c r="M82" s="139"/>
      <c r="N82" s="140" t="s">
        <v>252</v>
      </c>
      <c r="O82" s="141"/>
      <c r="Q82" s="139" t="s">
        <v>131</v>
      </c>
      <c r="R82" s="139"/>
      <c r="S82" s="140" t="s">
        <v>206</v>
      </c>
      <c r="T82" s="141"/>
    </row>
    <row r="83" spans="7:20" ht="11.25" x14ac:dyDescent="0.15">
      <c r="G83" s="139" t="s">
        <v>134</v>
      </c>
      <c r="H83" s="139"/>
      <c r="I83" s="145">
        <f>I78+31</f>
        <v>43279</v>
      </c>
      <c r="J83" s="141"/>
      <c r="L83" s="139" t="s">
        <v>134</v>
      </c>
      <c r="M83" s="139"/>
      <c r="N83" s="145">
        <v>43404</v>
      </c>
      <c r="O83" s="141"/>
      <c r="Q83" s="139" t="s">
        <v>134</v>
      </c>
      <c r="R83" s="139"/>
      <c r="S83" s="145">
        <v>43322</v>
      </c>
      <c r="T83" s="141"/>
    </row>
    <row r="84" spans="7:20" ht="11.25" x14ac:dyDescent="0.15">
      <c r="G84" s="139" t="s">
        <v>136</v>
      </c>
      <c r="H84" s="139"/>
      <c r="I84" s="140">
        <v>456.5</v>
      </c>
      <c r="J84" s="141"/>
      <c r="L84" s="139" t="s">
        <v>136</v>
      </c>
      <c r="M84" s="139"/>
      <c r="N84" s="140">
        <v>1817</v>
      </c>
      <c r="O84" s="141"/>
      <c r="P84" s="100">
        <f>N84*3.5/100</f>
        <v>63.594999999999999</v>
      </c>
      <c r="Q84" s="139" t="s">
        <v>136</v>
      </c>
      <c r="R84" s="146"/>
      <c r="S84" s="140">
        <v>466</v>
      </c>
      <c r="T84" s="141"/>
    </row>
    <row r="85" spans="7:20" ht="11.25" x14ac:dyDescent="0.15">
      <c r="G85" s="139" t="s">
        <v>138</v>
      </c>
      <c r="H85" s="139"/>
      <c r="I85" s="140">
        <v>456.5</v>
      </c>
      <c r="J85" s="141"/>
      <c r="L85" s="139" t="s">
        <v>138</v>
      </c>
      <c r="M85" s="139"/>
      <c r="N85" s="140">
        <v>1805</v>
      </c>
      <c r="O85" s="141"/>
      <c r="Q85" s="139" t="s">
        <v>138</v>
      </c>
      <c r="R85" s="139"/>
      <c r="S85" s="140">
        <v>480</v>
      </c>
      <c r="T85" s="141"/>
    </row>
    <row r="86" spans="7:20" ht="11.25" x14ac:dyDescent="0.15">
      <c r="G86" s="139" t="s">
        <v>140</v>
      </c>
      <c r="H86" s="139"/>
      <c r="I86" s="140">
        <v>24.42</v>
      </c>
      <c r="J86" s="141"/>
      <c r="L86" s="139" t="s">
        <v>140</v>
      </c>
      <c r="M86" s="139"/>
      <c r="N86" s="140">
        <v>49.03</v>
      </c>
      <c r="O86" s="141"/>
      <c r="Q86" s="139" t="s">
        <v>140</v>
      </c>
      <c r="R86" s="139"/>
      <c r="S86" s="140">
        <v>25.23</v>
      </c>
      <c r="T86" s="141"/>
    </row>
    <row r="87" spans="7:20" ht="11.25" x14ac:dyDescent="0.15">
      <c r="G87" s="139" t="s">
        <v>142</v>
      </c>
      <c r="H87" s="139"/>
      <c r="I87" s="140" t="s">
        <v>200</v>
      </c>
      <c r="J87" s="141"/>
      <c r="L87" s="139" t="s">
        <v>142</v>
      </c>
      <c r="M87" s="139"/>
      <c r="N87" s="140" t="s">
        <v>253</v>
      </c>
      <c r="O87" s="141"/>
      <c r="Q87" s="139" t="s">
        <v>142</v>
      </c>
      <c r="R87" s="139"/>
      <c r="S87" s="140" t="s">
        <v>200</v>
      </c>
      <c r="T87" s="141"/>
    </row>
    <row r="88" spans="7:20" ht="11.25" x14ac:dyDescent="0.15">
      <c r="G88" s="139" t="s">
        <v>145</v>
      </c>
      <c r="H88" s="139"/>
      <c r="I88" s="140">
        <v>10000</v>
      </c>
      <c r="J88" s="141"/>
      <c r="L88" s="139" t="s">
        <v>145</v>
      </c>
      <c r="M88" s="139"/>
      <c r="N88" s="140">
        <v>16000</v>
      </c>
      <c r="O88" s="141"/>
      <c r="Q88" s="139" t="s">
        <v>145</v>
      </c>
      <c r="R88" s="139"/>
      <c r="S88" s="140">
        <v>40000</v>
      </c>
      <c r="T88" s="141"/>
    </row>
    <row r="89" spans="7:20" ht="12" thickBot="1" x14ac:dyDescent="0.2">
      <c r="G89" s="142" t="s">
        <v>147</v>
      </c>
      <c r="H89" s="142"/>
      <c r="I89" s="143" t="s">
        <v>205</v>
      </c>
      <c r="J89" s="144"/>
      <c r="L89" s="142" t="s">
        <v>147</v>
      </c>
      <c r="M89" s="142"/>
      <c r="N89" s="143" t="s">
        <v>205</v>
      </c>
      <c r="O89" s="144"/>
      <c r="Q89" s="142" t="s">
        <v>147</v>
      </c>
      <c r="R89" s="142"/>
      <c r="S89" s="143" t="s">
        <v>203</v>
      </c>
      <c r="T89" s="144"/>
    </row>
    <row r="90" spans="7:20" ht="11.25" thickTop="1" x14ac:dyDescent="0.15"/>
  </sheetData>
  <mergeCells count="576"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8"/>
  <sheetViews>
    <sheetView zoomScaleNormal="100" workbookViewId="0">
      <pane ySplit="10" topLeftCell="A113" activePane="bottomLeft" state="frozen"/>
      <selection pane="bottomLeft" activeCell="C127" sqref="C127:S128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3" t="s">
        <v>37</v>
      </c>
      <c r="C1" s="16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43287</v>
      </c>
      <c r="F8" s="8">
        <f t="shared" ref="F8" ca="1" si="1">E8+H8</f>
        <v>43378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-14.899369600367947</v>
      </c>
      <c r="M8" s="15"/>
      <c r="N8" s="13">
        <f t="shared" ref="N8" si="2">M8/10000*I8*P8</f>
        <v>0</v>
      </c>
      <c r="O8" s="13">
        <f>IF(L8&lt;=0,ABS(L8)+N8,L8-N8)</f>
        <v>14.899369600367947</v>
      </c>
      <c r="P8" s="11">
        <f>RTD("wdf.rtq",,D8,"LastPrice")</f>
        <v>14025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1.0623436435199963E-3</v>
      </c>
      <c r="U8" s="13">
        <f>_xll.dnetGBlackScholesNGreeks("delta",$Q8,$P8,$G8,$I8,$C$3,$J8,$K8,$C$4)*R8</f>
        <v>2.5732033569170198E-2</v>
      </c>
      <c r="V8" s="13">
        <f>_xll.dnetGBlackScholesNGreeks("vega",$Q8,$P8,$G8,$I8,$C$3,$J8,$K8,$C$4)*R8</f>
        <v>-4.1928799066806732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43287</v>
      </c>
      <c r="F9" s="8">
        <f t="shared" ref="F9" ca="1" si="5">E9+H9</f>
        <v>43834.5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43287</v>
      </c>
      <c r="F15" s="8">
        <f t="shared" ref="F15" ca="1" si="10">E15+H15</f>
        <v>43346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43287</v>
      </c>
      <c r="F16" s="8">
        <f t="shared" ref="F16" ca="1" si="17">E16+H16</f>
        <v>43346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43287</v>
      </c>
      <c r="F18" s="8">
        <f t="shared" ref="F18:F23" ca="1" si="24">E18+H18</f>
        <v>43338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136.68905170399648</v>
      </c>
      <c r="M18" s="15">
        <v>30</v>
      </c>
      <c r="N18" s="13">
        <f t="shared" ref="N18:N23" si="26">M18/10000*I18*P18</f>
        <v>5.9104109589041105</v>
      </c>
      <c r="O18" s="13">
        <f t="shared" ref="O18:O23" si="27">IF(L18&lt;=0,ABS(L18)+N18,L18-N18)</f>
        <v>130.77864074509236</v>
      </c>
      <c r="P18" s="13">
        <f>RTD("wdf.rtq",,D18,"LastPrice")</f>
        <v>14100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9.2750809039072596E-3</v>
      </c>
      <c r="U18" s="13">
        <f>_xll.dnetGBlackScholesNGreeks("delta",$Q18,$P18,$G18,$I18,$C$3,$J18,$K18,$C$4)*R18</f>
        <v>-0.31344528974841523</v>
      </c>
      <c r="V18" s="13">
        <f>_xll.dnetGBlackScholesNGreeks("vega",$Q18,$P18,$G18,$I18,$C$3,$J18,$K18,$C$4)*R18</f>
        <v>18.641778127084763</v>
      </c>
      <c r="W18" s="114"/>
      <c r="X18" s="115">
        <v>400</v>
      </c>
      <c r="Y18" s="6">
        <f t="shared" ref="Y18:Y23" si="30">X18*U18</f>
        <v>-125.37811589936609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43287</v>
      </c>
      <c r="F19" s="8">
        <f t="shared" ca="1" si="24"/>
        <v>43374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178.2992659588881</v>
      </c>
      <c r="M19" s="15">
        <v>30</v>
      </c>
      <c r="N19" s="13">
        <f t="shared" si="26"/>
        <v>10.136095890410958</v>
      </c>
      <c r="O19" s="13">
        <f t="shared" si="27"/>
        <v>168.16317006847714</v>
      </c>
      <c r="P19" s="13">
        <f>RTD("wdf.rtq",,D19,"LastPrice")</f>
        <v>14175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1.1863362967793802E-2</v>
      </c>
      <c r="U19" s="13">
        <f>_xll.dnetGBlackScholesNGreeks("delta",$Q19,$P19,$G19,$I19,$C$3,$J19,$K19,$C$4)*R19</f>
        <v>-0.31474903134949272</v>
      </c>
      <c r="V19" s="13">
        <f>_xll.dnetGBlackScholesNGreeks("vega",$Q19,$P19,$G19,$I19,$C$3,$J19,$K19,$C$4)*R19</f>
        <v>24.493214188285492</v>
      </c>
      <c r="W19" s="114"/>
      <c r="X19" s="115">
        <v>400</v>
      </c>
      <c r="Y19" s="6">
        <f t="shared" si="30"/>
        <v>-125.89961253979709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43287</v>
      </c>
      <c r="F20" s="8">
        <f t="shared" ca="1" si="24"/>
        <v>43402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186.76125351501742</v>
      </c>
      <c r="M20" s="15">
        <v>30</v>
      </c>
      <c r="N20" s="13">
        <f t="shared" si="26"/>
        <v>12.879041095890411</v>
      </c>
      <c r="O20" s="13">
        <f t="shared" si="27"/>
        <v>173.882212419127</v>
      </c>
      <c r="P20" s="13">
        <f>RTD("wdf.rtq",,D20,"LastPrice")</f>
        <v>14245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1.2206543518366234E-2</v>
      </c>
      <c r="U20" s="13">
        <f>_xll.dnetGBlackScholesNGreeks("delta",$Q20,$P20,$G20,$I20,$C$3,$J20,$K20,$C$4)*R20</f>
        <v>-0.30155531385389622</v>
      </c>
      <c r="V20" s="13">
        <f>_xll.dnetGBlackScholesNGreeks("vega",$Q20,$P20,$G20,$I20,$C$3,$J20,$K20,$C$4)*R20</f>
        <v>27.142601334981691</v>
      </c>
      <c r="W20" s="114"/>
      <c r="X20" s="115">
        <v>400</v>
      </c>
      <c r="Y20" s="6">
        <f t="shared" si="30"/>
        <v>-120.62212554155849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43287</v>
      </c>
      <c r="F21" s="8">
        <f t="shared" ca="1" si="24"/>
        <v>43338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214.30797822226396</v>
      </c>
      <c r="M21" s="15">
        <v>30</v>
      </c>
      <c r="N21" s="13">
        <f t="shared" si="26"/>
        <v>5.9104109589041105</v>
      </c>
      <c r="O21" s="13">
        <f t="shared" si="27"/>
        <v>208.39756726335983</v>
      </c>
      <c r="P21" s="13">
        <f>RTD("wdf.rtq",,D21,"LastPrice")</f>
        <v>14100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1.4779969309458144E-2</v>
      </c>
      <c r="U21" s="13">
        <f>_xll.dnetGBlackScholesNGreeks("delta",$Q21,$P21,$G21,$I21,$C$3,$J21,$K21,$C$4)*R21</f>
        <v>-0.42906824573947233</v>
      </c>
      <c r="V21" s="13">
        <f>_xll.dnetGBlackScholesNGreeks("vega",$Q21,$P21,$G21,$I21,$C$3,$J21,$K21,$C$4)*R21</f>
        <v>20.64519969133471</v>
      </c>
      <c r="W21" s="114"/>
      <c r="X21" s="115">
        <v>400</v>
      </c>
      <c r="Y21" s="6">
        <f t="shared" si="30"/>
        <v>-171.62729829578893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43287</v>
      </c>
      <c r="F22" s="8">
        <f t="shared" ca="1" si="24"/>
        <v>43374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254.57406386041293</v>
      </c>
      <c r="M22" s="15">
        <v>30</v>
      </c>
      <c r="N22" s="13">
        <f t="shared" si="26"/>
        <v>10.136095890410958</v>
      </c>
      <c r="O22" s="13">
        <f t="shared" si="27"/>
        <v>244.43796797000198</v>
      </c>
      <c r="P22" s="13">
        <f>RTD("wdf.rtq",,D22,"LastPrice")</f>
        <v>14175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1.7244301091358164E-2</v>
      </c>
      <c r="U22" s="13">
        <f>_xll.dnetGBlackScholesNGreeks("delta",$Q22,$P22,$G22,$I22,$C$3,$J22,$K22,$C$4)*R22</f>
        <v>-0.40415867911178793</v>
      </c>
      <c r="V22" s="13">
        <f>_xll.dnetGBlackScholesNGreeks("vega",$Q22,$P22,$G22,$I22,$C$3,$J22,$K22,$C$4)*R22</f>
        <v>26.708733130795736</v>
      </c>
      <c r="W22" s="114"/>
      <c r="X22" s="115">
        <v>400</v>
      </c>
      <c r="Y22" s="6">
        <f t="shared" si="30"/>
        <v>-161.66347164471517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43287</v>
      </c>
      <c r="F23" s="8">
        <f t="shared" ca="1" si="24"/>
        <v>43402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43287</v>
      </c>
      <c r="F25" s="8">
        <f t="shared" ref="F25" ca="1" si="32">E25+H25</f>
        <v>43317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43287</v>
      </c>
      <c r="F27" s="8">
        <f t="shared" ref="F27" ca="1" si="39">E27+H27</f>
        <v>43337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268.86358497184665</v>
      </c>
      <c r="M27" s="15">
        <v>30</v>
      </c>
      <c r="N27" s="13">
        <f t="shared" ref="N27" si="41">M27/10000*I27*P27</f>
        <v>7.8821917808219171</v>
      </c>
      <c r="O27" s="13">
        <f t="shared" ref="O27" si="42">IF(L27&lt;=0,ABS(L27)+N27,L27-N27)</f>
        <v>260.98139319102472</v>
      </c>
      <c r="P27" s="11">
        <f>RTD("wdf.rtq",,D27,"LastPrice")</f>
        <v>19180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1.360695480662277E-2</v>
      </c>
      <c r="U27" s="13">
        <f>_xll.dnetGBlackScholesNGreeks("delta",$Q27,$P27,$G27,$I27,$C$3,$J27,$K27,$C$4)*R27</f>
        <v>-0.40911269629759772</v>
      </c>
      <c r="V27" s="13">
        <f>_xll.dnetGBlackScholesNGreeks("vega",$Q27,$P27,$G27,$I27,$C$3,$J27,$K27,$C$4)*R27</f>
        <v>27.521135268550097</v>
      </c>
      <c r="W27" s="114"/>
      <c r="X27" s="115">
        <v>400</v>
      </c>
      <c r="Y27" s="6">
        <f t="shared" ref="Y27" si="45">X27*U27</f>
        <v>-163.64507851903909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43287</v>
      </c>
      <c r="F29" s="8">
        <f t="shared" ref="F29" ca="1" si="46">E29+H29</f>
        <v>43378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-22.520180334618203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22.520180334618203</v>
      </c>
      <c r="P29" s="11">
        <f>RTD("wdf.rtq",,D29,"LastPrice")</f>
        <v>14245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1.5809182404084383E-3</v>
      </c>
      <c r="U29" s="13">
        <f>_xll.dnetGBlackScholesNGreeks("delta",$Q29,$P29,$G29,$I29,$C$3,$J29,$K29,$C$4)*R29</f>
        <v>3.2270937396106092E-2</v>
      </c>
      <c r="V29" s="13">
        <f>_xll.dnetGBlackScholesNGreeks("vega",$Q29,$P29,$G29,$I29,$C$3,$J29,$K29,$C$4)*R29</f>
        <v>-5.1371979123639449</v>
      </c>
      <c r="W29" s="114"/>
      <c r="X29" s="115">
        <v>400</v>
      </c>
      <c r="Y29" s="6">
        <f t="shared" ref="Y29" si="52">X29*U29</f>
        <v>12.908374958442437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43287</v>
      </c>
      <c r="F31" s="8">
        <f t="shared" ref="F31:F32" ca="1" si="53">E31+H31</f>
        <v>43378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-418.61124563190424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418.61124563190424</v>
      </c>
      <c r="P31" s="11">
        <f>RTD("wdf.rtq",,D31,"LastPrice")</f>
        <v>14245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2.9386538829898508E-2</v>
      </c>
      <c r="U31" s="13">
        <f>_xll.dnetGBlackScholesNGreeks("delta",$Q31,$P31,$G31,$I31,$C$3,$J31,$K31,$C$4)*R31</f>
        <v>0.4068942751018767</v>
      </c>
      <c r="V31" s="13">
        <f>_xll.dnetGBlackScholesNGreeks("vega",$Q31,$P31,$G31,$I31,$C$3,$J31,$K31,$C$4)*R31</f>
        <v>-27.494351405319321</v>
      </c>
      <c r="W31" s="114"/>
      <c r="X31" s="115">
        <v>400</v>
      </c>
      <c r="Y31" s="6">
        <f t="shared" ref="Y31:Y32" si="59">X31*U31</f>
        <v>162.75771004075068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43287</v>
      </c>
      <c r="F32" s="8">
        <f t="shared" ca="1" si="53"/>
        <v>43378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-244.78831616779053</v>
      </c>
      <c r="M32" s="15">
        <v>0</v>
      </c>
      <c r="N32" s="13">
        <f t="shared" si="55"/>
        <v>0</v>
      </c>
      <c r="O32" s="13">
        <f t="shared" si="56"/>
        <v>244.78831616779053</v>
      </c>
      <c r="P32" s="11">
        <f>RTD("wdf.rtq",,D32,"LastPrice")</f>
        <v>14245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1.7184156979135876E-2</v>
      </c>
      <c r="U32" s="13">
        <f>_xll.dnetGBlackScholesNGreeks("delta",$Q32,$P32,$G32,$I32,$C$3,$J32,$K32,$C$4)*R32</f>
        <v>0.27276446842279256</v>
      </c>
      <c r="V32" s="13">
        <f>_xll.dnetGBlackScholesNGreeks("vega",$Q32,$P32,$G32,$I32,$C$3,$J32,$K32,$C$4)*R32</f>
        <v>-23.569648489926749</v>
      </c>
      <c r="W32" s="114"/>
      <c r="X32" s="115">
        <v>400</v>
      </c>
      <c r="Y32" s="6">
        <f t="shared" si="59"/>
        <v>109.10578736911702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43287</v>
      </c>
      <c r="F34" s="8">
        <f t="shared" ref="F34" ca="1" si="60">E34+H34</f>
        <v>43337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31.905395489947637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31.905395489947637</v>
      </c>
      <c r="P34" s="11">
        <f>RTD("wdf.rtq",,D34,"LastPrice")</f>
        <v>459.5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6.9435028269744584E-2</v>
      </c>
      <c r="U34" s="13">
        <f>_xll.dnetGBlackScholesNGreeks("delta",$Q34,$P34,$G34,$I34,$C$3,$J34,$K34,$C$4)*R34</f>
        <v>-0.6362035601370053</v>
      </c>
      <c r="V34" s="13">
        <f>_xll.dnetGBlackScholesNGreeks("vega",$Q34,$P34,$G34,$I34,$C$3,$J34,$K34,$C$4)*R34</f>
        <v>0.63569364675481665</v>
      </c>
      <c r="W34" s="114"/>
      <c r="X34" s="115">
        <v>400</v>
      </c>
      <c r="Y34" s="6">
        <f t="shared" ref="Y34" si="66">X34*U34</f>
        <v>-254.48142405480212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43287</v>
      </c>
      <c r="F35" s="8">
        <f t="shared" ref="F35:F36" ca="1" si="67">E35+H35</f>
        <v>43469</v>
      </c>
      <c r="G35" s="11">
        <f>P35</f>
        <v>11995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1068.3051973998245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1068.3051973998245</v>
      </c>
      <c r="P35" s="11">
        <f>RTD("wdf.rtq",,D35,"LastPrice")</f>
        <v>11995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8.9062542509364268E-2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33.242660411511224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43287</v>
      </c>
      <c r="F36" s="8">
        <f t="shared" ca="1" si="67"/>
        <v>43469</v>
      </c>
      <c r="G36" s="11">
        <f>P36</f>
        <v>11995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801.97401799371346</v>
      </c>
      <c r="M36" s="15">
        <v>0</v>
      </c>
      <c r="N36" s="13">
        <f t="shared" si="69"/>
        <v>0</v>
      </c>
      <c r="O36" s="13">
        <f t="shared" si="70"/>
        <v>801.97401799371346</v>
      </c>
      <c r="P36" s="11">
        <f>RTD("wdf.rtq",,D36,"LastPrice")</f>
        <v>11995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6.6859026093681828E-2</v>
      </c>
      <c r="U36" s="13">
        <f>_xll.dnetGBlackScholesNGreeks("delta",$Q36,$P36,$G36,$I36,$C$3,$J36,$K36,$C$4)*R36</f>
        <v>-0.46160896631590731</v>
      </c>
      <c r="V36" s="13">
        <f>_xll.dnetGBlackScholesNGreeks("vega",$Q36,$P36,$G36,$I36,$C$3,$J36,$K36,$C$4)*R36</f>
        <v>33.335614180571156</v>
      </c>
      <c r="W36" s="114"/>
      <c r="X36" s="115">
        <v>400</v>
      </c>
      <c r="Y36" s="6">
        <f t="shared" si="73"/>
        <v>-184.64358652636292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43287</v>
      </c>
      <c r="F38" s="8">
        <f t="shared" ref="F38" ca="1" si="74">E38+H38</f>
        <v>43333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43287</v>
      </c>
      <c r="F39" s="8">
        <f t="shared" ref="F39" ca="1" si="81">E39+H39</f>
        <v>43333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43287</v>
      </c>
      <c r="F41" s="8">
        <f t="shared" ref="F41" ca="1" si="88">E41+H41</f>
        <v>43317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43287</v>
      </c>
      <c r="F43" s="8">
        <f t="shared" ref="F43" ca="1" si="95">E43+H43</f>
        <v>43333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43287</v>
      </c>
      <c r="F45" s="8">
        <f t="shared" ref="F45" ca="1" si="101">E45+H45</f>
        <v>43317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43287</v>
      </c>
      <c r="F47" s="8">
        <f t="shared" ref="F47" ca="1" si="106">E47+H47</f>
        <v>43318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182.85856366980306</v>
      </c>
      <c r="M47" s="15">
        <v>30</v>
      </c>
      <c r="N47" s="13">
        <f t="shared" ref="N47" si="108">M47/10000*I47*P47</f>
        <v>0.82655342465753423</v>
      </c>
      <c r="O47" s="13">
        <f t="shared" ref="O47" si="109">IF(L47&lt;=0,ABS(L47)+N47,L47-N47)</f>
        <v>182.03201024514553</v>
      </c>
      <c r="P47" s="120">
        <f>RTD("wdf.rtq",,D47,"LastPrice")</f>
        <v>3244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5.6113443355470263E-2</v>
      </c>
      <c r="U47" s="13">
        <f>_xll.dnetGBlackScholesNGreeks("delta",$Q47,$P47,$G47,$I47,$C$3,$J47,$K47,$C$4)*R47</f>
        <v>0.82857434513243788</v>
      </c>
      <c r="V47" s="13">
        <f>_xll.dnetGBlackScholesNGreeks("vega",$Q47,$P47,$G47,$I47,$C$3,$J47,$K47,$C$4)*R47</f>
        <v>2.386527421406754</v>
      </c>
      <c r="W47" s="114"/>
      <c r="X47" s="115">
        <v>500</v>
      </c>
      <c r="Y47" s="6">
        <f>X47*U47</f>
        <v>414.28717256621894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43287</v>
      </c>
      <c r="F48" s="8">
        <f t="shared" ref="F48" ca="1" si="112">E48+H48</f>
        <v>43318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43287</v>
      </c>
      <c r="F50" s="8">
        <f t="shared" ref="F50:F52" ca="1" si="118">E50+H50</f>
        <v>43317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1.077866642662805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1.077866642662805</v>
      </c>
      <c r="P50" s="11">
        <f>RTD("wdf.rtq",,D50,"LastPrice")</f>
        <v>3778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2.8530085830143063E-4</v>
      </c>
      <c r="U50" s="13">
        <f>_xll.dnetGBlackScholesNGreeks("delta",$Q50,$P50,$G50,$I50,$C$3,$J50,$K50,$C$4)*R50</f>
        <v>-1.3005012734623733E-2</v>
      </c>
      <c r="V50" s="13">
        <f>_xll.dnetGBlackScholesNGreeks("vega",$Q50,$P50,$G50,$I50,$C$3,$J50,$K50,$C$4)*R50</f>
        <v>0.3637592830610572</v>
      </c>
      <c r="W50" s="114"/>
      <c r="X50" s="115">
        <v>500</v>
      </c>
      <c r="Y50" s="6">
        <f t="shared" ref="Y50:Y55" si="124">X50*U50</f>
        <v>-6.5025063673118666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43287</v>
      </c>
      <c r="F51" s="8">
        <f t="shared" ca="1" si="118"/>
        <v>43317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3.9320193742734091</v>
      </c>
      <c r="M51" s="15"/>
      <c r="N51" s="13">
        <f t="shared" si="120"/>
        <v>0</v>
      </c>
      <c r="O51" s="13">
        <f t="shared" si="121"/>
        <v>3.9320193742734091</v>
      </c>
      <c r="P51" s="11">
        <f>RTD("wdf.rtq",,D51,"LastPrice")</f>
        <v>3778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1.0407674362820035E-3</v>
      </c>
      <c r="U51" s="13">
        <f>_xll.dnetGBlackScholesNGreeks("delta",$Q51,$P51,$G51,$I51,$C$3,$J51,$K51,$C$4)*R51</f>
        <v>-4.0765878679849266E-2</v>
      </c>
      <c r="V51" s="13">
        <f>_xll.dnetGBlackScholesNGreeks("vega",$Q51,$P51,$G51,$I51,$C$3,$J51,$K51,$C$4)*R51</f>
        <v>0.94748270800758405</v>
      </c>
      <c r="W51" s="114"/>
      <c r="X51" s="115">
        <v>500</v>
      </c>
      <c r="Y51" s="6">
        <f t="shared" si="124"/>
        <v>-20.382939339924633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43287</v>
      </c>
      <c r="F52" s="8">
        <f t="shared" ca="1" si="118"/>
        <v>43317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11.554618206531075</v>
      </c>
      <c r="M52" s="15"/>
      <c r="N52" s="13">
        <f t="shared" si="120"/>
        <v>0</v>
      </c>
      <c r="O52" s="13">
        <f t="shared" si="121"/>
        <v>11.554618206531075</v>
      </c>
      <c r="P52" s="11">
        <f>RTD("wdf.rtq",,D52,"LastPrice")</f>
        <v>3778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3.0583955019934024E-3</v>
      </c>
      <c r="U52" s="13">
        <f>_xll.dnetGBlackScholesNGreeks("delta",$Q52,$P52,$G52,$I52,$C$3,$J52,$K52,$C$4)*R52</f>
        <v>-0.10172923499567332</v>
      </c>
      <c r="V52" s="13">
        <f>_xll.dnetGBlackScholesNGreeks("vega",$Q52,$P52,$G52,$I52,$C$3,$J52,$K52,$C$4)*R52</f>
        <v>1.9223455836018672</v>
      </c>
      <c r="W52" s="114"/>
      <c r="X52" s="115">
        <v>500</v>
      </c>
      <c r="Y52" s="6">
        <f t="shared" si="124"/>
        <v>-50.864617497836662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43287</v>
      </c>
      <c r="F53" s="8">
        <f t="shared" ref="F53:F55" ca="1" si="125">E53+H53</f>
        <v>43377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5.1654102028121258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5.1654102028121258</v>
      </c>
      <c r="P53" s="11">
        <f>RTD("wdf.rtq",,D53,"LastPrice")</f>
        <v>3778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1.3672340399185088E-3</v>
      </c>
      <c r="U53" s="13">
        <f>_xll.dnetGBlackScholesNGreeks("delta",$Q53,$P53,$G53,$I53,$C$3,$J53,$K53,$C$4)*R53</f>
        <v>-3.0925141092552622E-2</v>
      </c>
      <c r="V53" s="13">
        <f>_xll.dnetGBlackScholesNGreeks("vega",$Q53,$P53,$G53,$I53,$C$3,$J53,$K53,$C$4)*R53</f>
        <v>1.3082958888271747</v>
      </c>
      <c r="W53" s="114"/>
      <c r="X53" s="115">
        <v>500</v>
      </c>
      <c r="Y53" s="6">
        <f t="shared" si="124"/>
        <v>-15.462570546276311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43287</v>
      </c>
      <c r="F54" s="8">
        <f t="shared" ca="1" si="125"/>
        <v>43377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19.877771532249426</v>
      </c>
      <c r="M54" s="15"/>
      <c r="N54" s="13">
        <f t="shared" si="127"/>
        <v>0</v>
      </c>
      <c r="O54" s="13">
        <f t="shared" si="128"/>
        <v>19.877771532249426</v>
      </c>
      <c r="P54" s="11">
        <f>RTD("wdf.rtq",,D54,"LastPrice")</f>
        <v>3778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5.2614535553862961E-3</v>
      </c>
      <c r="U54" s="13">
        <f>_xll.dnetGBlackScholesNGreeks("delta",$Q54,$P54,$G54,$I54,$C$3,$J54,$K54,$C$4)*R54</f>
        <v>-9.7543944528410975E-2</v>
      </c>
      <c r="V54" s="13">
        <f>_xll.dnetGBlackScholesNGreeks("vega",$Q54,$P54,$G54,$I54,$C$3,$J54,$K54,$C$4)*R54</f>
        <v>3.2262413834706081</v>
      </c>
      <c r="W54" s="114"/>
      <c r="X54" s="115">
        <v>500</v>
      </c>
      <c r="Y54" s="6">
        <f t="shared" si="124"/>
        <v>-48.771972264205488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43287</v>
      </c>
      <c r="F55" s="8">
        <f t="shared" ca="1" si="125"/>
        <v>43377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56.465958286726277</v>
      </c>
      <c r="M55" s="15"/>
      <c r="N55" s="13">
        <f t="shared" si="127"/>
        <v>0</v>
      </c>
      <c r="O55" s="13">
        <f t="shared" si="128"/>
        <v>56.465958286726277</v>
      </c>
      <c r="P55" s="11">
        <f>RTD("wdf.rtq",,D55,"LastPrice")</f>
        <v>3778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1.4945992135184298E-2</v>
      </c>
      <c r="U55" s="13">
        <f>_xll.dnetGBlackScholesNGreeks("delta",$Q55,$P55,$G55,$I55,$C$3,$J55,$K55,$C$4)*R55</f>
        <v>-0.22423646013294274</v>
      </c>
      <c r="V55" s="13">
        <f>_xll.dnetGBlackScholesNGreeks("vega",$Q55,$P55,$G55,$I55,$C$3,$J55,$K55,$C$4)*R55</f>
        <v>5.6012078234630849</v>
      </c>
      <c r="W55" s="114"/>
      <c r="X55" s="115">
        <v>500</v>
      </c>
      <c r="Y55" s="6">
        <f t="shared" si="124"/>
        <v>-112.11823006647137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43287</v>
      </c>
      <c r="F57" s="8">
        <f t="shared" ref="F57" ca="1" si="131">E57+H57</f>
        <v>43318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43287</v>
      </c>
      <c r="F58" s="8">
        <f t="shared" ref="F58:F59" ca="1" si="137">E58+H58</f>
        <v>43348</v>
      </c>
      <c r="G58" s="120">
        <f>P58</f>
        <v>9355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-577.25513742655494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577.25513742655494</v>
      </c>
      <c r="P58" s="11">
        <f>RTD("wdf.rtq",,D58,"LastPrice")</f>
        <v>9355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6.1705519767670226E-2</v>
      </c>
      <c r="U58" s="13">
        <f>_xll.dnetGBlackScholesNGreeks("delta",$Q58,$P58,$G58,$I58,$C$3,$J58,$K58,$C$4)*R58</f>
        <v>-0.5291843169288768</v>
      </c>
      <c r="V58" s="13">
        <f>_xll.dnetGBlackScholesNGreeks("vega",$Q58,$P58,$G58,$I58,$C$3,$J58,$K58,$C$4)*R58</f>
        <v>-15.160389031133491</v>
      </c>
      <c r="W58" s="114"/>
      <c r="X58" s="115">
        <v>500</v>
      </c>
      <c r="Y58" s="6">
        <f>X58*U58</f>
        <v>-264.5921584644384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43287</v>
      </c>
      <c r="F59" s="8">
        <f t="shared" ca="1" si="137"/>
        <v>43348</v>
      </c>
      <c r="G59" s="120">
        <f>P59</f>
        <v>10155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-626.61955324069095</v>
      </c>
      <c r="M59" s="15"/>
      <c r="N59" s="13">
        <f t="shared" si="139"/>
        <v>0</v>
      </c>
      <c r="O59" s="13">
        <f t="shared" si="140"/>
        <v>626.61955324069095</v>
      </c>
      <c r="P59" s="11">
        <f>RTD("wdf.rtq",,D59,"LastPrice")</f>
        <v>10155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6.1705519767670206E-2</v>
      </c>
      <c r="U59" s="13">
        <f>_xll.dnetGBlackScholesNGreeks("delta",$Q59,$P59,$G59,$I59,$C$3,$J59,$K59,$C$4)*R59</f>
        <v>-0.5291843169288768</v>
      </c>
      <c r="V59" s="13">
        <f>_xll.dnetGBlackScholesNGreeks("vega",$Q59,$P59,$G59,$I59,$C$3,$J59,$K59,$C$4)*R59</f>
        <v>-16.456841326687481</v>
      </c>
      <c r="W59" s="114"/>
      <c r="X59" s="115">
        <v>500</v>
      </c>
      <c r="Y59" s="6">
        <f>X59*U59</f>
        <v>-264.5921584644384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43287</v>
      </c>
      <c r="F61" s="8">
        <f t="shared" ref="F61" ca="1" si="143">E61+H61</f>
        <v>43369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-536.00066087578671</v>
      </c>
      <c r="M61" s="15"/>
      <c r="N61" s="13">
        <f t="shared" ref="N61" si="145">M61/10000*I61*P61</f>
        <v>0</v>
      </c>
      <c r="O61" s="13">
        <f t="shared" ref="O61" si="146">IF(L61&lt;=0,ABS(L61)+N61,L61-N61)</f>
        <v>536.00066087578671</v>
      </c>
      <c r="P61" s="11">
        <f>RTD("wdf.rtq",,D61,"LastPrice")</f>
        <v>14175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3.7813097769014932E-2</v>
      </c>
      <c r="U61" s="13">
        <f>_xll.dnetGBlackScholesNGreeks("delta",$Q61,$P61,$G61,$I61,$C$3,$J61,$K61,$C$4)*R61</f>
        <v>0.51516587882360909</v>
      </c>
      <c r="V61" s="13">
        <f>_xll.dnetGBlackScholesNGreeks("vega",$Q61,$P61,$G61,$I61,$C$3,$J61,$K61,$C$4)*R61</f>
        <v>-26.657499946418739</v>
      </c>
      <c r="W61" s="114"/>
      <c r="X61" s="115">
        <v>500</v>
      </c>
      <c r="Y61" s="6">
        <f>X61*U61</f>
        <v>257.58293941180455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43287</v>
      </c>
      <c r="F63" s="8">
        <f t="shared" ref="F63" ca="1" si="149">E63+H63</f>
        <v>43349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43287</v>
      </c>
      <c r="F65" s="8">
        <f t="shared" ref="F65" ca="1" si="154">E65+H65</f>
        <v>43317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43287</v>
      </c>
      <c r="F66" s="8">
        <f t="shared" ref="F66" ca="1" si="159">E66+H66</f>
        <v>43317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43287</v>
      </c>
      <c r="F68" s="8">
        <f t="shared" ref="F68:F69" ca="1" si="164">E68+H68</f>
        <v>43359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43287</v>
      </c>
      <c r="F69" s="8">
        <f t="shared" ca="1" si="164"/>
        <v>43359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43287</v>
      </c>
      <c r="F71" s="8">
        <f t="shared" ref="F71:F72" ca="1" si="169">E71+H71</f>
        <v>43318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>
        <f>_xll.dnetGBlackScholesNGreeks("price",$Q71,$P71,$G71,$I71,$C$3,$J71,$K71,$C$4)*R71</f>
        <v>-289.5822085826585</v>
      </c>
      <c r="M71" s="15"/>
      <c r="N71" s="13">
        <f t="shared" ref="N71:N72" si="171">M71/10000*I71*P71</f>
        <v>0</v>
      </c>
      <c r="O71" s="13">
        <f>IF(L71&lt;=0,ABS(L71)+N71,L71-N71)</f>
        <v>289.5822085826585</v>
      </c>
      <c r="P71" s="11">
        <f>RTD("wdf.rtq",,D71,"LastPrice")</f>
        <v>16300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>
        <f t="shared" ref="T71:T72" si="173">O71/P71</f>
        <v>1.7765779667647759E-2</v>
      </c>
      <c r="U71" s="13">
        <f>_xll.dnetGBlackScholesNGreeks("delta",$Q71,$P71,$G71,$I71,$C$3,$J71,$K71,$C$4)*R71</f>
        <v>-0.30424604133258981</v>
      </c>
      <c r="V71" s="13">
        <f>_xll.dnetGBlackScholesNGreeks("vega",$Q71,$P71,$G71,$I71,$C$3,$J71,$K71,$C$4)*R71</f>
        <v>-16.603215395323332</v>
      </c>
      <c r="W71" s="114"/>
      <c r="X71" s="115">
        <v>-150338.07269999999</v>
      </c>
      <c r="Y71" s="6">
        <f>X71*U71</f>
        <v>45739.763480546091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43287</v>
      </c>
      <c r="F72" s="8">
        <f t="shared" ca="1" si="169"/>
        <v>43318</v>
      </c>
      <c r="G72" s="120">
        <f>P72</f>
        <v>16300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>
        <f>_xll.dnetGBlackScholesNGreeks("price",$Q72,$P72,$G72,$I72,$C$3,$J72,$K72,$C$4)*R72</f>
        <v>-624.08102461054568</v>
      </c>
      <c r="M72" s="15"/>
      <c r="N72" s="13">
        <f t="shared" si="171"/>
        <v>0</v>
      </c>
      <c r="O72" s="13">
        <f>IF(L72&lt;=0,ABS(L72)+N72,L72-N72)</f>
        <v>624.08102461054568</v>
      </c>
      <c r="P72" s="11">
        <f>RTD("wdf.rtq",,D72,"LastPrice")</f>
        <v>16300</v>
      </c>
      <c r="Q72" s="10" t="s">
        <v>39</v>
      </c>
      <c r="R72" s="10">
        <f t="shared" si="172"/>
        <v>-1</v>
      </c>
      <c r="S72" s="10" t="s">
        <v>20</v>
      </c>
      <c r="T72" s="14">
        <f t="shared" si="173"/>
        <v>3.8287179423959858E-2</v>
      </c>
      <c r="U72" s="13">
        <f>_xll.dnetGBlackScholesNGreeks("delta",$Q72,$P72,$G72,$I72,$C$3,$J72,$K72,$C$4)*R72</f>
        <v>-0.51829499557243253</v>
      </c>
      <c r="V72" s="13">
        <f>_xll.dnetGBlackScholesNGreeks("vega",$Q72,$P72,$G72,$I72,$C$3,$J72,$K72,$C$4)*R72</f>
        <v>-18.896967882848458</v>
      </c>
      <c r="W72" s="114"/>
      <c r="X72" s="115">
        <v>-150338.07269999999</v>
      </c>
      <c r="Y72" s="6">
        <f>X72*U72</f>
        <v>77919.470724414539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43287</v>
      </c>
      <c r="F74" s="8">
        <f t="shared" ref="F74:F75" ca="1" si="174">E74+H74</f>
        <v>43318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43287</v>
      </c>
      <c r="F75" s="8">
        <f t="shared" ca="1" si="174"/>
        <v>43318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43287</v>
      </c>
      <c r="F77" s="8">
        <f t="shared" ref="F77" ca="1" si="179">E77+H77</f>
        <v>43302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0.20372418214356891</v>
      </c>
      <c r="M77" s="15"/>
      <c r="N77" s="13">
        <f t="shared" ref="N77" si="180">M77/10000*I77*P77</f>
        <v>0</v>
      </c>
      <c r="O77" s="13">
        <f>IF(L77&lt;=0,ABS(L77)+N77,L77-N77)</f>
        <v>0.20372418214356891</v>
      </c>
      <c r="P77" s="11">
        <f>RTD("wdf.rtq",,D77,"LastPrice")</f>
        <v>459.5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>
        <f t="shared" ref="T77" si="182">O77/P77</f>
        <v>4.4336057049742964E-4</v>
      </c>
      <c r="U77" s="13">
        <f>_xll.dnetGBlackScholesNGreeks("delta",$Q77,$P77,$G77,$I77,$C$3,$J77,$K77,$C$4)*R77</f>
        <v>2.7138730636444564E-2</v>
      </c>
      <c r="V77" s="13">
        <f>_xll.dnetGBlackScholesNGreeks("vega",$Q77,$P77,$G77,$I77,$C$3,$J77,$K77,$C$4)*R77</f>
        <v>5.432910971423599E-2</v>
      </c>
      <c r="W77" s="114"/>
      <c r="X77" s="115">
        <v>-150338.07269999999</v>
      </c>
      <c r="Y77" s="6">
        <f>X77*U77</f>
        <v>-4079.9844594075198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43287</v>
      </c>
      <c r="F79" s="8">
        <f t="shared" ref="F79:F84" ca="1" si="183">E79+H79</f>
        <v>43318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43287</v>
      </c>
      <c r="F80" s="8">
        <f t="shared" ca="1" si="183"/>
        <v>43318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43287</v>
      </c>
      <c r="F81" s="8">
        <f t="shared" ca="1" si="183"/>
        <v>43318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43287</v>
      </c>
      <c r="F82" s="8">
        <f t="shared" ca="1" si="183"/>
        <v>43379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43287</v>
      </c>
      <c r="F83" s="8">
        <f t="shared" ca="1" si="183"/>
        <v>43379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43287</v>
      </c>
      <c r="F84" s="8">
        <f t="shared" ca="1" si="183"/>
        <v>43379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43287</v>
      </c>
      <c r="F86" s="8">
        <f t="shared" ref="F86" ca="1" si="190">E86+H86</f>
        <v>43318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>
        <f>_xll.dnetGBlackScholesNGreeks("price",$Q86,$P86,$G86,$I86,$C$3,$J86,$K86,$C$4)*R86</f>
        <v>-107.47464838840028</v>
      </c>
      <c r="M86" s="15"/>
      <c r="N86" s="13">
        <f t="shared" ref="N86" si="191">M86/10000*I86*P86</f>
        <v>0</v>
      </c>
      <c r="O86" s="13">
        <f>IF(L86&lt;=0,ABS(L86)+N86,L86-N86)</f>
        <v>107.47464838840028</v>
      </c>
      <c r="P86" s="11">
        <f>RTD("wdf.rtq",,D86,"LastPrice")</f>
        <v>3856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>
        <f t="shared" ref="T86" si="193">O86/P86</f>
        <v>2.7872056117323726E-2</v>
      </c>
      <c r="U86" s="13">
        <f>_xll.dnetGBlackScholesNGreeks("delta",$Q86,$P86,$G86,$I86,$C$3,$J86,$K86,$C$4)*R86</f>
        <v>-0.46134237386468158</v>
      </c>
      <c r="V86" s="13">
        <f>_xll.dnetGBlackScholesNGreeks("vega",$Q86,$P86,$G86,$I86,$C$3,$J86,$K86,$C$4)*R86</f>
        <v>-4.4552874561601357</v>
      </c>
      <c r="W86" s="114"/>
      <c r="X86" s="115">
        <v>-150338.07269999999</v>
      </c>
      <c r="Y86" s="6">
        <f>X86*U86</f>
        <v>69357.323341659081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43287</v>
      </c>
      <c r="F88" s="8">
        <f t="shared" ref="F88:F89" ca="1" si="194">E88+H88</f>
        <v>43326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43287</v>
      </c>
      <c r="F89" s="8">
        <f t="shared" ca="1" si="194"/>
        <v>43326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43287</v>
      </c>
      <c r="F91" s="8">
        <f t="shared" ref="F91" ca="1" si="198">E91+H91</f>
        <v>43317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43287</v>
      </c>
      <c r="F92" s="8">
        <f t="shared" ref="F92" ca="1" si="202">E92+H92</f>
        <v>43317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43287</v>
      </c>
      <c r="F94" s="8">
        <f t="shared" ref="F94:F95" ca="1" si="206">E94+H94</f>
        <v>43317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43287</v>
      </c>
      <c r="F95" s="8">
        <f t="shared" ca="1" si="206"/>
        <v>43349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28" ca="1" si="211">TODAY()</f>
        <v>43287</v>
      </c>
      <c r="F97" s="8">
        <f t="shared" ref="F97:F98" ca="1" si="212">E97+H97</f>
        <v>43317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36.220506704153877</v>
      </c>
      <c r="M97" s="15"/>
      <c r="N97" s="13">
        <f t="shared" ref="N97:N98" si="213">M97/10000*I97*P97</f>
        <v>0</v>
      </c>
      <c r="O97" s="13">
        <f>IF(L97&lt;=0,ABS(L97)+N97,L97-N97)</f>
        <v>36.220506704153877</v>
      </c>
      <c r="P97" s="11">
        <f>RTD("wdf.rtq",,D97,"LastPrice")</f>
        <v>2012.5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1.7997767306411866E-2</v>
      </c>
      <c r="U97" s="13">
        <f>_xll.dnetGBlackScholesNGreeks("delta",$Q97,$P97,$G97,$I97,$C$3,$J97,$K97,$C$4)*R97</f>
        <v>0.32834101953653771</v>
      </c>
      <c r="V97" s="13">
        <f>_xll.dnetGBlackScholesNGreeks("vega",$Q97,$P97,$G97,$I97,$C$3,$J97,$K97,$C$4)*R97</f>
        <v>2.0829518405533349</v>
      </c>
      <c r="W97" s="114"/>
      <c r="X97" s="115">
        <v>-150338.07269999999</v>
      </c>
      <c r="Y97" s="6">
        <f>X97*U97</f>
        <v>-49362.156065476127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43287</v>
      </c>
      <c r="F98" s="8">
        <f t="shared" ca="1" si="212"/>
        <v>43317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23.566423760262921</v>
      </c>
      <c r="M98" s="15"/>
      <c r="N98" s="13">
        <f t="shared" si="213"/>
        <v>0</v>
      </c>
      <c r="O98" s="13">
        <f>IF(L98&lt;=0,ABS(L98)+N98,L98-N98)</f>
        <v>23.566423760262921</v>
      </c>
      <c r="P98" s="11">
        <f>RTD("wdf.rtq",,D98,"LastPrice")</f>
        <v>2012.5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1.1710024228702072E-2</v>
      </c>
      <c r="U98" s="13">
        <f>_xll.dnetGBlackScholesNGreeks("delta",$Q98,$P98,$G98,$I98,$C$3,$J98,$K98,$C$4)*R98</f>
        <v>0.2378081151277911</v>
      </c>
      <c r="V98" s="13">
        <f>_xll.dnetGBlackScholesNGreeks("vega",$Q98,$P98,$G98,$I98,$C$3,$J98,$K98,$C$4)*R98</f>
        <v>1.7828853256359025</v>
      </c>
      <c r="W98" s="114"/>
      <c r="X98" s="115">
        <v>-150338.07269999999</v>
      </c>
      <c r="Y98" s="6">
        <f>X98*U98</f>
        <v>-35751.613700731825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43287</v>
      </c>
      <c r="F99" s="8">
        <f t="shared" ref="F99" ca="1" si="216">E99+H99</f>
        <v>43317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14.756543603504781</v>
      </c>
      <c r="M99" s="15"/>
      <c r="N99" s="13">
        <f t="shared" ref="N99" si="217">M99/10000*I99*P99</f>
        <v>0</v>
      </c>
      <c r="O99" s="13">
        <f>IF(L99&lt;=0,ABS(L99)+N99,L99-N99)</f>
        <v>14.756543603504781</v>
      </c>
      <c r="P99" s="11">
        <f>RTD("wdf.rtq",,D99,"LastPrice")</f>
        <v>2012.5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7.3324440265862267E-3</v>
      </c>
      <c r="U99" s="13">
        <f>_xll.dnetGBlackScholesNGreeks("delta",$Q99,$P99,$G99,$I99,$C$3,$J99,$K99,$C$4)*R99</f>
        <v>0.16450403830958749</v>
      </c>
      <c r="V99" s="13">
        <f>_xll.dnetGBlackScholesNGreeks("vega",$Q99,$P99,$G99,$I99,$C$3,$J99,$K99,$C$4)*R99</f>
        <v>1.4280795411098381</v>
      </c>
      <c r="W99" s="114"/>
      <c r="X99" s="115">
        <v>-150338.07269999999</v>
      </c>
      <c r="Y99" s="6">
        <f>X99*U99</f>
        <v>-24731.220070830346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43287</v>
      </c>
      <c r="F101" s="8">
        <f t="shared" ref="F101:F102" ca="1" si="220">E101+H101</f>
        <v>43330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43287</v>
      </c>
      <c r="F102" s="8">
        <f t="shared" ca="1" si="220"/>
        <v>43330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43287</v>
      </c>
      <c r="F104" s="8">
        <f t="shared" ref="F104" ca="1" si="224">E104+H104</f>
        <v>43302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43287</v>
      </c>
      <c r="F107" s="8">
        <f t="shared" ref="F107" ca="1" si="228">E107+H107</f>
        <v>43322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>
        <f>_xll.dnetGBlackScholesNGreeks("price",$Q107,$P107,$G107,$I107,$C$3,$J107,$K107,$C$4)*R107</f>
        <v>93.95664313763109</v>
      </c>
      <c r="M107" s="15">
        <v>30</v>
      </c>
      <c r="N107" s="13">
        <f t="shared" ref="N107" si="229">M107/10000*I107*P107</f>
        <v>4.0561643835616437</v>
      </c>
      <c r="O107" s="13">
        <f t="shared" ref="O107:O112" si="230">IF(L107&lt;=0,ABS(L107)+N107,L107-N107)</f>
        <v>89.900478754069439</v>
      </c>
      <c r="P107" s="11">
        <f>RTD("wdf.rtq",,D107,"LastPrice")</f>
        <v>14100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>
        <f t="shared" ref="T107" si="232">O107/P107</f>
        <v>6.3759204790120169E-3</v>
      </c>
      <c r="U107" s="13">
        <f>_xll.dnetGBlackScholesNGreeks("delta",$Q107,$P107,$G107,$I107,$C$3,$J107,$K107,$C$4)*R107</f>
        <v>-0.27843326604397589</v>
      </c>
      <c r="V107" s="13">
        <f>_xll.dnetGBlackScholesNGreeks("vega",$Q107,$P107,$G107,$I107,$C$3,$J107,$K107,$C$4)*R107</f>
        <v>14.629226973470622</v>
      </c>
      <c r="W107" s="114"/>
      <c r="X107" s="115">
        <v>-150338.07269999999</v>
      </c>
      <c r="Y107" s="6">
        <f t="shared" ref="Y107:Y112" si="233">X107*U107</f>
        <v>41859.120592617684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43287</v>
      </c>
      <c r="F108" s="8">
        <f t="shared" ref="F108:F109" ca="1" si="234">E108+H108</f>
        <v>43322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>
        <f>_xll.dnetGBlackScholesNGreeks("price",$Q108,$P108,$G108,$I108,$C$3,$J108,$K108,$C$4)*R108</f>
        <v>32.675539943693138</v>
      </c>
      <c r="M108" s="15">
        <v>30</v>
      </c>
      <c r="N108" s="13">
        <f t="shared" ref="N108:N109" si="235">M108/10000*I108*P108</f>
        <v>4.0561643835616437</v>
      </c>
      <c r="O108" s="13">
        <f t="shared" si="230"/>
        <v>28.619375560131495</v>
      </c>
      <c r="P108" s="11">
        <f>RTD("wdf.rtq",,D108,"LastPrice")</f>
        <v>14100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>
        <f t="shared" ref="T108:T109" si="237">O108/P108</f>
        <v>2.0297429475270566E-3</v>
      </c>
      <c r="U108" s="13">
        <f>_xll.dnetGBlackScholesNGreeks("delta",$Q108,$P108,$G108,$I108,$C$3,$J108,$K108,$C$4)*R108</f>
        <v>-0.12171192164487366</v>
      </c>
      <c r="V108" s="13">
        <f>_xll.dnetGBlackScholesNGreeks("vega",$Q108,$P108,$G108,$I108,$C$3,$J108,$K108,$C$4)*R108</f>
        <v>8.7950411578236753</v>
      </c>
      <c r="W108" s="114"/>
      <c r="X108" s="115">
        <v>-150338.07269999999</v>
      </c>
      <c r="Y108" s="6">
        <f t="shared" si="233"/>
        <v>18297.935724703719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43287</v>
      </c>
      <c r="F109" s="8">
        <f t="shared" ca="1" si="234"/>
        <v>43358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>
        <f>_xll.dnetGBlackScholesNGreeks("price",$Q109,$P109,$G109,$I109,$C$3,$J109,$K109,$C$4)*R109</f>
        <v>149.72989291810609</v>
      </c>
      <c r="M109" s="15">
        <v>30</v>
      </c>
      <c r="N109" s="13">
        <f t="shared" si="235"/>
        <v>8.2719863013698625</v>
      </c>
      <c r="O109" s="13">
        <f t="shared" si="230"/>
        <v>141.45790661673624</v>
      </c>
      <c r="P109" s="11">
        <f>RTD("wdf.rtq",,D109,"LastPrice")</f>
        <v>14175</v>
      </c>
      <c r="Q109" s="10" t="s">
        <v>329</v>
      </c>
      <c r="R109" s="10">
        <f t="shared" si="236"/>
        <v>1</v>
      </c>
      <c r="S109" s="10" t="s">
        <v>151</v>
      </c>
      <c r="T109" s="14">
        <f t="shared" si="237"/>
        <v>9.9793937648491177E-3</v>
      </c>
      <c r="U109" s="13">
        <f>_xll.dnetGBlackScholesNGreeks("delta",$Q109,$P109,$G109,$I109,$C$3,$J109,$K109,$C$4)*R109</f>
        <v>-0.29922974372311728</v>
      </c>
      <c r="V109" s="13">
        <f>_xll.dnetGBlackScholesNGreeks("vega",$Q109,$P109,$G109,$I109,$C$3,$J109,$K109,$C$4)*R109</f>
        <v>21.649175664253335</v>
      </c>
      <c r="W109" s="114"/>
      <c r="X109" s="115">
        <v>-150338.07269999999</v>
      </c>
      <c r="Y109" s="6">
        <f t="shared" si="233"/>
        <v>44985.622965848372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43287</v>
      </c>
      <c r="F110" s="8">
        <f t="shared" ref="F110:F111" ca="1" si="238">E110+H110</f>
        <v>43358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>
        <f>_xll.dnetGBlackScholesNGreeks("price",$Q110,$P110,$G110,$I110,$C$3,$J110,$K110,$C$4)*R110</f>
        <v>74.335628204171826</v>
      </c>
      <c r="M110" s="15">
        <v>30</v>
      </c>
      <c r="N110" s="13">
        <f t="shared" ref="N110:N111" si="239">M110/10000*I110*P110</f>
        <v>8.2719863013698625</v>
      </c>
      <c r="O110" s="13">
        <f t="shared" si="230"/>
        <v>66.063641902801962</v>
      </c>
      <c r="P110" s="11">
        <f>RTD("wdf.rtq",,D110,"LastPrice")</f>
        <v>14175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>
        <f t="shared" ref="T110:T111" si="241">O110/P110</f>
        <v>4.660574384677387E-3</v>
      </c>
      <c r="U110" s="13">
        <f>_xll.dnetGBlackScholesNGreeks("delta",$Q110,$P110,$G110,$I110,$C$3,$J110,$K110,$C$4)*R110</f>
        <v>-0.17548405155594082</v>
      </c>
      <c r="V110" s="13">
        <f>_xll.dnetGBlackScholesNGreeks("vega",$Q110,$P110,$G110,$I110,$C$3,$J110,$K110,$C$4)*R110</f>
        <v>16.088887124446956</v>
      </c>
      <c r="W110" s="114"/>
      <c r="X110" s="115">
        <v>-150338.07269999999</v>
      </c>
      <c r="Y110" s="6">
        <f t="shared" si="233"/>
        <v>26381.934100507577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43287</v>
      </c>
      <c r="F111" s="8">
        <f t="shared" ca="1" si="238"/>
        <v>43386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>
        <f>_xll.dnetGBlackScholesNGreeks("price",$Q111,$P111,$G111,$I111,$C$3,$J111,$K111,$C$4)*R111</f>
        <v>168.67564012393814</v>
      </c>
      <c r="M111" s="15">
        <v>30</v>
      </c>
      <c r="N111" s="13">
        <f t="shared" si="239"/>
        <v>11.005726027397261</v>
      </c>
      <c r="O111" s="13">
        <f t="shared" si="230"/>
        <v>157.66991409654088</v>
      </c>
      <c r="P111" s="11">
        <f>RTD("wdf.rtq",,D111,"LastPrice")</f>
        <v>14245</v>
      </c>
      <c r="Q111" s="10" t="s">
        <v>329</v>
      </c>
      <c r="R111" s="10">
        <f t="shared" si="240"/>
        <v>1</v>
      </c>
      <c r="S111" s="10" t="s">
        <v>151</v>
      </c>
      <c r="T111" s="14">
        <f t="shared" si="241"/>
        <v>1.1068439038016208E-2</v>
      </c>
      <c r="U111" s="13">
        <f>_xll.dnetGBlackScholesNGreeks("delta",$Q111,$P111,$G111,$I111,$C$3,$J111,$K111,$C$4)*R111</f>
        <v>-0.2925334698829829</v>
      </c>
      <c r="V111" s="13">
        <f>_xll.dnetGBlackScholesNGreeks("vega",$Q111,$P111,$G111,$I111,$C$3,$J111,$K111,$C$4)*R111</f>
        <v>24.7575795843577</v>
      </c>
      <c r="W111" s="114"/>
      <c r="X111" s="115">
        <v>-150338.07269999999</v>
      </c>
      <c r="Y111" s="6">
        <f t="shared" si="233"/>
        <v>43978.918062451143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43287</v>
      </c>
      <c r="F112" s="8">
        <f t="shared" ref="F112" ca="1" si="242">E112+H112</f>
        <v>43386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>
        <f>_xll.dnetGBlackScholesNGreeks("price",$Q112,$P112,$G112,$I112,$C$3,$J112,$K112,$C$4)*R112</f>
        <v>91.928518145444286</v>
      </c>
      <c r="M112" s="15">
        <v>30</v>
      </c>
      <c r="N112" s="13">
        <f t="shared" ref="N112" si="243">M112/10000*I112*P112</f>
        <v>11.005726027397261</v>
      </c>
      <c r="O112" s="13">
        <f t="shared" si="230"/>
        <v>80.922792118047028</v>
      </c>
      <c r="P112" s="11">
        <f>RTD("wdf.rtq",,D112,"LastPrice")</f>
        <v>14245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>
        <f t="shared" ref="T112" si="245">O112/P112</f>
        <v>5.6807856874725891E-3</v>
      </c>
      <c r="U112" s="13">
        <f>_xll.dnetGBlackScholesNGreeks("delta",$Q112,$P112,$G112,$I112,$C$3,$J112,$K112,$C$4)*R112</f>
        <v>-0.18439858229157835</v>
      </c>
      <c r="V112" s="13">
        <f>_xll.dnetGBlackScholesNGreeks("vega",$Q112,$P112,$G112,$I112,$C$3,$J112,$K112,$C$4)*R112</f>
        <v>19.183838415038053</v>
      </c>
      <c r="W112" s="114"/>
      <c r="X112" s="115">
        <v>-150338.07269999999</v>
      </c>
      <c r="Y112" s="6">
        <f t="shared" si="233"/>
        <v>27722.127470328236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43287</v>
      </c>
      <c r="F114" s="8">
        <f t="shared" ref="F114:F116" ca="1" si="246">E114+H114</f>
        <v>43319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>
        <f>_xll.dnetGBlackScholesNGreeks("price",$Q114,$P114,$G114,$I114,$C$3,$J114,$K114,$C$4)*R114</f>
        <v>-59.315624076259269</v>
      </c>
      <c r="M114" s="15">
        <v>0</v>
      </c>
      <c r="N114" s="13">
        <f t="shared" ref="N114:N116" si="247">M114/10000*I114*P114</f>
        <v>0</v>
      </c>
      <c r="O114" s="13">
        <f>IF(L114&lt;=0,ABS(L114)+N114,L114-N114)</f>
        <v>59.315624076259269</v>
      </c>
      <c r="P114" s="11">
        <f>RTD("wdf.rtq",,D114,"LastPrice")</f>
        <v>2012.5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>
        <f t="shared" ref="T114:T116" si="249">O114/P114</f>
        <v>2.9473602025470443E-2</v>
      </c>
      <c r="U114" s="13">
        <f>_xll.dnetGBlackScholesNGreeks("delta",$Q114,$P114,$G114,$I114,$C$3,$J114,$K114,$C$4)*R114</f>
        <v>0.36584042899221458</v>
      </c>
      <c r="V114" s="13">
        <f>_xll.dnetGBlackScholesNGreeks("vega",$Q114,$P114,$G114,$I114,$C$3,$J114,$K114,$C$4)*R114</f>
        <v>-2.2388395984355611</v>
      </c>
      <c r="W114" s="114"/>
      <c r="X114" s="115">
        <v>-150338.07269999999</v>
      </c>
      <c r="Y114" s="6">
        <f>X114*U114</f>
        <v>-54999.745010430743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43287</v>
      </c>
      <c r="F115" s="8">
        <f t="shared" ca="1" si="246"/>
        <v>43319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>
        <f>_xll.dnetGBlackScholesNGreeks("price",$Q115,$P115,$G115,$I115,$C$3,$J115,$K115,$C$4)*R115</f>
        <v>-10.634256658082592</v>
      </c>
      <c r="M115" s="15">
        <v>0</v>
      </c>
      <c r="N115" s="13">
        <f t="shared" si="247"/>
        <v>0</v>
      </c>
      <c r="O115" s="13">
        <f>IF(L115&lt;=0,ABS(L115)+N115,L115-N115)</f>
        <v>10.634256658082592</v>
      </c>
      <c r="P115" s="136">
        <f>RTD("wdf.rtq",,D115,"LastPrice")</f>
        <v>459.5</v>
      </c>
      <c r="Q115" s="10" t="s">
        <v>329</v>
      </c>
      <c r="R115" s="10">
        <f t="shared" si="248"/>
        <v>-1</v>
      </c>
      <c r="S115" s="10" t="s">
        <v>20</v>
      </c>
      <c r="T115" s="14">
        <f t="shared" si="249"/>
        <v>2.3143104805402812E-2</v>
      </c>
      <c r="U115" s="13">
        <f>_xll.dnetGBlackScholesNGreeks("delta",$Q115,$P115,$G115,$I115,$C$3,$J115,$K115,$C$4)*R115</f>
        <v>0.3834055850944651</v>
      </c>
      <c r="V115" s="13">
        <f>_xll.dnetGBlackScholesNGreeks("vega",$Q115,$P115,$G115,$I115,$C$3,$J115,$K115,$C$4)*R115</f>
        <v>-0.47661552391505779</v>
      </c>
      <c r="W115" s="114"/>
      <c r="X115" s="115">
        <v>-150338.07269999999</v>
      </c>
      <c r="Y115" s="6">
        <f>X115*U115</f>
        <v>-57640.456725517724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43287</v>
      </c>
      <c r="F116" s="8">
        <f t="shared" ca="1" si="246"/>
        <v>43319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>
        <f>_xll.dnetGBlackScholesNGreeks("price",$Q116,$P116,$G116,$I116,$C$3,$J116,$K116,$C$4)*R116</f>
        <v>-6.9995688156057554</v>
      </c>
      <c r="M116" s="15">
        <v>0</v>
      </c>
      <c r="N116" s="13">
        <f t="shared" si="247"/>
        <v>0</v>
      </c>
      <c r="O116" s="13">
        <f>IF(L116&lt;=0,ABS(L116)+N116,L116-N116)</f>
        <v>6.9995688156057554</v>
      </c>
      <c r="P116" s="136">
        <f>RTD("wdf.rtq",,D116,"LastPrice")</f>
        <v>459.5</v>
      </c>
      <c r="Q116" s="10" t="s">
        <v>329</v>
      </c>
      <c r="R116" s="10">
        <f t="shared" si="248"/>
        <v>-1</v>
      </c>
      <c r="S116" s="10" t="s">
        <v>20</v>
      </c>
      <c r="T116" s="14">
        <f t="shared" si="249"/>
        <v>1.5233011568238858E-2</v>
      </c>
      <c r="U116" s="13">
        <f>_xll.dnetGBlackScholesNGreeks("delta",$Q116,$P116,$G116,$I116,$C$3,$J116,$K116,$C$4)*R116</f>
        <v>0.28452504377867172</v>
      </c>
      <c r="V116" s="13">
        <f>_xll.dnetGBlackScholesNGreeks("vega",$Q116,$P116,$G116,$I116,$C$3,$J116,$K116,$C$4)*R116</f>
        <v>-0.42356472487918495</v>
      </c>
      <c r="W116" s="114"/>
      <c r="X116" s="115">
        <v>-150338.07269999999</v>
      </c>
      <c r="Y116" s="6">
        <f>X116*U116</f>
        <v>-42774.946716568629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43287</v>
      </c>
      <c r="F118" s="8">
        <f t="shared" ref="F118:F120" ca="1" si="250">E118+H118</f>
        <v>43652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43287</v>
      </c>
      <c r="F119" s="8">
        <f t="shared" ca="1" si="250"/>
        <v>43652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43287</v>
      </c>
      <c r="F120" s="8">
        <f t="shared" ca="1" si="250"/>
        <v>43652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43287</v>
      </c>
      <c r="F121" s="8">
        <f t="shared" ref="F121" ca="1" si="254">E121+H121</f>
        <v>43652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A123" s="131">
        <v>43287</v>
      </c>
      <c r="B123" s="13" t="s">
        <v>172</v>
      </c>
      <c r="C123" s="10" t="s">
        <v>160</v>
      </c>
      <c r="D123" s="10" t="s">
        <v>339</v>
      </c>
      <c r="E123" s="8">
        <f t="shared" ca="1" si="211"/>
        <v>43287</v>
      </c>
      <c r="F123" s="8">
        <f t="shared" ref="F123" ca="1" si="258">E123+H123</f>
        <v>43410</v>
      </c>
      <c r="G123" s="120">
        <v>20000</v>
      </c>
      <c r="H123" s="10">
        <v>123</v>
      </c>
      <c r="I123" s="12">
        <f>(H123-5)/365</f>
        <v>0.32328767123287672</v>
      </c>
      <c r="J123" s="12">
        <f>J122</f>
        <v>0</v>
      </c>
      <c r="K123" s="116">
        <v>0.21</v>
      </c>
      <c r="L123" s="13">
        <f>_xll.dnetGBlackScholesNGreeks("price",$Q123,$P123,$G123,$I123,$C$3,$J123,$K123,$C$4)*R123</f>
        <v>-381.44778053427308</v>
      </c>
      <c r="M123" s="15">
        <v>0</v>
      </c>
      <c r="N123" s="13">
        <f t="shared" ref="N123" si="259">M123/10000*I123*P123</f>
        <v>0</v>
      </c>
      <c r="O123" s="13">
        <f>IF(L123&lt;=0,ABS(L123)+N123,L123-N123)</f>
        <v>381.44778053427308</v>
      </c>
      <c r="P123" s="11">
        <f>RTD("wdf.rtq",,D123,"LastPrice")</f>
        <v>21620</v>
      </c>
      <c r="Q123" s="10" t="s">
        <v>291</v>
      </c>
      <c r="R123" s="10">
        <f t="shared" ref="R123" si="260">IF(S123="中金买入",1,-1)</f>
        <v>-1</v>
      </c>
      <c r="S123" s="10" t="s">
        <v>20</v>
      </c>
      <c r="T123" s="14">
        <f t="shared" ref="T123" si="261">O123/P123</f>
        <v>1.7643283095942326E-2</v>
      </c>
      <c r="U123" s="13">
        <f>_xll.dnetGBlackScholesNGreeks("delta",$Q123,$P123,$G123,$I123,$C$3,$J123,$K123,$C$4)*R123</f>
        <v>0.23669606621297135</v>
      </c>
      <c r="V123" s="13">
        <f>_xll.dnetGBlackScholesNGreeks("vega",$Q123,$P123,$G123,$I123,$C$3,$J123,$K123,$C$4)*R123</f>
        <v>-37.799728999799754</v>
      </c>
      <c r="W123" s="114"/>
      <c r="X123" s="115">
        <v>-150338.07269999999</v>
      </c>
      <c r="Y123" s="6">
        <f>X123*U123</f>
        <v>-35584.430410129695</v>
      </c>
    </row>
    <row r="124" spans="1:25" x14ac:dyDescent="0.15">
      <c r="A124" s="131">
        <v>43287</v>
      </c>
      <c r="B124" s="13" t="s">
        <v>172</v>
      </c>
      <c r="C124" s="10" t="s">
        <v>160</v>
      </c>
      <c r="D124" s="10" t="s">
        <v>339</v>
      </c>
      <c r="E124" s="8">
        <f t="shared" ca="1" si="211"/>
        <v>43287</v>
      </c>
      <c r="F124" s="8">
        <f t="shared" ref="F124" ca="1" si="262">E124+H124</f>
        <v>43410</v>
      </c>
      <c r="G124" s="120">
        <v>19500</v>
      </c>
      <c r="H124" s="10">
        <v>123</v>
      </c>
      <c r="I124" s="12">
        <f>(H124-5)/365</f>
        <v>0.32328767123287672</v>
      </c>
      <c r="J124" s="12">
        <f>J123</f>
        <v>0</v>
      </c>
      <c r="K124" s="116">
        <v>0.215</v>
      </c>
      <c r="L124" s="13">
        <f>_xll.dnetGBlackScholesNGreeks("price",$Q124,$P124,$G124,$I124,$C$3,$J124,$K124,$C$4)*R124</f>
        <v>-276.79406157631547</v>
      </c>
      <c r="M124" s="15">
        <v>0</v>
      </c>
      <c r="N124" s="13">
        <f t="shared" ref="N124" si="263">M124/10000*I124*P124</f>
        <v>0</v>
      </c>
      <c r="O124" s="13">
        <f>IF(L124&lt;=0,ABS(L124)+N124,L124-N124)</f>
        <v>276.79406157631547</v>
      </c>
      <c r="P124" s="11">
        <f>RTD("wdf.rtq",,D124,"LastPrice")</f>
        <v>21620</v>
      </c>
      <c r="Q124" s="10" t="s">
        <v>291</v>
      </c>
      <c r="R124" s="10">
        <f t="shared" ref="R124" si="264">IF(S124="中金买入",1,-1)</f>
        <v>-1</v>
      </c>
      <c r="S124" s="10" t="s">
        <v>20</v>
      </c>
      <c r="T124" s="14">
        <f t="shared" ref="T124" si="265">O124/P124</f>
        <v>1.280268554932079E-2</v>
      </c>
      <c r="U124" s="13">
        <f>_xll.dnetGBlackScholesNGreeks("delta",$Q124,$P124,$G124,$I124,$C$3,$J124,$K124,$C$4)*R124</f>
        <v>0.18146003690162615</v>
      </c>
      <c r="V124" s="13">
        <f>_xll.dnetGBlackScholesNGreeks("vega",$Q124,$P124,$G124,$I124,$C$3,$J124,$K124,$C$4)*R124</f>
        <v>-32.322462950595309</v>
      </c>
      <c r="W124" s="114"/>
      <c r="X124" s="115">
        <v>-150338.07269999999</v>
      </c>
      <c r="Y124" s="6">
        <f>X124*U124</f>
        <v>-27280.352219861354</v>
      </c>
    </row>
    <row r="125" spans="1:25" x14ac:dyDescent="0.15">
      <c r="A125" s="131">
        <v>43287</v>
      </c>
      <c r="B125" s="13" t="s">
        <v>172</v>
      </c>
      <c r="C125" s="10" t="s">
        <v>160</v>
      </c>
      <c r="D125" s="10" t="s">
        <v>339</v>
      </c>
      <c r="E125" s="8">
        <f t="shared" ca="1" si="211"/>
        <v>43287</v>
      </c>
      <c r="F125" s="8">
        <f t="shared" ref="F125" ca="1" si="266">E125+H125</f>
        <v>43410</v>
      </c>
      <c r="G125" s="120">
        <v>19000</v>
      </c>
      <c r="H125" s="10">
        <v>123</v>
      </c>
      <c r="I125" s="12">
        <f>(H125-5)/365</f>
        <v>0.32328767123287672</v>
      </c>
      <c r="J125" s="12">
        <f>J124</f>
        <v>0</v>
      </c>
      <c r="K125" s="116">
        <v>0.22</v>
      </c>
      <c r="L125" s="13">
        <f>_xll.dnetGBlackScholesNGreeks("price",$Q125,$P125,$G125,$I125,$C$3,$J125,$K125,$C$4)*R125</f>
        <v>-196.86873851814607</v>
      </c>
      <c r="M125" s="15">
        <v>0</v>
      </c>
      <c r="N125" s="13">
        <f t="shared" ref="N125" si="267">M125/10000*I125*P125</f>
        <v>0</v>
      </c>
      <c r="O125" s="13">
        <f>IF(L125&lt;=0,ABS(L125)+N125,L125-N125)</f>
        <v>196.86873851814607</v>
      </c>
      <c r="P125" s="11">
        <f>RTD("wdf.rtq",,D125,"LastPrice")</f>
        <v>21620</v>
      </c>
      <c r="Q125" s="10" t="s">
        <v>291</v>
      </c>
      <c r="R125" s="10">
        <f t="shared" ref="R125" si="268">IF(S125="中金买入",1,-1)</f>
        <v>-1</v>
      </c>
      <c r="S125" s="10" t="s">
        <v>20</v>
      </c>
      <c r="T125" s="14">
        <f t="shared" ref="T125" si="269">O125/P125</f>
        <v>9.1058620961214642E-3</v>
      </c>
      <c r="U125" s="13">
        <f>_xll.dnetGBlackScholesNGreeks("delta",$Q125,$P125,$G125,$I125,$C$3,$J125,$K125,$C$4)*R125</f>
        <v>0.13582207607214514</v>
      </c>
      <c r="V125" s="13">
        <f>_xll.dnetGBlackScholesNGreeks("vega",$Q125,$P125,$G125,$I125,$C$3,$J125,$K125,$C$4)*R125</f>
        <v>-26.727425357985339</v>
      </c>
      <c r="W125" s="114"/>
      <c r="X125" s="115">
        <v>-150338.07269999999</v>
      </c>
      <c r="Y125" s="6">
        <f>X125*U125</f>
        <v>-20419.229146799084</v>
      </c>
    </row>
    <row r="127" spans="1:25" x14ac:dyDescent="0.15">
      <c r="A127" s="131">
        <v>43287</v>
      </c>
      <c r="B127" s="13" t="s">
        <v>172</v>
      </c>
      <c r="C127" s="10" t="s">
        <v>160</v>
      </c>
      <c r="D127" s="10" t="s">
        <v>305</v>
      </c>
      <c r="E127" s="8">
        <f t="shared" ca="1" si="211"/>
        <v>43287</v>
      </c>
      <c r="F127" s="8">
        <f t="shared" ref="F127:F128" ca="1" si="270">E127+H127</f>
        <v>43318</v>
      </c>
      <c r="G127" s="120">
        <v>3900</v>
      </c>
      <c r="H127" s="10">
        <v>31</v>
      </c>
      <c r="I127" s="12">
        <f>(H127-5)/365</f>
        <v>7.1232876712328766E-2</v>
      </c>
      <c r="J127" s="12">
        <f>J126</f>
        <v>0</v>
      </c>
      <c r="K127" s="116">
        <v>0.28000000000000003</v>
      </c>
      <c r="L127" s="13">
        <f>_xll.dnetGBlackScholesNGreeks("price",$Q127,$P127,$G127,$I127,$C$3,$J127,$K127,$C$4)*R127</f>
        <v>-63.52458606626351</v>
      </c>
      <c r="M127" s="15">
        <v>0</v>
      </c>
      <c r="N127" s="13">
        <f t="shared" ref="N127:N128" si="271">M127/10000*I127*P127</f>
        <v>0</v>
      </c>
      <c r="O127" s="13">
        <f>IF(L127&lt;=0,ABS(L127)+N127,L127-N127)</f>
        <v>63.52458606626351</v>
      </c>
      <c r="P127" s="11">
        <f>RTD("wdf.rtq",,D127,"LastPrice")</f>
        <v>3778</v>
      </c>
      <c r="Q127" s="10" t="s">
        <v>39</v>
      </c>
      <c r="R127" s="10">
        <f t="shared" ref="R127:R128" si="272">IF(S127="中金买入",1,-1)</f>
        <v>-1</v>
      </c>
      <c r="S127" s="10" t="s">
        <v>20</v>
      </c>
      <c r="T127" s="14">
        <f t="shared" ref="T127:T128" si="273">O127/P127</f>
        <v>1.6814342526803468E-2</v>
      </c>
      <c r="U127" s="13">
        <f>_xll.dnetGBlackScholesNGreeks("delta",$Q127,$P127,$G127,$I127,$C$3,$J127,$K127,$C$4)*R127</f>
        <v>-0.34854084192375012</v>
      </c>
      <c r="V127" s="13">
        <f>_xll.dnetGBlackScholesNGreeks("vega",$Q127,$P127,$G127,$I127,$C$3,$J127,$K127,$C$4)*R127</f>
        <v>-3.7253712648417832</v>
      </c>
      <c r="W127" s="114"/>
      <c r="X127" s="115">
        <v>-150338.07269999999</v>
      </c>
      <c r="Y127" s="6">
        <f>X127*U127</f>
        <v>52398.95843205195</v>
      </c>
    </row>
    <row r="128" spans="1:25" x14ac:dyDescent="0.15">
      <c r="A128" s="131">
        <v>43287</v>
      </c>
      <c r="B128" s="13" t="s">
        <v>172</v>
      </c>
      <c r="C128" s="10" t="s">
        <v>160</v>
      </c>
      <c r="D128" s="10" t="s">
        <v>305</v>
      </c>
      <c r="E128" s="8">
        <f t="shared" ca="1" si="211"/>
        <v>43287</v>
      </c>
      <c r="F128" s="8">
        <f t="shared" ca="1" si="270"/>
        <v>43349</v>
      </c>
      <c r="G128" s="120">
        <v>3900</v>
      </c>
      <c r="H128" s="10">
        <v>62</v>
      </c>
      <c r="I128" s="12">
        <f>(H128-5)/365</f>
        <v>0.15616438356164383</v>
      </c>
      <c r="J128" s="12">
        <f>J127</f>
        <v>0</v>
      </c>
      <c r="K128" s="116">
        <v>0.28000000000000003</v>
      </c>
      <c r="L128" s="13">
        <f>_xll.dnetGBlackScholesNGreeks("price",$Q128,$P128,$G128,$I128,$C$3,$J128,$K128,$C$4)*R128</f>
        <v>-114.94935871622033</v>
      </c>
      <c r="M128" s="15">
        <v>0</v>
      </c>
      <c r="N128" s="13">
        <f t="shared" si="271"/>
        <v>0</v>
      </c>
      <c r="O128" s="13">
        <f>IF(L128&lt;=0,ABS(L128)+N128,L128-N128)</f>
        <v>114.94935871622033</v>
      </c>
      <c r="P128" s="11">
        <f>RTD("wdf.rtq",,D128,"LastPrice")</f>
        <v>3778</v>
      </c>
      <c r="Q128" s="10" t="s">
        <v>39</v>
      </c>
      <c r="R128" s="10">
        <f t="shared" si="272"/>
        <v>-1</v>
      </c>
      <c r="S128" s="10" t="s">
        <v>20</v>
      </c>
      <c r="T128" s="14">
        <f t="shared" si="273"/>
        <v>3.0425981661254719E-2</v>
      </c>
      <c r="U128" s="13">
        <f>_xll.dnetGBlackScholesNGreeks("delta",$Q128,$P128,$G128,$I128,$C$3,$J128,$K128,$C$4)*R128</f>
        <v>-0.40703265669890243</v>
      </c>
      <c r="V128" s="13">
        <f>_xll.dnetGBlackScholesNGreeks("vega",$Q128,$P128,$G128,$I128,$C$3,$J128,$K128,$C$4)*R128</f>
        <v>-5.7797074176963861</v>
      </c>
      <c r="W128" s="114"/>
      <c r="X128" s="115">
        <v>-150338.07269999999</v>
      </c>
      <c r="Y128" s="6">
        <f>X128*U128</f>
        <v>61192.505134073734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 S123:S125 S127:S128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 Q123:Q125 Q127:Q128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 C123:C125 C127:C128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76"/>
  <sheetViews>
    <sheetView topLeftCell="A46" zoomScale="85" zoomScaleNormal="85" workbookViewId="0">
      <selection activeCell="P80" sqref="P80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4" t="s">
        <v>37</v>
      </c>
      <c r="C1" s="16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43287</v>
      </c>
      <c r="F8" s="46">
        <f ca="1">E8+H8</f>
        <v>43317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43287</v>
      </c>
      <c r="F9" s="54">
        <f ca="1">F8</f>
        <v>43317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43287</v>
      </c>
      <c r="F10" s="62">
        <f ca="1">F9</f>
        <v>43317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43287</v>
      </c>
      <c r="F11" s="46">
        <f ca="1">E11+H11</f>
        <v>43302</v>
      </c>
      <c r="G11" s="113">
        <f>P11-20</f>
        <v>439.5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-3.6953310893291729</v>
      </c>
      <c r="M11" s="49"/>
      <c r="N11" s="43"/>
      <c r="O11" s="43">
        <f t="shared" ref="O11:O13" si="1">IF(L11&lt;=0,ABS(L11)+N11,L11-N11)</f>
        <v>3.6953310893291729</v>
      </c>
      <c r="P11" s="110">
        <f>RTD("wdf.rtq",,D11,"LastPrice")</f>
        <v>459.5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0.22280524386673051</v>
      </c>
      <c r="V11" s="43">
        <f>_xll.dnetGBlackScholesNGreeks("vega",$Q11,$P11,$G11,$I11,$C$3,$J11,$K11,$C$4)*R11</f>
        <v>-0.27765156822788839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43287</v>
      </c>
      <c r="F12" s="54">
        <f t="shared" ca="1" si="2"/>
        <v>43302</v>
      </c>
      <c r="G12" s="52">
        <f>G11+50</f>
        <v>489.5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2.0043266499227457</v>
      </c>
      <c r="M12" s="57"/>
      <c r="N12" s="51"/>
      <c r="O12" s="51">
        <f t="shared" si="1"/>
        <v>2.0043266499227457</v>
      </c>
      <c r="P12" s="94">
        <f>P11</f>
        <v>459.5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0.14756502293877816</v>
      </c>
      <c r="V12" s="51">
        <f>_xll.dnetGBlackScholesNGreeks("vega",$Q12,$P12,$G12,$I12,$C$3,$J12,$K12,$C$4)*R12</f>
        <v>0.21467643550595383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43287</v>
      </c>
      <c r="F13" s="62">
        <f t="shared" ca="1" si="3"/>
        <v>43302</v>
      </c>
      <c r="G13" s="60" t="str">
        <f>G11 &amp; "|" &amp; G12</f>
        <v>439.5|489.5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-1.6910044394064272</v>
      </c>
      <c r="M13" s="60">
        <v>0</v>
      </c>
      <c r="N13" s="59">
        <f>M13/10000*I13*P13</f>
        <v>0</v>
      </c>
      <c r="O13" s="59">
        <f t="shared" si="1"/>
        <v>1.6910044394064272</v>
      </c>
      <c r="P13" s="111">
        <f>P12</f>
        <v>459.5</v>
      </c>
      <c r="Q13" s="60"/>
      <c r="R13" s="60"/>
      <c r="S13" s="56" t="s">
        <v>151</v>
      </c>
      <c r="T13" s="64">
        <f>O13/P13</f>
        <v>3.6800967125275889E-3</v>
      </c>
      <c r="U13" s="64">
        <f>U12+U11</f>
        <v>0.37037026680550866</v>
      </c>
      <c r="V13" s="64">
        <f>V12+V11</f>
        <v>-6.2975132721934557E-2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43287</v>
      </c>
      <c r="F14" s="46">
        <f ca="1">E14+H14</f>
        <v>43378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-395.40471201004857</v>
      </c>
      <c r="M14" s="49"/>
      <c r="N14" s="43"/>
      <c r="O14" s="43">
        <f t="shared" ref="O14:O16" si="4">IF(L14&lt;=0,ABS(L14)+N14,L14-N14)</f>
        <v>395.40471201004857</v>
      </c>
      <c r="P14" s="110">
        <f>RTD("wdf.rtq",,D14,"LastPrice")</f>
        <v>3778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-0.72984050098057196</v>
      </c>
      <c r="V14" s="43">
        <f>_xll.dnetGBlackScholesNGreeks("vega",$Q14,$P14,$G14,$I14,$C$3,$J14,$K14,$C$4)*R14</f>
        <v>-6.1648933144385865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43287</v>
      </c>
      <c r="F15" s="54">
        <f t="shared" ca="1" si="5"/>
        <v>43378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39.88745870998639</v>
      </c>
      <c r="M15" s="57"/>
      <c r="N15" s="51"/>
      <c r="O15" s="51">
        <f t="shared" si="4"/>
        <v>39.88745870998639</v>
      </c>
      <c r="P15" s="94">
        <f>P14</f>
        <v>3778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-0.13916570111405235</v>
      </c>
      <c r="V15" s="51">
        <f>_xll.dnetGBlackScholesNGreeks("vega",$Q15,$P15,$G15,$I15,$C$3,$J15,$K15,$C$4)*R15</f>
        <v>4.173206807946201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43287</v>
      </c>
      <c r="F16" s="62">
        <f t="shared" ca="1" si="6"/>
        <v>43378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-355.51725330006218</v>
      </c>
      <c r="M16" s="60">
        <v>0</v>
      </c>
      <c r="N16" s="59">
        <f>M16/10000*I16*P16</f>
        <v>0</v>
      </c>
      <c r="O16" s="59">
        <f t="shared" si="4"/>
        <v>355.51725330006218</v>
      </c>
      <c r="P16" s="111">
        <f>P15</f>
        <v>3778</v>
      </c>
      <c r="Q16" s="60"/>
      <c r="R16" s="60"/>
      <c r="S16" s="56" t="s">
        <v>151</v>
      </c>
      <c r="T16" s="64">
        <f>O16/P16</f>
        <v>9.4101972816321378E-2</v>
      </c>
      <c r="U16" s="64">
        <f>U15+U14</f>
        <v>-0.86900620209462431</v>
      </c>
      <c r="V16" s="64">
        <f>V15+V14</f>
        <v>-1.9916865064923854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43287</v>
      </c>
      <c r="F18" s="46">
        <f ca="1">E18+H18</f>
        <v>43318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20.640649353613526</v>
      </c>
      <c r="M18" s="49"/>
      <c r="N18" s="43"/>
      <c r="O18" s="43">
        <f t="shared" ref="O18:O20" si="7">IF(L18&lt;=0,ABS(L18)+N18,L18-N18)</f>
        <v>20.640649353613526</v>
      </c>
      <c r="P18" s="110">
        <f>RTD("wdf.rtq",,D18,"LastPrice")</f>
        <v>3098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-0.23761692729067363</v>
      </c>
      <c r="V18" s="43">
        <f>_xll.dnetGBlackScholesNGreeks("vega",$Q18,$P18,$G18,$I18,$C$3,$J18,$K18,$C$4)*R18</f>
        <v>2.7871150647330865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43287</v>
      </c>
      <c r="F19" s="54">
        <f t="shared" ca="1" si="8"/>
        <v>43318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-11.721026364254669</v>
      </c>
      <c r="M19" s="57"/>
      <c r="N19" s="51"/>
      <c r="O19" s="51">
        <f t="shared" si="7"/>
        <v>11.721026364254669</v>
      </c>
      <c r="P19" s="94">
        <f>P18</f>
        <v>3098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-0.14386888096566963</v>
      </c>
      <c r="V19" s="51">
        <f>_xll.dnetGBlackScholesNGreeks("vega",$Q19,$P19,$G19,$I19,$C$3,$J19,$K19,$C$4)*R19</f>
        <v>-2.043572891582869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43287</v>
      </c>
      <c r="F20" s="62">
        <f t="shared" ca="1" si="9"/>
        <v>43318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8.9196229893588566</v>
      </c>
      <c r="M20" s="60">
        <v>0</v>
      </c>
      <c r="N20" s="59">
        <f>M20/10000*I20*P20</f>
        <v>0</v>
      </c>
      <c r="O20" s="59">
        <f t="shared" si="7"/>
        <v>8.9196229893588566</v>
      </c>
      <c r="P20" s="111">
        <f>P19</f>
        <v>3098</v>
      </c>
      <c r="Q20" s="60"/>
      <c r="R20" s="60"/>
      <c r="S20" s="56"/>
      <c r="T20" s="64">
        <f>O20/P20</f>
        <v>2.8791552580241628E-3</v>
      </c>
      <c r="U20" s="64">
        <f>U19+U18</f>
        <v>-0.38148580825634326</v>
      </c>
      <c r="V20" s="64">
        <f>V19+V18</f>
        <v>0.74354217315021742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43287</v>
      </c>
      <c r="F21" s="46">
        <f ca="1">E21+H21</f>
        <v>43379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56.112598381299676</v>
      </c>
      <c r="M21" s="49"/>
      <c r="N21" s="43"/>
      <c r="O21" s="43">
        <f t="shared" ref="O21:O23" si="10">IF(L21&lt;=0,ABS(L21)+N21,L21-N21)</f>
        <v>56.112598381299676</v>
      </c>
      <c r="P21" s="110">
        <f>RTD("wdf.rtq",,D21,"LastPrice")</f>
        <v>3098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-0.32819095742411264</v>
      </c>
      <c r="V21" s="43">
        <f>_xll.dnetGBlackScholesNGreeks("vega",$Q21,$P21,$G21,$I21,$C$3,$J21,$K21,$C$4)*R21</f>
        <v>5.6016696844342846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43287</v>
      </c>
      <c r="F22" s="54">
        <f t="shared" ca="1" si="11"/>
        <v>43379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-45.874965261150692</v>
      </c>
      <c r="M22" s="57"/>
      <c r="N22" s="51"/>
      <c r="O22" s="51">
        <f t="shared" si="10"/>
        <v>45.874965261150692</v>
      </c>
      <c r="P22" s="94">
        <f>P21</f>
        <v>3098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-0.27736094067449812</v>
      </c>
      <c r="V22" s="51">
        <f>_xll.dnetGBlackScholesNGreeks("vega",$Q22,$P22,$G22,$I22,$C$3,$J22,$K22,$C$4)*R22</f>
        <v>-5.1953671878416685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43287</v>
      </c>
      <c r="F23" s="62">
        <f t="shared" ca="1" si="12"/>
        <v>43379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10.237633120148985</v>
      </c>
      <c r="M23" s="60">
        <v>0</v>
      </c>
      <c r="N23" s="59">
        <f>M23/10000*I23*P23</f>
        <v>0</v>
      </c>
      <c r="O23" s="59">
        <f t="shared" si="10"/>
        <v>10.237633120148985</v>
      </c>
      <c r="P23" s="111">
        <f>P22</f>
        <v>3098</v>
      </c>
      <c r="Q23" s="60"/>
      <c r="R23" s="60"/>
      <c r="S23" s="56"/>
      <c r="T23" s="64">
        <f>O23/P23</f>
        <v>3.3045942931404083E-3</v>
      </c>
      <c r="U23" s="64">
        <f>U22+U21</f>
        <v>-0.60555189809861076</v>
      </c>
      <c r="V23" s="64">
        <f>V22+V21</f>
        <v>0.40630249659261608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43287</v>
      </c>
      <c r="F26" s="46">
        <f ca="1">E26+H26</f>
        <v>43317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20.253423126401799</v>
      </c>
      <c r="M26" s="49"/>
      <c r="N26" s="43"/>
      <c r="O26" s="43">
        <f t="shared" ref="O26:O31" si="13">IF(L26&lt;=0,ABS(L26)+N26,L26-N26)</f>
        <v>20.253423126401799</v>
      </c>
      <c r="P26" s="110">
        <f>RTD("wdf.rtq",,D26,"LastPrice")</f>
        <v>3778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-0.13938745683503839</v>
      </c>
      <c r="V26" s="43">
        <f>_xll.dnetGBlackScholesNGreeks("vega",$Q26,$P26,$G26,$I26,$C$3,$J26,$K26,$C$4)*R26</f>
        <v>2.4010444878900046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43287</v>
      </c>
      <c r="F27" s="54">
        <f t="shared" ca="1" si="14"/>
        <v>43317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-73.322280509300299</v>
      </c>
      <c r="M27" s="57"/>
      <c r="N27" s="51"/>
      <c r="O27" s="51">
        <f t="shared" si="13"/>
        <v>73.322280509300299</v>
      </c>
      <c r="P27" s="94">
        <f>RTD("wdf.rtq",,D27,"LastPrice")</f>
        <v>3778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-0.36327763335748386</v>
      </c>
      <c r="V27" s="51">
        <f>_xll.dnetGBlackScholesNGreeks("vega",$Q27,$P27,$G27,$I27,$C$3,$J27,$K27,$C$4)*R27</f>
        <v>-4.0599270250894506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43287</v>
      </c>
      <c r="F28" s="62">
        <f t="shared" ca="1" si="15"/>
        <v>43317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-53.0688573828985</v>
      </c>
      <c r="M28" s="60">
        <v>0</v>
      </c>
      <c r="N28" s="59">
        <f>M28/10000*I28*P28</f>
        <v>0</v>
      </c>
      <c r="O28" s="59">
        <f t="shared" si="13"/>
        <v>53.0688573828985</v>
      </c>
      <c r="P28" s="111">
        <f>RTD("wdf.rtq",,D28,"LastPrice")</f>
        <v>3778</v>
      </c>
      <c r="Q28" s="60"/>
      <c r="R28" s="60"/>
      <c r="S28" s="56"/>
      <c r="T28" s="64">
        <f>O28/P28</f>
        <v>1.4046812435918078E-2</v>
      </c>
      <c r="U28" s="64">
        <f>U27+U26</f>
        <v>-0.50266509019252226</v>
      </c>
      <c r="V28" s="64">
        <f>V27+V26</f>
        <v>-1.658882537199446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43287</v>
      </c>
      <c r="F29" s="46">
        <f ca="1">E29+H29</f>
        <v>43317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8.7342201049224286</v>
      </c>
      <c r="M29" s="49"/>
      <c r="N29" s="43"/>
      <c r="O29" s="43">
        <f t="shared" si="13"/>
        <v>8.7342201049224286</v>
      </c>
      <c r="P29" s="110">
        <f>RTD("wdf.rtq",,D29,"LastPrice")</f>
        <v>3778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-6.9515243222895151E-2</v>
      </c>
      <c r="V29" s="43">
        <f>_xll.dnetGBlackScholesNGreeks("vega",$Q29,$P29,$G29,$I29,$C$3,$J29,$K29,$C$4)*R29</f>
        <v>1.4452657852121149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43287</v>
      </c>
      <c r="F30" s="54">
        <f t="shared" ca="1" si="16"/>
        <v>43317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-112.59947454246708</v>
      </c>
      <c r="M30" s="57"/>
      <c r="N30" s="51"/>
      <c r="O30" s="51">
        <f t="shared" si="13"/>
        <v>112.59947454246708</v>
      </c>
      <c r="P30" s="94">
        <f>RTD("wdf.rtq",,D30,"LastPrice")</f>
        <v>3778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-0.48714874230881833</v>
      </c>
      <c r="V30" s="51">
        <f>_xll.dnetGBlackScholesNGreeks("vega",$Q30,$P30,$G30,$I30,$C$3,$J30,$K30,$C$4)*R30</f>
        <v>-4.3119393303041988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43287</v>
      </c>
      <c r="F31" s="62">
        <f t="shared" ca="1" si="17"/>
        <v>43317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-103.86525443754465</v>
      </c>
      <c r="M31" s="60">
        <v>0</v>
      </c>
      <c r="N31" s="59">
        <f>M31/10000*I31*P31</f>
        <v>0</v>
      </c>
      <c r="O31" s="59">
        <f t="shared" si="13"/>
        <v>103.86525443754465</v>
      </c>
      <c r="P31" s="111">
        <f>RTD("wdf.rtq",,D31,"LastPrice")</f>
        <v>3778</v>
      </c>
      <c r="Q31" s="60"/>
      <c r="R31" s="60"/>
      <c r="S31" s="56"/>
      <c r="T31" s="64">
        <f>O31/P31</f>
        <v>2.7492126637783127E-2</v>
      </c>
      <c r="U31" s="64">
        <f>U30+U29</f>
        <v>-0.55666398553171348</v>
      </c>
      <c r="V31" s="64">
        <f>V30+V29</f>
        <v>-2.8666735450920839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43287</v>
      </c>
      <c r="F32" s="46">
        <f ca="1">E32+H32</f>
        <v>43317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3.2360558786291449</v>
      </c>
      <c r="M32" s="49"/>
      <c r="N32" s="43"/>
      <c r="O32" s="43">
        <f t="shared" ref="O32:O34" si="18">IF(L32&lt;=0,ABS(L32)+N32,L32-N32)</f>
        <v>3.2360558786291449</v>
      </c>
      <c r="P32" s="110">
        <f>RTD("wdf.rtq",,D32,"LastPrice")</f>
        <v>3778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-2.9537907148124987E-2</v>
      </c>
      <c r="V32" s="43">
        <f>_xll.dnetGBlackScholesNGreeks("vega",$Q32,$P32,$G32,$I32,$C$3,$J32,$K32,$C$4)*R32</f>
        <v>0.72761135902475615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43287</v>
      </c>
      <c r="F33" s="54">
        <f t="shared" ca="1" si="19"/>
        <v>43317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-45.376229997871064</v>
      </c>
      <c r="M33" s="57"/>
      <c r="N33" s="51"/>
      <c r="O33" s="51">
        <f t="shared" si="18"/>
        <v>45.376229997871064</v>
      </c>
      <c r="P33" s="94">
        <f>RTD("wdf.rtq",,D33,"LastPrice")</f>
        <v>3778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-0.25485607773134689</v>
      </c>
      <c r="V33" s="51">
        <f>_xll.dnetGBlackScholesNGreeks("vega",$Q33,$P33,$G33,$I33,$C$3,$J33,$K33,$C$4)*R33</f>
        <v>-3.4733718578269759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43287</v>
      </c>
      <c r="F34" s="62">
        <f t="shared" ca="1" si="20"/>
        <v>43317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-42.140174119241919</v>
      </c>
      <c r="M34" s="60">
        <v>0</v>
      </c>
      <c r="N34" s="59">
        <f>M34/10000*I34*P34</f>
        <v>0</v>
      </c>
      <c r="O34" s="59">
        <f t="shared" si="18"/>
        <v>42.140174119241919</v>
      </c>
      <c r="P34" s="111">
        <f>RTD("wdf.rtq",,D34,"LastPrice")</f>
        <v>3778</v>
      </c>
      <c r="Q34" s="60"/>
      <c r="R34" s="60"/>
      <c r="S34" s="56"/>
      <c r="T34" s="64">
        <f>O34/P34</f>
        <v>1.1154095849455247E-2</v>
      </c>
      <c r="U34" s="64">
        <f>U33+U32</f>
        <v>-0.28439398487947187</v>
      </c>
      <c r="V34" s="64">
        <f>V33+V32</f>
        <v>-2.7457604988022197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43287</v>
      </c>
      <c r="F36" s="46">
        <f ca="1">E36+H36</f>
        <v>43318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43287</v>
      </c>
      <c r="F37" s="54">
        <f t="shared" ca="1" si="22"/>
        <v>43318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43287</v>
      </c>
      <c r="F38" s="62">
        <f t="shared" ca="1" si="23"/>
        <v>43318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43287</v>
      </c>
      <c r="F39" s="46">
        <f ca="1">E39+H39</f>
        <v>43318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43287</v>
      </c>
      <c r="F40" s="54">
        <f t="shared" ca="1" si="24"/>
        <v>43318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43287</v>
      </c>
      <c r="F41" s="62">
        <f t="shared" ca="1" si="25"/>
        <v>43318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43287</v>
      </c>
      <c r="F42" s="46">
        <f ca="1">E42+H42</f>
        <v>43318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43287</v>
      </c>
      <c r="F43" s="54">
        <f t="shared" ca="1" si="26"/>
        <v>43318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43287</v>
      </c>
      <c r="F44" s="62">
        <f t="shared" ca="1" si="27"/>
        <v>43318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43287</v>
      </c>
      <c r="F46" s="46">
        <f ca="1">E46+H46</f>
        <v>43379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43287</v>
      </c>
      <c r="F47" s="54">
        <f t="shared" ca="1" si="29"/>
        <v>43379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43287</v>
      </c>
      <c r="F48" s="62">
        <f t="shared" ca="1" si="30"/>
        <v>43379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43287</v>
      </c>
      <c r="F49" s="46">
        <f ca="1">E49+H49</f>
        <v>43379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43287</v>
      </c>
      <c r="F50" s="54">
        <f t="shared" ca="1" si="31"/>
        <v>43379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43287</v>
      </c>
      <c r="F51" s="62">
        <f t="shared" ca="1" si="32"/>
        <v>43379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43287</v>
      </c>
      <c r="F52" s="46">
        <f ca="1">E52+H52</f>
        <v>43319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>
        <f>_xll.dnetGBlackScholesNGreeks("price",$Q52,$P52,$G52,$I52,$C$3,$J52,$K52,$C$4)*R52</f>
        <v>-11.91259667794526</v>
      </c>
      <c r="M52" s="49"/>
      <c r="N52" s="43"/>
      <c r="O52" s="43">
        <f t="shared" si="28"/>
        <v>11.91259667794526</v>
      </c>
      <c r="P52" s="110">
        <f>RTD("wdf.rtq",,D52,"LastPrice")</f>
        <v>459.5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>
        <f>_xll.dnetGBlackScholesNGreeks("delta",$Q52,$P52,$G52,$I52,$C$3,$J52,$K52,$C$4)*R52</f>
        <v>0.38981081923594729</v>
      </c>
      <c r="V52" s="43">
        <f>_xll.dnetGBlackScholesNGreeks("vega",$Q52,$P52,$G52,$I52,$C$3,$J52,$K52,$C$4)*R52</f>
        <v>-0.52127178932349238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43287</v>
      </c>
      <c r="F53" s="54">
        <f t="shared" ca="1" si="33"/>
        <v>43319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>
        <f>_xll.dnetGBlackScholesNGreeks("price",$Q53,$P53,$G53,$I53,$C$3,$J53,$K53,$C$4)*R53</f>
        <v>1.1991360352775615</v>
      </c>
      <c r="M53" s="57"/>
      <c r="N53" s="51"/>
      <c r="O53" s="51">
        <f t="shared" si="28"/>
        <v>1.1991360352775615</v>
      </c>
      <c r="P53" s="94">
        <f>P52</f>
        <v>459.5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>
        <f>_xll.dnetGBlackScholesNGreeks("delta",$Q53,$P53,$G53,$I53,$C$3,$J53,$K53,$C$4)*R53</f>
        <v>-7.1237038108762363E-2</v>
      </c>
      <c r="V53" s="51">
        <f>_xll.dnetGBlackScholesNGreeks("vega",$Q53,$P53,$G53,$I53,$C$3,$J53,$K53,$C$4)*R53</f>
        <v>0.1849953365571384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43287</v>
      </c>
      <c r="F54" s="62">
        <f t="shared" ca="1" si="34"/>
        <v>43319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>
        <f>L53+L52</f>
        <v>-10.713460642667698</v>
      </c>
      <c r="M54" s="60">
        <v>0</v>
      </c>
      <c r="N54" s="59">
        <f>M54/10000*I54*P54</f>
        <v>0</v>
      </c>
      <c r="O54" s="59">
        <f t="shared" si="28"/>
        <v>10.713460642667698</v>
      </c>
      <c r="P54" s="111">
        <f>P53</f>
        <v>459.5</v>
      </c>
      <c r="Q54" s="60"/>
      <c r="R54" s="60"/>
      <c r="S54" s="56"/>
      <c r="T54" s="64">
        <f>O54/P54</f>
        <v>2.3315474739211531E-2</v>
      </c>
      <c r="U54" s="64">
        <f>U53+U52</f>
        <v>0.31857378112718493</v>
      </c>
      <c r="V54" s="64">
        <f>V53+V52</f>
        <v>-0.33627645276635398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43287</v>
      </c>
      <c r="F56" s="46">
        <f ca="1">E56+H56</f>
        <v>43326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43287</v>
      </c>
      <c r="F57" s="54">
        <f t="shared" ca="1" si="36"/>
        <v>43326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43287</v>
      </c>
      <c r="F58" s="62">
        <f t="shared" ca="1" si="37"/>
        <v>43326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43287</v>
      </c>
      <c r="F60" s="46">
        <f ca="1">E60+H60</f>
        <v>43319</v>
      </c>
      <c r="G60" s="134">
        <f>P60*0.99</f>
        <v>5542.0199999999995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>
        <f>_xll.dnetGBlackScholesNGreeks("price",$Q60,$P60,$G60,$I60,$C$3,$J60,$K60,$C$4)*R60</f>
        <v>-85.920802658612956</v>
      </c>
      <c r="M60" s="49"/>
      <c r="N60" s="43"/>
      <c r="O60" s="43">
        <f t="shared" ref="O60:O62" si="38">IF(L60&lt;=0,ABS(L60)+N60,L60-N60)</f>
        <v>85.920802658612956</v>
      </c>
      <c r="P60" s="110">
        <f>RTD("wdf.rtq",,D60,"LastPrice")</f>
        <v>5598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>
        <f>_xll.dnetGBlackScholesNGreeks("delta",$Q60,$P60,$G60,$I60,$C$3,$J60,$K60,$C$4)*R60</f>
        <v>0.41033429627077567</v>
      </c>
      <c r="V60" s="43">
        <f>_xll.dnetGBlackScholesNGreeks("vega",$Q60,$P60,$G60,$I60,$C$3,$J60,$K60,$C$4)*R60</f>
        <v>-6.4358123858128238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43287</v>
      </c>
      <c r="F61" s="54">
        <f t="shared" ca="1" si="39"/>
        <v>43319</v>
      </c>
      <c r="G61" s="135">
        <f>P61*0.95</f>
        <v>5318.0999999999995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>
        <f>_xll.dnetGBlackScholesNGreeks("price",$Q61,$P61,$G61,$I61,$C$3,$J61,$K61,$C$4)*R61</f>
        <v>18.316746445411695</v>
      </c>
      <c r="M61" s="57"/>
      <c r="N61" s="51"/>
      <c r="O61" s="51">
        <f t="shared" si="38"/>
        <v>18.316746445411695</v>
      </c>
      <c r="P61" s="94">
        <f>P60</f>
        <v>5598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>
        <f>_xll.dnetGBlackScholesNGreeks("delta",$Q61,$P61,$G61,$I61,$C$3,$J61,$K61,$C$4)*R61</f>
        <v>-0.13404207372786914</v>
      </c>
      <c r="V61" s="51">
        <f>_xll.dnetGBlackScholesNGreeks("vega",$Q61,$P61,$G61,$I61,$C$3,$J61,$K61,$C$4)*R61</f>
        <v>3.5742951955637068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43287</v>
      </c>
      <c r="F62" s="62">
        <f t="shared" ca="1" si="40"/>
        <v>43319</v>
      </c>
      <c r="G62" s="60" t="str">
        <f>G60 &amp; "|" &amp; G61</f>
        <v>5542.02|5318.1</v>
      </c>
      <c r="H62" s="60">
        <f>H61</f>
        <v>32</v>
      </c>
      <c r="I62" s="63">
        <f>I61</f>
        <v>8.7671232876712329E-2</v>
      </c>
      <c r="J62" s="63"/>
      <c r="K62" s="60"/>
      <c r="L62" s="59">
        <f>L61+L60</f>
        <v>-67.604056213201261</v>
      </c>
      <c r="M62" s="60"/>
      <c r="N62" s="59">
        <f>M62/10000*I62*P62</f>
        <v>0</v>
      </c>
      <c r="O62" s="59">
        <f t="shared" si="38"/>
        <v>67.604056213201261</v>
      </c>
      <c r="P62" s="111">
        <f>P61</f>
        <v>5598</v>
      </c>
      <c r="Q62" s="60"/>
      <c r="R62" s="60"/>
      <c r="S62" s="56"/>
      <c r="T62" s="64">
        <f>O62/P62</f>
        <v>1.2076465918756924E-2</v>
      </c>
      <c r="U62" s="64">
        <f>U61+U60</f>
        <v>0.27629222254290653</v>
      </c>
      <c r="V62" s="64">
        <f>V61+V60</f>
        <v>-2.861517190249117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43287</v>
      </c>
      <c r="F64" s="46">
        <f ca="1">E64+H64</f>
        <v>43319</v>
      </c>
      <c r="G64" s="134">
        <f>P64</f>
        <v>49350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>
        <f>_xll.dnetGBlackScholesNGreeks("price",$Q64,$P64,$G64,$I64,$C$3,$J64,$K64,$C$4)*R64</f>
        <v>-1018.248414464626</v>
      </c>
      <c r="M64" s="49"/>
      <c r="N64" s="43"/>
      <c r="O64" s="43">
        <f t="shared" ref="O64:O66" si="41">IF(L64&lt;=0,ABS(L64)+N64,L64-N64)</f>
        <v>1018.248414464626</v>
      </c>
      <c r="P64" s="110">
        <f>RTD("wdf.rtq",,D64,"LastPrice")</f>
        <v>49350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>
        <f>_xll.dnetGBlackScholesNGreeks("delta",$Q64,$P64,$G64,$I64,$C$3,$J64,$K64,$C$4)*R64</f>
        <v>-0.5094406560601783</v>
      </c>
      <c r="V64" s="43">
        <f>_xll.dnetGBlackScholesNGreeks("vega",$Q64,$P64,$G64,$I64,$C$3,$J64,$K64,$C$4)*R64</f>
        <v>-58.172584911611921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43287</v>
      </c>
      <c r="F65" s="54">
        <f t="shared" ca="1" si="42"/>
        <v>43319</v>
      </c>
      <c r="G65" s="135">
        <f>G64+2000</f>
        <v>51350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>
        <f>_xll.dnetGBlackScholesNGreeks("price",$Q65,$P65,$G65,$I65,$C$3,$J65,$K65,$C$4)*R65</f>
        <v>288.28419530587416</v>
      </c>
      <c r="M65" s="57"/>
      <c r="N65" s="51"/>
      <c r="O65" s="51">
        <f t="shared" si="41"/>
        <v>288.28419530587416</v>
      </c>
      <c r="P65" s="94">
        <f>P64</f>
        <v>49350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>
        <f>_xll.dnetGBlackScholesNGreeks("delta",$Q65,$P65,$G65,$I65,$C$3,$J65,$K65,$C$4)*R65</f>
        <v>0.21475782768902718</v>
      </c>
      <c r="V65" s="51">
        <f>_xll.dnetGBlackScholesNGreeks("vega",$Q65,$P65,$G65,$I65,$C$3,$J65,$K65,$C$4)*R65</f>
        <v>42.595678021636559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43287</v>
      </c>
      <c r="F66" s="62">
        <f t="shared" ca="1" si="43"/>
        <v>43319</v>
      </c>
      <c r="G66" s="60" t="str">
        <f>G64 &amp; "|" &amp; G65</f>
        <v>49350|51350</v>
      </c>
      <c r="H66" s="60">
        <f>H65</f>
        <v>32</v>
      </c>
      <c r="I66" s="63">
        <f>I65</f>
        <v>8.7671232876712329E-2</v>
      </c>
      <c r="J66" s="63"/>
      <c r="K66" s="60"/>
      <c r="L66" s="59">
        <f>L65+L64</f>
        <v>-729.9642191587518</v>
      </c>
      <c r="M66" s="60">
        <v>70</v>
      </c>
      <c r="N66" s="59">
        <f>M66/10000*I66*P66</f>
        <v>30.286027397260273</v>
      </c>
      <c r="O66" s="59">
        <f t="shared" si="41"/>
        <v>760.25024655601203</v>
      </c>
      <c r="P66" s="111">
        <f>P65</f>
        <v>49350</v>
      </c>
      <c r="Q66" s="60"/>
      <c r="R66" s="60"/>
      <c r="S66" s="56"/>
      <c r="T66" s="64">
        <f>O66/P66</f>
        <v>1.5405273486444012E-2</v>
      </c>
      <c r="U66" s="64">
        <f>U65+U64</f>
        <v>-0.29468282837115112</v>
      </c>
      <c r="V66" s="64">
        <f>V65+V64</f>
        <v>-15.576906889975362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43287</v>
      </c>
      <c r="F68" s="46">
        <f ca="1">E68+H68</f>
        <v>43652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43287</v>
      </c>
      <c r="F69" s="54">
        <f t="shared" ca="1" si="45"/>
        <v>43652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43287</v>
      </c>
      <c r="F70" s="62">
        <f t="shared" ca="1" si="46"/>
        <v>43652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5" spans="1:22" x14ac:dyDescent="0.15">
      <c r="L75" s="137"/>
    </row>
    <row r="76" spans="1:22" x14ac:dyDescent="0.15">
      <c r="L76" s="6">
        <f>3</f>
        <v>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>
          <x14:formula1>
            <xm:f>configs!$A$1:$A$36</xm:f>
          </x14:formula1>
          <xm:sqref>C8:C16 C18:C23 C26:C34 C36:C44 C46:C54 C56:C58 C60:C62 C64:C66 C68:C70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8" t="s">
        <v>158</v>
      </c>
      <c r="C1" s="138"/>
      <c r="D1" s="13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43287</v>
      </c>
      <c r="L10" s="38">
        <f ca="1">pricer_sf!N11</f>
        <v>43378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43287</v>
      </c>
      <c r="L11" s="38">
        <f ca="1">pricer_sf!N12</f>
        <v>43378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43287</v>
      </c>
      <c r="L12" s="38">
        <f ca="1">pricer_sf!N13</f>
        <v>43378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43287</v>
      </c>
      <c r="L13" s="38">
        <f ca="1">pricer_sf!N14</f>
        <v>43470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43287</v>
      </c>
      <c r="L14" s="38">
        <f ca="1">pricer_sf!N15</f>
        <v>43470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98.843460706805388</v>
      </c>
      <c r="J15" s="10">
        <v>5</v>
      </c>
      <c r="K15" s="38">
        <f ca="1">pricer_sf!M16</f>
        <v>43287</v>
      </c>
      <c r="L15" s="38">
        <f ca="1">pricer_sf!N16</f>
        <v>43320</v>
      </c>
      <c r="M15" s="10">
        <v>30</v>
      </c>
      <c r="N15" s="10">
        <f>pricer_sf!P16</f>
        <v>9.0410958904109592E-2</v>
      </c>
      <c r="O15" s="10">
        <f>pricer_sf!Q16</f>
        <v>-2.5000000000000001E-2</v>
      </c>
      <c r="P15" s="10">
        <f>pricer_sf!R16</f>
        <v>8.5000000000000006E-2</v>
      </c>
      <c r="Q15" s="10">
        <f>pricer_sf!S16</f>
        <v>-6.7949621176519965</v>
      </c>
      <c r="R15" s="10">
        <f>pricer_sf!T16</f>
        <v>0</v>
      </c>
      <c r="S15" s="10">
        <f>pricer_sf!U16</f>
        <v>0</v>
      </c>
      <c r="T15" s="13">
        <f>pricer_sf!V16</f>
        <v>6.7949621176519965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K16" sqref="K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3" t="s">
        <v>38</v>
      </c>
      <c r="C1" s="16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43287</v>
      </c>
      <c r="N8" s="21">
        <f ca="1">M8+O8</f>
        <v>43317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43287</v>
      </c>
      <c r="N9" s="8">
        <f ca="1">M9+O9</f>
        <v>43467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43287</v>
      </c>
      <c r="N11" s="8">
        <f t="shared" ref="N11:N16" ca="1" si="2">M11+O11</f>
        <v>43378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43287</v>
      </c>
      <c r="N12" s="8">
        <f t="shared" ca="1" si="2"/>
        <v>43378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43287</v>
      </c>
      <c r="N13" s="8">
        <f t="shared" ca="1" si="2"/>
        <v>43378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43287</v>
      </c>
      <c r="N14" s="8">
        <f t="shared" ca="1" si="2"/>
        <v>43470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43287</v>
      </c>
      <c r="N15" s="8">
        <f t="shared" ca="1" si="2"/>
        <v>43470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100</v>
      </c>
      <c r="J16" s="10">
        <v>99.1</v>
      </c>
      <c r="K16" s="10">
        <f>_xll.dnetDiscreteAdjustedBarrier($H16,$J16,$R16,1/365)</f>
        <v>98.843460706805388</v>
      </c>
      <c r="L16" s="37">
        <v>0.1</v>
      </c>
      <c r="M16" s="8">
        <f t="shared" ca="1" si="1"/>
        <v>43287</v>
      </c>
      <c r="N16" s="8">
        <f t="shared" ca="1" si="2"/>
        <v>43320</v>
      </c>
      <c r="O16" s="10">
        <v>33</v>
      </c>
      <c r="P16" s="12">
        <f t="shared" si="3"/>
        <v>9.0410958904109592E-2</v>
      </c>
      <c r="Q16" s="12">
        <v>-2.5000000000000001E-2</v>
      </c>
      <c r="R16" s="9">
        <v>8.5000000000000006E-2</v>
      </c>
      <c r="S16" s="13">
        <f>_xll.dnetStandardBarrierNGreeks("price",G16,H16,I16,K16,L16*H16,P16,$C$3,Q16,R16,$C$4)*E16</f>
        <v>-6.7949621176519965</v>
      </c>
      <c r="T16" s="15">
        <v>0</v>
      </c>
      <c r="U16" s="13">
        <f t="shared" si="4"/>
        <v>0</v>
      </c>
      <c r="V16" s="13">
        <f t="shared" si="5"/>
        <v>6.7949621176519965</v>
      </c>
      <c r="W16" s="14">
        <f t="shared" si="6"/>
        <v>6.7949621176519967E-2</v>
      </c>
      <c r="X16" s="13">
        <f>_xll.dnetStandardBarrierNGreeks("delta",G16,H16,I16,K16,L16*H16,P16,$C$3,Q16,R16,$C$4)</f>
        <v>-2.6730247710068156</v>
      </c>
      <c r="Y16" s="13">
        <f>_xll.dnetStandardBarrierNGreeks("vega",G16,H16,I16,K16,L16*H16,P16,$C$3,Q16,R16,$C$4)</f>
        <v>0.34062597809561979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2018-07-06T06:45:13Z</dcterms:modified>
</cp:coreProperties>
</file>