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1" i="1" l="1"/>
  <c r="I11" i="1"/>
  <c r="E11" i="1"/>
  <c r="F11" i="1" s="1"/>
  <c r="R10" i="1"/>
  <c r="I10" i="1"/>
  <c r="E10" i="1"/>
  <c r="F10" i="1" s="1"/>
  <c r="P11" i="1"/>
  <c r="V11" i="1"/>
  <c r="P10" i="1"/>
  <c r="N11" i="1" l="1"/>
  <c r="G10" i="1"/>
  <c r="N10" i="1"/>
  <c r="D23" i="2"/>
  <c r="L11" i="1"/>
  <c r="U11" i="1"/>
  <c r="V10" i="1"/>
  <c r="L10" i="1"/>
  <c r="U10" i="1"/>
  <c r="O11" i="1" l="1"/>
  <c r="T11" i="1" s="1"/>
  <c r="O10" i="1"/>
  <c r="T10" i="1" s="1"/>
  <c r="D26" i="2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9" i="9"/>
  <c r="M8" i="9"/>
  <c r="V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O10" i="7"/>
  <c r="H8" i="7"/>
  <c r="H8" i="8"/>
  <c r="U10" i="7"/>
  <c r="T9" i="7"/>
  <c r="U9" i="7"/>
  <c r="K9" i="8"/>
  <c r="T10" i="7"/>
  <c r="U8" i="8" l="1"/>
  <c r="Q9" i="7"/>
  <c r="R9" i="7" s="1"/>
  <c r="S9" i="7" s="1"/>
  <c r="Q10" i="7"/>
  <c r="R10" i="7" s="1"/>
  <c r="S10" i="7" s="1"/>
  <c r="Q8" i="7"/>
  <c r="K8" i="8"/>
  <c r="Y9" i="8"/>
  <c r="T8" i="7"/>
  <c r="U8" i="7"/>
  <c r="S9" i="8"/>
  <c r="O8" i="7"/>
  <c r="X9" i="8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V9" i="1"/>
  <c r="P8" i="1"/>
  <c r="U9" i="1"/>
  <c r="L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<sst xmlns="http://schemas.openxmlformats.org/spreadsheetml/2006/main" count="597" uniqueCount="200">
  <si>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</si>
  <si>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</si>
  <si>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</si>
  <si>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</si>
  <si>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</si>
  <si>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</si>
  <si>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</si>
  <si>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</si>
  <si>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</si>
  <si>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</si>
  <si>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</si>
  <si>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</si>
  <si>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</si>
  <si>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</si>
  <si>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</si>
  <si>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</si>
  <si>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</si>
  <si>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</si>
  <si>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</si>
  <si>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</si>
  <si>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</si>
  <si>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</si>
  <si>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</si>
  <si>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</si>
  <si>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</si>
  <si>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</si>
  <si>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</si>
  <si>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</si>
  <si>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</si>
  <si>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</si>
  <si>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</si>
  <si>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</si>
  <si>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</si>
  <si>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</si>
  <si>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</si>
  <si>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</si>
  <si>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</si>
  <si>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</si>
  <si>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</si>
  <si>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</si>
  <si>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</si>
  <si>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</si>
  <si>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</si>
  <si>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</si>
  <si>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</si>
  <si>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</si>
  <si>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</si>
  <si>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</si>
  <si>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</si>
  <si>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</si>
  <si>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</si>
  <si>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</si>
  <si>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</si>
  <si>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</si>
  <si>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</si>
  <si>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</si>
  <si>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</si>
  <si>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</si>
  <si>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</si>
  <si>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</si>
  <si>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</si>
  <si>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</si>
  <si>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</si>
  <si>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</si>
  <si>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</si>
  <si>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</si>
  <si>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</si>
  <si>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</si>
  <si>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</si>
  <si>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</si>
  <si>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</si>
  <si>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</si>
  <si>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</si>
  <si>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</si>
  <si>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</si>
  <si>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</si>
  <si>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</si>
  <si>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</si>
  <si>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</si>
  <si>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</si>
  <si>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</si>
  <si>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</si>
  <si>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</si>
  <si>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</si>
  <si>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</si>
  <si>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</si>
  <si>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</si>
  <si>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</si>
  <si>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</si>
  <si>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</si>
  <si>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</si>
  <si>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</si>
  <si>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</si>
  <si>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</si>
  <si>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</si>
  <si>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</si>
  <si>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</si>
  <si>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</si>
  <si>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</si>
  <si>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</si>
  <si>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</si>
  <si>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</si>
  <si>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</si>
  <si>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</si>
  <si>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</si>
  <si>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</si>
  <si>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</si>
  <si>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</si>
  <si>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</si>
  <si>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</si>
  <si>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</si>
  <si>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</si>
  <si>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</si>
  <si>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</si>
  <si>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</si>
  <si>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</si>
  <si>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</si>
  <si>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</si>
  <si>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</si>
  <si>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</si>
  <si>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</si>
  <si>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</si>
  <si>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</si>
  <si>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</si>
  <si>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</si>
  <si>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</si>
  <si>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</si>
  <si>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</si>
  <si>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</si>
  <si>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</si>
  <si>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</si>
  <si>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</si>
  <si>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</si>
  <si>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</si>
  <si>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</si>
  <si>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</si>
  <si>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</si>
  <si>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</si>
  <si>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</si>
  <si>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</si>
  <si>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</si>
  <si>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</si>
  <si>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</si>
  <si>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</si>
  <si>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</si>
  <si>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</si>
  <si>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</si>
  <si>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</si>
  <si>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</si>
  <si>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</si>
  <si>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</si>
  <si>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</si>
  <si>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</si>
  <si>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</si>
  <si>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</si>
  <si>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</si>
  <si>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</si>
  <si>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</si>
  <si>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</si>
  <si>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</si>
  <si>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</si>
  <si>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</si>
  <si>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</si>
  <si>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</si>
  <si>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</si>
  <si>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</si>
  <si>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</si>
  <si>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</si>
  <si>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</si>
  <si>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</si>
  <si>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</si>
  <si>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</si>
  <si>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</si>
  <si>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</si>
  <si>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</si>
  <si>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</si>
  <si>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</si>
  <si>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</si>
  <si>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</si>
  <si>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</si>
  <si>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</si>
  <si>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</si>
  <si>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</si>
  <si>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</si>
  <si>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</si>
  <si>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</si>
  <si>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</si>
  <si>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</si>
  <si>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</si>
  <si>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</si>
  <si>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</si>
  <si>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</si>
  <si>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</si>
  <si>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</si>
  <si>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</si>
  <si>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</si>
  <si>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</si>
  <si>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ru1805</t>
  </si>
  <si>
    <t>RB1810</t>
    <phoneticPr fontId="1" type="noConversion"/>
  </si>
  <si>
    <t>al1804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</si>
</sst>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14" fontId="28" fillId="10" borderId="3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28" fillId="10" borderId="0" xfId="0" applyNumberFormat="1" applyFont="1" applyFill="1" applyBorder="1" applyAlignment="1">
      <alignment horizontal="right" vertic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14405</v>
        <stp/>
        <stp>al1804</stp>
        <stp>LastPrice</stp>
        <tr r="P11" s="1"/>
      </tp>
      <tp>
        <v>3967</v>
        <stp/>
        <stp>RB1805</stp>
        <stp>LastPrice</stp>
        <tr r="P8" s="1"/>
        <tr r="H8" s="8"/>
        <tr r="H8" s="7"/>
      </tp>
      <tp>
        <v>3800</v>
        <stp/>
        <stp>RB1810</stp>
        <stp>LastPrice</stp>
        <tr r="P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6"/>
  <sheetViews>
    <sheetView topLeftCell="A4" zoomScaleNormal="100" workbookViewId="0">
      <selection activeCell="N32" sqref="N32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197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197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197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zoomScale="115" zoomScaleNormal="115" workbookViewId="0">
      <pane ySplit="17" topLeftCell="A18" activePane="bottomLeft" state="frozen"/>
      <selection pane="bottomLeft" activeCell="D32" sqref="D32:E32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79" t="s">
        <v>118</v>
      </c>
      <c r="C1" s="179"/>
    </row>
    <row r="2" spans="2:20" ht="11.25" thickTop="1" x14ac:dyDescent="0.15"/>
    <row r="3" spans="2:20" ht="11.25" thickBot="1" x14ac:dyDescent="0.2">
      <c r="B3" s="180" t="s">
        <v>119</v>
      </c>
      <c r="C3" s="180"/>
      <c r="D3" s="180"/>
      <c r="E3" s="180"/>
      <c r="G3" s="183" t="s">
        <v>120</v>
      </c>
      <c r="H3" s="183"/>
      <c r="I3" s="183"/>
      <c r="J3" s="183"/>
      <c r="L3" s="180" t="s">
        <v>165</v>
      </c>
      <c r="M3" s="180"/>
      <c r="N3" s="180"/>
      <c r="O3" s="180"/>
      <c r="Q3" s="183" t="s">
        <v>166</v>
      </c>
      <c r="R3" s="183"/>
      <c r="S3" s="183"/>
      <c r="T3" s="183"/>
    </row>
    <row r="4" spans="2:20" ht="12" thickTop="1" thickBot="1" x14ac:dyDescent="0.2">
      <c r="B4" s="175" t="s">
        <v>121</v>
      </c>
      <c r="C4" s="175"/>
      <c r="D4" s="175"/>
      <c r="E4" s="175"/>
      <c r="G4" s="175" t="s">
        <v>34</v>
      </c>
      <c r="H4" s="175"/>
      <c r="I4" s="175"/>
      <c r="J4" s="175"/>
      <c r="L4" s="175" t="s">
        <v>121</v>
      </c>
      <c r="M4" s="175"/>
      <c r="N4" s="175"/>
      <c r="O4" s="175"/>
      <c r="Q4" s="175" t="s">
        <v>34</v>
      </c>
      <c r="R4" s="175"/>
      <c r="S4" s="175"/>
      <c r="T4" s="175"/>
    </row>
    <row r="5" spans="2:20" ht="15" customHeight="1" thickTop="1" x14ac:dyDescent="0.15">
      <c r="B5" s="166" t="s">
        <v>122</v>
      </c>
      <c r="C5" s="166"/>
      <c r="D5" s="181"/>
      <c r="E5" s="182"/>
      <c r="G5" s="166" t="s">
        <v>123</v>
      </c>
      <c r="H5" s="166"/>
      <c r="I5" s="158"/>
      <c r="J5" s="159"/>
      <c r="L5" s="156" t="s">
        <v>122</v>
      </c>
      <c r="M5" s="157"/>
      <c r="N5" s="158"/>
      <c r="O5" s="159"/>
      <c r="Q5" s="166" t="s">
        <v>123</v>
      </c>
      <c r="R5" s="166"/>
      <c r="S5" s="158"/>
      <c r="T5" s="159"/>
    </row>
    <row r="6" spans="2:20" x14ac:dyDescent="0.15">
      <c r="B6" s="166" t="s">
        <v>124</v>
      </c>
      <c r="C6" s="166"/>
      <c r="D6" s="167" t="s">
        <v>125</v>
      </c>
      <c r="E6" s="168"/>
      <c r="G6" s="166" t="s">
        <v>126</v>
      </c>
      <c r="H6" s="166"/>
      <c r="I6" s="167"/>
      <c r="J6" s="168"/>
      <c r="L6" s="166" t="s">
        <v>124</v>
      </c>
      <c r="M6" s="166"/>
      <c r="N6" s="167" t="s">
        <v>125</v>
      </c>
      <c r="O6" s="168"/>
      <c r="Q6" s="166" t="s">
        <v>126</v>
      </c>
      <c r="R6" s="166"/>
      <c r="S6" s="167"/>
      <c r="T6" s="168"/>
    </row>
    <row r="7" spans="2:20" x14ac:dyDescent="0.15">
      <c r="B7" s="166" t="s">
        <v>127</v>
      </c>
      <c r="C7" s="166"/>
      <c r="D7" s="167" t="s">
        <v>125</v>
      </c>
      <c r="E7" s="168"/>
      <c r="G7" s="166" t="s">
        <v>128</v>
      </c>
      <c r="H7" s="166"/>
      <c r="I7" s="167"/>
      <c r="J7" s="168"/>
      <c r="L7" s="166" t="s">
        <v>127</v>
      </c>
      <c r="M7" s="166"/>
      <c r="N7" s="167" t="s">
        <v>125</v>
      </c>
      <c r="O7" s="168"/>
      <c r="Q7" s="166" t="s">
        <v>128</v>
      </c>
      <c r="R7" s="166"/>
      <c r="S7" s="167"/>
      <c r="T7" s="168"/>
    </row>
    <row r="8" spans="2:20" x14ac:dyDescent="0.15">
      <c r="B8" s="166" t="s">
        <v>129</v>
      </c>
      <c r="C8" s="166"/>
      <c r="D8" s="167">
        <f>D13*D15</f>
        <v>305000</v>
      </c>
      <c r="E8" s="168"/>
      <c r="G8" s="166" t="s">
        <v>130</v>
      </c>
      <c r="H8" s="166"/>
      <c r="I8" s="167"/>
      <c r="J8" s="168"/>
      <c r="L8" s="166" t="s">
        <v>129</v>
      </c>
      <c r="M8" s="166"/>
      <c r="N8" s="167">
        <f>N14*N16</f>
        <v>305000</v>
      </c>
      <c r="O8" s="168"/>
      <c r="Q8" s="166" t="s">
        <v>130</v>
      </c>
      <c r="R8" s="166"/>
      <c r="S8" s="167"/>
      <c r="T8" s="168"/>
    </row>
    <row r="9" spans="2:20" x14ac:dyDescent="0.15">
      <c r="B9" s="166" t="s">
        <v>131</v>
      </c>
      <c r="C9" s="166"/>
      <c r="D9" s="167" t="s">
        <v>132</v>
      </c>
      <c r="E9" s="168"/>
      <c r="G9" s="166" t="s">
        <v>133</v>
      </c>
      <c r="H9" s="166"/>
      <c r="I9" s="167"/>
      <c r="J9" s="168"/>
      <c r="L9" s="166" t="s">
        <v>131</v>
      </c>
      <c r="M9" s="166"/>
      <c r="N9" s="167" t="s">
        <v>132</v>
      </c>
      <c r="O9" s="168"/>
      <c r="Q9" s="166" t="s">
        <v>133</v>
      </c>
      <c r="R9" s="166"/>
      <c r="S9" s="167"/>
      <c r="T9" s="168"/>
    </row>
    <row r="10" spans="2:20" x14ac:dyDescent="0.15">
      <c r="B10" s="166" t="s">
        <v>134</v>
      </c>
      <c r="C10" s="166"/>
      <c r="D10" s="167">
        <v>43084</v>
      </c>
      <c r="E10" s="168"/>
      <c r="G10" s="160" t="s">
        <v>135</v>
      </c>
      <c r="H10" s="160"/>
      <c r="I10" s="167"/>
      <c r="J10" s="168"/>
      <c r="L10" s="166" t="s">
        <v>134</v>
      </c>
      <c r="M10" s="166"/>
      <c r="N10" s="167">
        <v>43084</v>
      </c>
      <c r="O10" s="168"/>
      <c r="Q10" s="160" t="s">
        <v>135</v>
      </c>
      <c r="R10" s="160"/>
      <c r="S10" s="167"/>
      <c r="T10" s="168"/>
    </row>
    <row r="11" spans="2:20" x14ac:dyDescent="0.15">
      <c r="B11" s="166" t="s">
        <v>136</v>
      </c>
      <c r="C11" s="166"/>
      <c r="D11" s="167">
        <v>3935</v>
      </c>
      <c r="E11" s="168"/>
      <c r="G11" s="166" t="s">
        <v>137</v>
      </c>
      <c r="H11" s="166"/>
      <c r="I11" s="167"/>
      <c r="J11" s="168"/>
      <c r="L11" s="166" t="s">
        <v>136</v>
      </c>
      <c r="M11" s="166"/>
      <c r="N11" s="167">
        <v>3935</v>
      </c>
      <c r="O11" s="168"/>
      <c r="Q11" s="166" t="s">
        <v>137</v>
      </c>
      <c r="R11" s="166"/>
      <c r="S11" s="167"/>
      <c r="T11" s="168"/>
    </row>
    <row r="12" spans="2:20" x14ac:dyDescent="0.15">
      <c r="B12" s="166" t="s">
        <v>138</v>
      </c>
      <c r="C12" s="166"/>
      <c r="D12" s="167">
        <v>3800</v>
      </c>
      <c r="E12" s="168"/>
      <c r="G12" s="166" t="s">
        <v>139</v>
      </c>
      <c r="H12" s="166"/>
      <c r="I12" s="167"/>
      <c r="J12" s="168"/>
      <c r="L12" s="166" t="s">
        <v>163</v>
      </c>
      <c r="M12" s="166"/>
      <c r="N12" s="167">
        <v>3800</v>
      </c>
      <c r="O12" s="168"/>
      <c r="Q12" s="166" t="s">
        <v>167</v>
      </c>
      <c r="R12" s="166"/>
      <c r="S12" s="167"/>
      <c r="T12" s="168"/>
    </row>
    <row r="13" spans="2:20" x14ac:dyDescent="0.15">
      <c r="B13" s="166" t="s">
        <v>140</v>
      </c>
      <c r="C13" s="166"/>
      <c r="D13" s="167">
        <v>61</v>
      </c>
      <c r="E13" s="168"/>
      <c r="G13" s="166" t="s">
        <v>141</v>
      </c>
      <c r="H13" s="166"/>
      <c r="I13" s="167"/>
      <c r="J13" s="168"/>
      <c r="L13" s="166" t="s">
        <v>164</v>
      </c>
      <c r="M13" s="166"/>
      <c r="N13" s="167">
        <v>3800</v>
      </c>
      <c r="O13" s="168"/>
      <c r="Q13" s="166" t="s">
        <v>168</v>
      </c>
      <c r="R13" s="166"/>
      <c r="S13" s="167"/>
      <c r="T13" s="168"/>
    </row>
    <row r="14" spans="2:20" x14ac:dyDescent="0.15">
      <c r="B14" s="166" t="s">
        <v>142</v>
      </c>
      <c r="C14" s="166"/>
      <c r="D14" s="167" t="s">
        <v>143</v>
      </c>
      <c r="E14" s="168"/>
      <c r="G14" s="166" t="s">
        <v>144</v>
      </c>
      <c r="H14" s="166"/>
      <c r="I14" s="161"/>
      <c r="J14" s="162"/>
      <c r="L14" s="166" t="s">
        <v>140</v>
      </c>
      <c r="M14" s="166"/>
      <c r="N14" s="167">
        <v>61</v>
      </c>
      <c r="O14" s="168"/>
      <c r="Q14" s="166" t="s">
        <v>141</v>
      </c>
      <c r="R14" s="166"/>
      <c r="S14" s="167"/>
      <c r="T14" s="168"/>
    </row>
    <row r="15" spans="2:20" x14ac:dyDescent="0.15">
      <c r="B15" s="166" t="s">
        <v>145</v>
      </c>
      <c r="C15" s="166"/>
      <c r="D15" s="167">
        <v>5000</v>
      </c>
      <c r="E15" s="168"/>
      <c r="G15" s="166" t="s">
        <v>146</v>
      </c>
      <c r="H15" s="166"/>
      <c r="I15" s="167"/>
      <c r="J15" s="168"/>
      <c r="L15" s="166" t="s">
        <v>142</v>
      </c>
      <c r="M15" s="166"/>
      <c r="N15" s="167" t="s">
        <v>143</v>
      </c>
      <c r="O15" s="168"/>
      <c r="Q15" s="166" t="s">
        <v>144</v>
      </c>
      <c r="R15" s="166"/>
      <c r="S15" s="161"/>
      <c r="T15" s="162"/>
    </row>
    <row r="16" spans="2:20" ht="11.25" thickBot="1" x14ac:dyDescent="0.2">
      <c r="B16" s="171" t="s">
        <v>147</v>
      </c>
      <c r="C16" s="171"/>
      <c r="D16" s="172" t="s">
        <v>148</v>
      </c>
      <c r="E16" s="173"/>
      <c r="G16" s="171" t="s">
        <v>149</v>
      </c>
      <c r="H16" s="171"/>
      <c r="I16" s="172"/>
      <c r="J16" s="173"/>
      <c r="L16" s="166" t="s">
        <v>145</v>
      </c>
      <c r="M16" s="166"/>
      <c r="N16" s="167">
        <v>5000</v>
      </c>
      <c r="O16" s="168"/>
      <c r="Q16" s="166" t="s">
        <v>146</v>
      </c>
      <c r="R16" s="166"/>
      <c r="S16" s="167"/>
      <c r="T16" s="168"/>
    </row>
    <row r="17" spans="2:20" ht="12" thickTop="1" thickBot="1" x14ac:dyDescent="0.2">
      <c r="L17" s="171" t="s">
        <v>147</v>
      </c>
      <c r="M17" s="171"/>
      <c r="N17" s="172" t="s">
        <v>148</v>
      </c>
      <c r="O17" s="173"/>
      <c r="Q17" s="171" t="s">
        <v>149</v>
      </c>
      <c r="R17" s="171"/>
      <c r="S17" s="172"/>
      <c r="T17" s="173"/>
    </row>
    <row r="18" spans="2:20" ht="11.25" thickTop="1" x14ac:dyDescent="0.15"/>
    <row r="19" spans="2:20" x14ac:dyDescent="0.15">
      <c r="B19" s="163" t="s">
        <v>150</v>
      </c>
    </row>
    <row r="21" spans="2:20" ht="11.25" thickBot="1" x14ac:dyDescent="0.2">
      <c r="B21" s="164"/>
      <c r="C21" s="164"/>
      <c r="D21" s="164"/>
      <c r="E21" s="164"/>
      <c r="G21" s="164"/>
      <c r="H21" s="164"/>
      <c r="I21" s="164"/>
      <c r="J21" s="164"/>
    </row>
    <row r="22" spans="2:20" ht="12" thickTop="1" thickBot="1" x14ac:dyDescent="0.2">
      <c r="B22" s="175" t="s">
        <v>121</v>
      </c>
      <c r="C22" s="175"/>
      <c r="D22" s="175"/>
      <c r="E22" s="175"/>
      <c r="G22" s="175" t="s">
        <v>121</v>
      </c>
      <c r="H22" s="175"/>
      <c r="I22" s="175"/>
      <c r="J22" s="175"/>
    </row>
    <row r="23" spans="2:20" ht="11.25" thickTop="1" x14ac:dyDescent="0.15">
      <c r="B23" s="166" t="s">
        <v>122</v>
      </c>
      <c r="C23" s="166"/>
      <c r="D23" s="174">
        <f ca="1">TODAY()</f>
        <v>43136</v>
      </c>
      <c r="E23" s="176"/>
      <c r="G23" s="156" t="s">
        <v>122</v>
      </c>
      <c r="H23" s="157"/>
      <c r="I23" s="177"/>
      <c r="J23" s="178"/>
    </row>
    <row r="24" spans="2:20" x14ac:dyDescent="0.15">
      <c r="B24" s="166" t="s">
        <v>124</v>
      </c>
      <c r="C24" s="166"/>
      <c r="D24" s="167" t="s">
        <v>195</v>
      </c>
      <c r="E24" s="168"/>
      <c r="G24" s="166" t="s">
        <v>183</v>
      </c>
      <c r="H24" s="166"/>
      <c r="I24" s="167"/>
      <c r="J24" s="168"/>
    </row>
    <row r="25" spans="2:20" x14ac:dyDescent="0.15">
      <c r="B25" s="166" t="s">
        <v>127</v>
      </c>
      <c r="C25" s="166"/>
      <c r="D25" s="167" t="s">
        <v>196</v>
      </c>
      <c r="E25" s="168"/>
      <c r="G25" s="166" t="s">
        <v>181</v>
      </c>
      <c r="H25" s="166"/>
      <c r="I25" s="167"/>
      <c r="J25" s="168"/>
    </row>
    <row r="26" spans="2:20" x14ac:dyDescent="0.15">
      <c r="B26" s="166" t="s">
        <v>129</v>
      </c>
      <c r="C26" s="166"/>
      <c r="D26" s="167">
        <f>D31*D33</f>
        <v>430000</v>
      </c>
      <c r="E26" s="168"/>
      <c r="G26" s="160" t="s">
        <v>182</v>
      </c>
      <c r="H26" s="160"/>
      <c r="I26" s="167"/>
      <c r="J26" s="168"/>
    </row>
    <row r="27" spans="2:20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/>
      <c r="J27" s="168"/>
    </row>
    <row r="28" spans="2:20" x14ac:dyDescent="0.15">
      <c r="B28" s="166" t="s">
        <v>134</v>
      </c>
      <c r="C28" s="166"/>
      <c r="D28" s="174">
        <v>43205</v>
      </c>
      <c r="E28" s="168"/>
      <c r="G28" s="166" t="s">
        <v>134</v>
      </c>
      <c r="H28" s="166"/>
      <c r="I28" s="174"/>
      <c r="J28" s="168"/>
    </row>
    <row r="29" spans="2:20" x14ac:dyDescent="0.15">
      <c r="B29" s="166" t="s">
        <v>136</v>
      </c>
      <c r="C29" s="166"/>
      <c r="D29" s="167">
        <v>3755</v>
      </c>
      <c r="E29" s="168"/>
      <c r="G29" s="166" t="s">
        <v>136</v>
      </c>
      <c r="H29" s="166"/>
      <c r="I29" s="167"/>
      <c r="J29" s="168"/>
    </row>
    <row r="30" spans="2:20" x14ac:dyDescent="0.15">
      <c r="B30" s="166" t="s">
        <v>138</v>
      </c>
      <c r="C30" s="166"/>
      <c r="D30" s="167">
        <v>3650</v>
      </c>
      <c r="E30" s="168"/>
      <c r="G30" s="166" t="s">
        <v>179</v>
      </c>
      <c r="H30" s="166"/>
      <c r="I30" s="161"/>
      <c r="J30" s="162"/>
    </row>
    <row r="31" spans="2:20" x14ac:dyDescent="0.15">
      <c r="B31" s="166" t="s">
        <v>140</v>
      </c>
      <c r="C31" s="166"/>
      <c r="D31" s="167">
        <v>43</v>
      </c>
      <c r="E31" s="168"/>
      <c r="G31" s="166" t="s">
        <v>180</v>
      </c>
      <c r="H31" s="166"/>
      <c r="I31" s="167"/>
      <c r="J31" s="168"/>
    </row>
    <row r="32" spans="2:20" x14ac:dyDescent="0.15">
      <c r="B32" s="166" t="s">
        <v>142</v>
      </c>
      <c r="C32" s="166"/>
      <c r="D32" s="167" t="s">
        <v>194</v>
      </c>
      <c r="E32" s="168"/>
      <c r="G32" s="166" t="s">
        <v>140</v>
      </c>
      <c r="H32" s="166"/>
      <c r="I32" s="167"/>
      <c r="J32" s="168"/>
    </row>
    <row r="33" spans="2:10" x14ac:dyDescent="0.15">
      <c r="B33" s="166" t="s">
        <v>145</v>
      </c>
      <c r="C33" s="166"/>
      <c r="D33" s="167">
        <v>10000</v>
      </c>
      <c r="E33" s="168"/>
      <c r="G33" s="166" t="s">
        <v>142</v>
      </c>
      <c r="H33" s="166"/>
      <c r="I33" s="167"/>
      <c r="J33" s="168"/>
    </row>
    <row r="34" spans="2:10" ht="11.25" thickBot="1" x14ac:dyDescent="0.2">
      <c r="B34" s="171" t="s">
        <v>147</v>
      </c>
      <c r="C34" s="171"/>
      <c r="D34" s="172" t="s">
        <v>148</v>
      </c>
      <c r="E34" s="173"/>
      <c r="G34" s="166" t="s">
        <v>145</v>
      </c>
      <c r="H34" s="166"/>
      <c r="I34" s="169"/>
      <c r="J34" s="170"/>
    </row>
    <row r="35" spans="2:10" ht="12" thickTop="1" thickBot="1" x14ac:dyDescent="0.2">
      <c r="G35" s="171" t="s">
        <v>147</v>
      </c>
      <c r="H35" s="171"/>
      <c r="I35" s="172"/>
      <c r="J35" s="173"/>
    </row>
    <row r="36" spans="2:10" ht="11.25" thickTop="1" x14ac:dyDescent="0.15"/>
  </sheetData>
  <mergeCells count="150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tabSelected="1" topLeftCell="B4" zoomScaleNormal="100" workbookViewId="0">
      <selection activeCell="H21" sqref="H2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4" t="s">
        <v>37</v>
      </c>
      <c r="C1" s="184"/>
    </row>
    <row r="2" spans="1:25" ht="12" thickTop="1" x14ac:dyDescent="0.15">
      <c r="B2" s="3" t="s">
        <v>0</v>
      </c>
      <c r="C2" s="4">
        <v>43111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2" ca="1" si="0">TODAY()</f>
        <v>43136</v>
      </c>
      <c r="F8" s="21">
        <f t="shared" ref="F8:F9" ca="1" si="1">E8+H8</f>
        <v>43166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-232.63030914491947</v>
      </c>
      <c r="M8" s="25"/>
      <c r="N8" s="24">
        <f t="shared" ref="N8:N9" si="3">M8/10000*I8*P8</f>
        <v>0</v>
      </c>
      <c r="O8" s="24">
        <f t="shared" ref="O8:O9" si="4">IF(L8&lt;=0,ABS(L8)+N8,L8-N8)</f>
        <v>232.63030914491947</v>
      </c>
      <c r="P8" s="20">
        <f>RTD("wdf.rtq",,D8,"LastPrice")</f>
        <v>3967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5.8641368576990031E-2</v>
      </c>
      <c r="U8" s="24">
        <f>_xll.dnetGBlackScholesNGreeks("delta",$Q8,$P8,$G8,$I8,$C$3,$J8,$K8,$C$4)*R8</f>
        <v>-0.70529767253901809</v>
      </c>
      <c r="V8" s="24">
        <f>_xll.dnetGBlackScholesNGreeks("vega",$Q8,$P8,$G8,$I8,$C$3,$J8,$K8,$C$4)*R8</f>
        <v>-3.9081896031384531</v>
      </c>
    </row>
    <row r="9" spans="1:25" ht="12" thickBot="1" x14ac:dyDescent="0.2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43136</v>
      </c>
      <c r="F9" s="8">
        <f t="shared" ca="1" si="1"/>
        <v>43168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ht="12.75" thickTop="1" thickBot="1" x14ac:dyDescent="0.2">
      <c r="A10" s="42"/>
      <c r="B10" s="24" t="s">
        <v>171</v>
      </c>
      <c r="C10" s="19" t="s">
        <v>160</v>
      </c>
      <c r="D10" s="19" t="s">
        <v>198</v>
      </c>
      <c r="E10" s="21">
        <f t="shared" ca="1" si="0"/>
        <v>43136</v>
      </c>
      <c r="F10" s="21">
        <f t="shared" ref="F10" ca="1" si="7">E10+H10</f>
        <v>43256</v>
      </c>
      <c r="G10" s="20">
        <f>P10</f>
        <v>3800</v>
      </c>
      <c r="H10" s="19">
        <v>120</v>
      </c>
      <c r="I10" s="22">
        <f t="shared" ref="I10" si="8">H10/365</f>
        <v>0.32876712328767121</v>
      </c>
      <c r="J10" s="22">
        <v>0</v>
      </c>
      <c r="K10" s="23">
        <v>0.26</v>
      </c>
      <c r="L10" s="24">
        <f>_xll.dnetGBlackScholesNGreeks("price",$Q10,$P10,$G10,$I10,$C$3,$J10,$K10,$C$4)*R10</f>
        <v>-224.31253663523876</v>
      </c>
      <c r="M10" s="25">
        <v>70</v>
      </c>
      <c r="N10" s="24">
        <f t="shared" ref="N10" si="9">M10/10000*I10*P10</f>
        <v>8.7452054794520535</v>
      </c>
      <c r="O10" s="24">
        <f t="shared" ref="O10" si="10">IF(L10&lt;=0,ABS(L10)+N10,L10-N10)</f>
        <v>233.05774211469083</v>
      </c>
      <c r="P10" s="20">
        <f>RTD("wdf.rtq",,D10,"LastPrice")</f>
        <v>3800</v>
      </c>
      <c r="Q10" s="19" t="s">
        <v>27</v>
      </c>
      <c r="R10" s="19">
        <f t="shared" ref="R10" si="11">IF(S10="中金买入",1,-1)</f>
        <v>-1</v>
      </c>
      <c r="S10" s="19" t="s">
        <v>31</v>
      </c>
      <c r="T10" s="26">
        <f t="shared" ref="T10" si="12">O10/P10</f>
        <v>6.1330984767023901E-2</v>
      </c>
      <c r="U10" s="24">
        <f>_xll.dnetGBlackScholesNGreeks("delta",$Q10,$P10,$G10,$I10,$C$3,$J10,$K10,$C$4)*R10</f>
        <v>-0.52623792136046177</v>
      </c>
      <c r="V10" s="24">
        <f>_xll.dnetGBlackScholesNGreeks("vega",$Q10,$P10,$G10,$I10,$C$3,$J10,$K10,$C$4)*R10</f>
        <v>-8.6114269310368172</v>
      </c>
    </row>
    <row r="11" spans="1:25" ht="12" thickTop="1" x14ac:dyDescent="0.15">
      <c r="A11" s="42"/>
      <c r="B11" s="24" t="s">
        <v>171</v>
      </c>
      <c r="C11" s="19" t="s">
        <v>160</v>
      </c>
      <c r="D11" s="19" t="s">
        <v>199</v>
      </c>
      <c r="E11" s="21">
        <f t="shared" ca="1" si="0"/>
        <v>43136</v>
      </c>
      <c r="F11" s="21">
        <f t="shared" ref="F11" ca="1" si="13">E11+H11</f>
        <v>43166</v>
      </c>
      <c r="G11" s="20">
        <v>14000</v>
      </c>
      <c r="H11" s="19">
        <v>30</v>
      </c>
      <c r="I11" s="22">
        <f t="shared" ref="I11" si="14">H11/365</f>
        <v>8.2191780821917804E-2</v>
      </c>
      <c r="J11" s="22">
        <v>0</v>
      </c>
      <c r="K11" s="23">
        <v>0.14000000000000001</v>
      </c>
      <c r="L11" s="24">
        <f>_xll.dnetGBlackScholesNGreeks("price",$Q11,$P11,$G11,$I11,$C$3,$J11,$K11,$C$4)*R11</f>
        <v>-79.857176563487428</v>
      </c>
      <c r="M11" s="25">
        <v>70</v>
      </c>
      <c r="N11" s="24">
        <f t="shared" ref="N11" si="15">M11/10000*I11*P11</f>
        <v>8.287808219178082</v>
      </c>
      <c r="O11" s="24">
        <f t="shared" ref="O11" si="16">IF(L11&lt;=0,ABS(L11)+N11,L11-N11)</f>
        <v>88.144984782665517</v>
      </c>
      <c r="P11" s="20">
        <f>RTD("wdf.rtq",,D11,"LastPrice")</f>
        <v>14405</v>
      </c>
      <c r="Q11" s="19" t="s">
        <v>85</v>
      </c>
      <c r="R11" s="19">
        <f t="shared" ref="R11" si="17">IF(S11="中金买入",1,-1)</f>
        <v>-1</v>
      </c>
      <c r="S11" s="19" t="s">
        <v>31</v>
      </c>
      <c r="T11" s="26">
        <f t="shared" ref="T11" si="18">O11/P11</f>
        <v>6.1190548269812921E-3</v>
      </c>
      <c r="U11" s="24">
        <f>_xll.dnetGBlackScholesNGreeks("delta",$Q11,$P11,$G11,$I11,$C$3,$J11,$K11,$C$4)*R11</f>
        <v>0.23213284548546653</v>
      </c>
      <c r="V11" s="24">
        <f>_xll.dnetGBlackScholesNGreeks("vega",$Q11,$P11,$G11,$I11,$C$3,$J11,$K11,$C$4)*R11</f>
        <v>-12.582057121235266</v>
      </c>
    </row>
    <row r="12" spans="1:25" x14ac:dyDescent="0.15">
      <c r="A12" s="42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x14ac:dyDescent="0.15">
      <c r="A13" s="42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x14ac:dyDescent="0.15">
      <c r="A14" s="42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5" t="s">
        <v>37</v>
      </c>
      <c r="C1" s="18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43136</v>
      </c>
      <c r="G8" s="54">
        <f ca="1">F8+I8</f>
        <v>43166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43136</v>
      </c>
      <c r="G9" s="62">
        <f ca="1">G8</f>
        <v>43166</v>
      </c>
      <c r="H9" s="60">
        <v>100</v>
      </c>
      <c r="I9" s="60">
        <f t="shared" ref="I9:I10" si="0"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43136</v>
      </c>
      <c r="G10" s="70">
        <f ca="1">G9</f>
        <v>43166</v>
      </c>
      <c r="H10" s="68" t="str">
        <f>H8 &amp; "|" &amp; H9</f>
        <v>100|100</v>
      </c>
      <c r="I10" s="68">
        <f t="shared" si="0"/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 t="shared" ref="U10:V10" si="1">U9+U8</f>
        <v>-1.1407269127516884E-3</v>
      </c>
      <c r="V10" s="72">
        <f t="shared" si="1"/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4" t="s">
        <v>38</v>
      </c>
      <c r="C1" s="18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3967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43136</v>
      </c>
      <c r="N8" s="21">
        <f ca="1">M8+O8</f>
        <v>43166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-79.34</v>
      </c>
      <c r="T8" s="25">
        <v>80</v>
      </c>
      <c r="U8" s="24">
        <f>T8/10000*P8*H8</f>
        <v>2.6084383561643838</v>
      </c>
      <c r="V8" s="24">
        <f>IF(S8&lt;=0,ABS(S8)+U8,S8-U8)</f>
        <v>81.948438356164388</v>
      </c>
      <c r="W8" s="26">
        <f>V8/H8</f>
        <v>2.0657534246575345E-2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43136</v>
      </c>
      <c r="N9" s="8">
        <f ca="1">M9+O9</f>
        <v>43316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6" t="s">
        <v>37</v>
      </c>
      <c r="C1" s="18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3967</v>
      </c>
      <c r="I8" s="19">
        <v>3800</v>
      </c>
      <c r="J8" s="21">
        <f ca="1">TODAY()</f>
        <v>43136</v>
      </c>
      <c r="K8" s="21">
        <f ca="1">J8+L8</f>
        <v>43166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234.93625935272894</v>
      </c>
      <c r="P8" s="25">
        <v>80</v>
      </c>
      <c r="Q8" s="24">
        <f>P8/10000*M8*H8*(-E8)</f>
        <v>2.6084383561643838</v>
      </c>
      <c r="R8" s="24">
        <f>O8+Q8</f>
        <v>237.54469770889332</v>
      </c>
      <c r="S8" s="26">
        <f>R8/H8</f>
        <v>5.9880185961404923E-2</v>
      </c>
      <c r="T8" s="24">
        <f>_xll.dnetGBlackScholesNGreeks("delta",$G8,$H8,$I8,$M8,$C$3,$C$4,$N8,$C$4)</f>
        <v>0.70915608084760606</v>
      </c>
      <c r="U8" s="24">
        <f>_xll.dnetGBlackScholesNGreeks("vega",$G8,$H8,$I8,$M8,$C$3,$C$4,$N8)</f>
        <v>3.8909615068139374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43136</v>
      </c>
      <c r="K9" s="8">
        <f ca="1">J9+L9</f>
        <v>43166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43136</v>
      </c>
      <c r="K10" s="8">
        <f ca="1">J10+L10</f>
        <v>43166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2018-02-05T07:33:37Z</dcterms:modified>
</cp:coreProperties>
</file>