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R30" i="1"/>
  <c r="E30" i="1"/>
  <c r="F30" i="1" s="1"/>
  <c r="R29" i="1"/>
  <c r="E29" i="1"/>
  <c r="F29" i="1" s="1"/>
  <c r="R28" i="1"/>
  <c r="E28" i="1"/>
  <c r="F28" i="1" s="1"/>
  <c r="R27" i="1"/>
  <c r="E27" i="1"/>
  <c r="F27" i="1" s="1"/>
  <c r="R26" i="1"/>
  <c r="E26" i="1"/>
  <c r="F26" i="1" s="1"/>
  <c r="R25" i="1"/>
  <c r="E25" i="1"/>
  <c r="F25" i="1" s="1"/>
  <c r="R24" i="1"/>
  <c r="E24" i="1"/>
  <c r="F24" i="1" s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P30" i="1"/>
  <c r="P22" i="1"/>
  <c r="P29" i="1"/>
  <c r="P21" i="1"/>
  <c r="P26" i="1"/>
  <c r="P24" i="1"/>
  <c r="P28" i="1"/>
  <c r="P20" i="1"/>
  <c r="P27" i="1"/>
  <c r="P19" i="1"/>
  <c r="P25" i="1"/>
  <c r="P23" i="1"/>
  <c r="L26" i="1"/>
  <c r="L28" i="1"/>
  <c r="L20" i="1"/>
  <c r="L25" i="1"/>
  <c r="V23" i="1"/>
  <c r="L22" i="1"/>
  <c r="V26" i="1"/>
  <c r="V28" i="1"/>
  <c r="U23" i="1"/>
  <c r="V20" i="1"/>
  <c r="L23" i="1"/>
  <c r="U26" i="1"/>
  <c r="L30" i="1"/>
  <c r="V30" i="1"/>
  <c r="U21" i="1"/>
  <c r="U20" i="1"/>
  <c r="V22" i="1"/>
  <c r="V29" i="1"/>
  <c r="L24" i="1"/>
  <c r="V25" i="1"/>
  <c r="L27" i="1"/>
  <c r="U28" i="1"/>
  <c r="N28" i="1" l="1"/>
  <c r="N22" i="1"/>
  <c r="O22" i="1" s="1"/>
  <c r="T22" i="1" s="1"/>
  <c r="N30" i="1"/>
  <c r="O30" i="1" s="1"/>
  <c r="T30" i="1" s="1"/>
  <c r="N27" i="1"/>
  <c r="O27" i="1" s="1"/>
  <c r="T27" i="1" s="1"/>
  <c r="N20" i="1"/>
  <c r="O20" i="1" s="1"/>
  <c r="T20" i="1" s="1"/>
  <c r="N21" i="1"/>
  <c r="N23" i="1"/>
  <c r="O23" i="1" s="1"/>
  <c r="T23" i="1" s="1"/>
  <c r="N24" i="1"/>
  <c r="O24" i="1" s="1"/>
  <c r="T24" i="1" s="1"/>
  <c r="N25" i="1"/>
  <c r="O25" i="1" s="1"/>
  <c r="T25" i="1" s="1"/>
  <c r="N29" i="1"/>
  <c r="N26" i="1"/>
  <c r="O26" i="1" s="1"/>
  <c r="T26" i="1" s="1"/>
  <c r="X28" i="1"/>
  <c r="X20" i="1"/>
  <c r="X21" i="1"/>
  <c r="X26" i="1"/>
  <c r="X23" i="1"/>
  <c r="O28" i="1"/>
  <c r="T28" i="1" s="1"/>
  <c r="I16" i="1"/>
  <c r="N16" i="1" s="1"/>
  <c r="I15" i="1"/>
  <c r="N15" i="1" s="1"/>
  <c r="I14" i="1"/>
  <c r="N14" i="1" s="1"/>
  <c r="I13" i="1"/>
  <c r="N13" i="1" s="1"/>
  <c r="R16" i="1"/>
  <c r="E16" i="1"/>
  <c r="F16" i="1" s="1"/>
  <c r="R15" i="1"/>
  <c r="E15" i="1"/>
  <c r="F15" i="1" s="1"/>
  <c r="R14" i="1"/>
  <c r="E14" i="1"/>
  <c r="F14" i="1" s="1"/>
  <c r="R13" i="1"/>
  <c r="E13" i="1"/>
  <c r="F13" i="1" s="1"/>
  <c r="R19" i="1"/>
  <c r="N19" i="1"/>
  <c r="E19" i="1"/>
  <c r="F19" i="1" s="1"/>
  <c r="V27" i="1"/>
  <c r="U27" i="1"/>
  <c r="V13" i="1"/>
  <c r="V14" i="1"/>
  <c r="L29" i="1"/>
  <c r="U22" i="1"/>
  <c r="U30" i="1"/>
  <c r="U24" i="1"/>
  <c r="V24" i="1"/>
  <c r="U29" i="1"/>
  <c r="V21" i="1"/>
  <c r="L21" i="1"/>
  <c r="U25" i="1"/>
  <c r="V16" i="1"/>
  <c r="V19" i="1"/>
  <c r="U15" i="1"/>
  <c r="X25" i="1" l="1"/>
  <c r="O21" i="1"/>
  <c r="T21" i="1" s="1"/>
  <c r="X29" i="1"/>
  <c r="X24" i="1"/>
  <c r="X30" i="1"/>
  <c r="X22" i="1"/>
  <c r="O29" i="1"/>
  <c r="T29" i="1" s="1"/>
  <c r="X27" i="1"/>
  <c r="X15" i="1"/>
  <c r="I40" i="2"/>
  <c r="L16" i="1"/>
  <c r="V15" i="1"/>
  <c r="L13" i="1"/>
  <c r="L14" i="1"/>
  <c r="L19" i="1"/>
  <c r="U14" i="1"/>
  <c r="L15" i="1"/>
  <c r="U19" i="1"/>
  <c r="U16" i="1"/>
  <c r="U13" i="1"/>
  <c r="X16" i="1" l="1"/>
  <c r="X19" i="1"/>
  <c r="O15" i="1"/>
  <c r="T15" i="1" s="1"/>
  <c r="O19" i="1"/>
  <c r="T19" i="1" s="1"/>
  <c r="O16" i="1"/>
  <c r="T16" i="1" s="1"/>
  <c r="O14" i="1"/>
  <c r="T14" i="1" s="1"/>
  <c r="X14" i="1"/>
  <c r="X13" i="1"/>
  <c r="O13" i="1"/>
  <c r="T13" i="1" s="1"/>
  <c r="N40" i="2"/>
  <c r="R11" i="1" l="1"/>
  <c r="I11" i="1"/>
  <c r="N11" i="1" s="1"/>
  <c r="E11" i="1"/>
  <c r="F11" i="1" s="1"/>
  <c r="N10" i="1"/>
  <c r="L11" i="1"/>
  <c r="O11" i="1" l="1"/>
  <c r="T11" i="1" s="1"/>
  <c r="V11" i="1"/>
  <c r="U11" i="1"/>
  <c r="X11" i="1" l="1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V42" i="9"/>
  <c r="L42" i="9"/>
  <c r="U41" i="9"/>
  <c r="V41" i="9"/>
  <c r="L41" i="9"/>
  <c r="U42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U9" i="1"/>
  <c r="L9" i="1"/>
  <c r="V9" i="1"/>
  <c r="P38" i="9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P35" i="9"/>
  <c r="V38" i="9"/>
  <c r="E39" i="9" l="1"/>
  <c r="E40" i="9" s="1"/>
  <c r="I39" i="9"/>
  <c r="I40" i="9" s="1"/>
  <c r="P36" i="9"/>
  <c r="P37" i="9" s="1"/>
  <c r="E36" i="9"/>
  <c r="E37" i="9" s="1"/>
  <c r="I36" i="9"/>
  <c r="V35" i="9"/>
  <c r="U38" i="9"/>
  <c r="U36" i="9"/>
  <c r="L36" i="9"/>
  <c r="U35" i="9"/>
  <c r="V36" i="9"/>
  <c r="L35" i="9"/>
  <c r="L38" i="9"/>
  <c r="L39" i="9"/>
  <c r="U39" i="9"/>
  <c r="V39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V33" i="9"/>
  <c r="V29" i="9"/>
  <c r="V30" i="9"/>
  <c r="U29" i="9"/>
  <c r="U30" i="9"/>
  <c r="L32" i="9"/>
  <c r="L30" i="9"/>
  <c r="V32" i="9"/>
  <c r="L33" i="9"/>
  <c r="U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1" i="9"/>
  <c r="P17" i="9"/>
  <c r="P20" i="9"/>
  <c r="P23" i="9"/>
  <c r="P26" i="9"/>
  <c r="P14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V26" i="9"/>
  <c r="V27" i="9"/>
  <c r="U21" i="9"/>
  <c r="V14" i="9"/>
  <c r="U24" i="9"/>
  <c r="V20" i="9"/>
  <c r="U27" i="9"/>
  <c r="V21" i="9"/>
  <c r="U11" i="9"/>
  <c r="L12" i="9"/>
  <c r="U23" i="9"/>
  <c r="L23" i="9"/>
  <c r="L17" i="9"/>
  <c r="L18" i="9"/>
  <c r="V17" i="9"/>
  <c r="U18" i="9"/>
  <c r="V18" i="9"/>
  <c r="U17" i="9"/>
  <c r="U14" i="9"/>
  <c r="U12" i="9"/>
  <c r="L21" i="9"/>
  <c r="U20" i="9"/>
  <c r="L26" i="9"/>
  <c r="V23" i="9"/>
  <c r="V12" i="9"/>
  <c r="L24" i="9"/>
  <c r="L27" i="9"/>
  <c r="L20" i="9"/>
  <c r="U26" i="9"/>
  <c r="L11" i="9"/>
  <c r="L15" i="9"/>
  <c r="V15" i="9"/>
  <c r="V24" i="9"/>
  <c r="L14" i="9"/>
  <c r="U15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V9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7"/>
  <c r="T9" i="7"/>
  <c r="O9" i="7"/>
  <c r="U9" i="7"/>
  <c r="H8" i="8"/>
  <c r="U10" i="7"/>
  <c r="O10" i="7"/>
  <c r="K9" i="8"/>
  <c r="U8" i="8" l="1"/>
  <c r="Q9" i="7"/>
  <c r="R9" i="7" s="1"/>
  <c r="S9" i="7" s="1"/>
  <c r="Q10" i="7"/>
  <c r="R10" i="7" s="1"/>
  <c r="S10" i="7" s="1"/>
  <c r="Q8" i="7"/>
  <c r="S9" i="8"/>
  <c r="O8" i="7"/>
  <c r="X9" i="8"/>
  <c r="U8" i="7"/>
  <c r="K8" i="8"/>
  <c r="T8" i="7"/>
  <c r="Y9" i="8"/>
  <c r="V9" i="8" l="1"/>
  <c r="W9" i="8" s="1"/>
  <c r="R8" i="7"/>
  <c r="S8" i="7" s="1"/>
  <c r="X8" i="8"/>
  <c r="Y8" i="8"/>
  <c r="S8" i="8"/>
  <c r="V8" i="8" l="1"/>
  <c r="W8" i="8" s="1"/>
  <c r="R8" i="1"/>
  <c r="I8" i="1" l="1"/>
  <c r="E8" i="1"/>
  <c r="F8" i="1" s="1"/>
  <c r="N8" i="1" l="1"/>
  <c r="V8" i="1"/>
  <c r="U8" i="1"/>
  <c r="L8" i="1"/>
  <c r="O8" i="1" l="1"/>
  <c r="T8" i="1" s="1"/>
</calcChain>
</file>

<file path=xl/sharedStrings.xml><?xml version="1.0" encoding="utf-8"?>
<sst xmlns="http://schemas.openxmlformats.org/spreadsheetml/2006/main" count="1370" uniqueCount="247">
  <si>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</si>
  <si>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</si>
  <si>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</si>
  <si>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</si>
  <si>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</si>
  <si>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</si>
  <si>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</si>
  <si>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</si>
  <si>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</si>
  <si>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</si>
  <si>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</si>
  <si>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</si>
  <si>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</si>
  <si>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</si>
  <si>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</si>
  <si>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</si>
  <si>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</si>
  <si>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</si>
  <si>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</si>
  <si>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</si>
  <si>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</si>
  <si>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</si>
  <si>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</si>
  <si>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</si>
  <si>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</si>
  <si>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</si>
  <si>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</si>
  <si>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</si>
  <si>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</si>
  <si>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</si>
  <si>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</si>
  <si>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</si>
  <si>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</si>
  <si>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</si>
  <si>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</si>
  <si>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</si>
  <si>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</si>
  <si>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</si>
  <si>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</si>
  <si>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</si>
  <si>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</si>
  <si>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</si>
  <si>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</si>
  <si>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</si>
  <si>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</si>
  <si>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</si>
  <si>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</si>
  <si>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</si>
  <si>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</si>
  <si>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</si>
  <si>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</si>
  <si>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</si>
  <si>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</si>
  <si>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</si>
  <si>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</si>
  <si>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</si>
  <si>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</si>
  <si>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</si>
  <si>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</si>
  <si>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</si>
  <si>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</si>
  <si>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</si>
  <si>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</si>
  <si>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</si>
  <si>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</si>
  <si>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</si>
  <si>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</si>
  <si>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</si>
  <si>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</si>
  <si>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</si>
  <si>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</si>
  <si>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</si>
  <si>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</si>
  <si>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</si>
  <si>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</si>
  <si>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</si>
  <si>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</si>
  <si>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</si>
  <si>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</si>
  <si>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</si>
  <si>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</si>
  <si>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</si>
  <si>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</si>
  <si>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</si>
  <si>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</si>
  <si>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</si>
  <si>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</si>
  <si>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</si>
  <si>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</si>
  <si>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</si>
  <si>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</si>
  <si>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</si>
  <si>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</si>
  <si>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</si>
  <si>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</si>
  <si>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</si>
  <si>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</si>
  <si>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</si>
  <si>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</si>
  <si>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</si>
  <si>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</si>
  <si>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</si>
  <si>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</si>
  <si>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</si>
  <si>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</si>
  <si>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</si>
  <si>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</si>
  <si>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</si>
  <si>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</si>
  <si>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</si>
  <si>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</si>
  <si>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</si>
  <si>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</si>
  <si>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</si>
  <si>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</si>
  <si>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</si>
  <si>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</si>
  <si>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</si>
  <si>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</si>
  <si>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</si>
  <si>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</si>
  <si>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</si>
  <si>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</si>
  <si>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</si>
  <si>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</si>
  <si>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</si>
  <si>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</si>
  <si>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</si>
  <si>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</si>
  <si>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</si>
  <si>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</si>
  <si>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</si>
  <si>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</si>
  <si>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</si>
  <si>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</si>
  <si>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</si>
  <si>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</si>
  <si>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</si>
  <si>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</si>
  <si>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</si>
  <si>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</si>
  <si>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</si>
  <si>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</si>
  <si>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</si>
  <si>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</si>
  <si>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</si>
  <si>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</si>
  <si>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</si>
  <si>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</si>
  <si>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</si>
  <si>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</si>
  <si>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</si>
  <si>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</si>
  <si>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</si>
  <si>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</si>
  <si>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</si>
  <si>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</si>
  <si>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</si>
  <si>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</si>
  <si>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</si>
  <si>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</si>
  <si>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</si>
  <si>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</si>
  <si>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</si>
  <si>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</si>
  <si>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</si>
  <si>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</si>
  <si>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</si>
  <si>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</si>
  <si>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</si>
  <si>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</si>
  <si>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</si>
  <si>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</si>
  <si>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</si>
  <si>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</si>
  <si>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</si>
  <si>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</si>
  <si>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</si>
  <si>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</si>
  <si>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</si>
  <si>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</si>
  <si>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</si>
  <si>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</si>
  <si>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</si>
  <si>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</si>
  <si>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</si>
  <si>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</si>
  <si>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</si>
  <si>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</si>
  <si>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</si>
  <si>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</si>
  <si>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</si>
  <si>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</si>
  <si>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</si>
  <si>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</si>
  <si>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</si>
  <si>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</si>
  <si>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</si>
  <si>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</si>
  <si>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</si>
  <si>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</si>
  <si>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</si>
  <si>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</si>
  <si>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</si>
  <si>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</si>
  <si>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</si>
  <si>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</si>
  <si>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</si>
  <si>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</si>
  <si>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</si>
  <si>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</si>
  <si>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</si>
  <si>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</si>
  <si>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</si>
  <si>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</si>
  <si>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</si>
  <si>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</si>
  <si>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</si>
  <si>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</si>
  <si>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</si>
  <si>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</si>
  <si>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</si>
  <si>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</si>
  <si>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</si>
  <si>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</si>
  <si>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</si>
  <si>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</si>
  <si>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</si>
  <si>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</si>
  <si>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</si>
  <si>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</si>
  <si>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</si>
  <si>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</si>
  <si>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</si>
  <si>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</si>
  <si>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中金公司</t>
  </si>
  <si>
    <t xml:space="preserve">   看跌期权 </t>
    <phoneticPr fontId="1" type="noConversion"/>
  </si>
  <si>
    <t>RMB</t>
    <phoneticPr fontId="1" type="noConversion"/>
  </si>
  <si>
    <t>成交回报(平仓交易)</t>
    <phoneticPr fontId="1" type="noConversion"/>
  </si>
  <si>
    <t>Example</t>
    <phoneticPr fontId="1" type="noConversion"/>
  </si>
  <si>
    <t xml:space="preserve">   看跌期权 </t>
  </si>
  <si>
    <t>RMB</t>
  </si>
  <si>
    <t>al1808</t>
    <phoneticPr fontId="1" type="noConversion"/>
  </si>
  <si>
    <t>Example</t>
    <phoneticPr fontId="1" type="noConversion"/>
  </si>
  <si>
    <t>rb1901</t>
  </si>
  <si>
    <t xml:space="preserve"> 中友信德 </t>
    <phoneticPr fontId="1" type="noConversion"/>
  </si>
  <si>
    <t>rb1805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</si>
</sst>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9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14330</v>
        <stp/>
        <stp>al1807</stp>
        <stp>LastPrice</stp>
        <tr r="P41" s="9"/>
      </tp>
      <tp>
        <v>14400</v>
        <stp/>
        <stp>al1808</stp>
        <stp>LastPrice</stp>
        <tr r="P9" s="1"/>
      </tp>
      <tp>
        <v>444</v>
        <stp/>
        <stp>i1809</stp>
        <stp>LastPrice</stp>
        <tr r="P23" s="1"/>
        <tr r="P25" s="1"/>
        <tr r="P19" s="1"/>
        <tr r="P27" s="1"/>
        <tr r="P20" s="1"/>
        <tr r="P28" s="1"/>
        <tr r="P24" s="1"/>
        <tr r="P26" s="1"/>
        <tr r="P21" s="1"/>
        <tr r="P29" s="1"/>
        <tr r="P22" s="1"/>
        <tr r="P30" s="1"/>
      </tp>
      <tp>
        <v>3408</v>
        <stp/>
        <stp>rb1810</stp>
        <stp>LastPrice</stp>
        <tr r="P14" s="9"/>
        <tr r="P26" s="9"/>
        <tr r="P23" s="9"/>
        <tr r="P20" s="9"/>
        <tr r="P17" s="9"/>
        <tr r="P11" s="9"/>
        <tr r="P35" s="9"/>
        <tr r="P38" s="9"/>
      </tp>
      <tp>
        <v>3649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95"/>
  <sheetViews>
    <sheetView topLeftCell="A64" zoomScaleNormal="100" workbookViewId="0">
      <selection activeCell="S98" sqref="S9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232</v>
      </c>
      <c r="C79" s="114" t="s">
        <v>231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232</v>
      </c>
      <c r="C80" s="114" t="s">
        <v>231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232</v>
      </c>
      <c r="C81" s="114" t="s">
        <v>231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232</v>
      </c>
      <c r="C83" s="114" t="s">
        <v>231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232</v>
      </c>
      <c r="C84" s="114" t="s">
        <v>231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232</v>
      </c>
      <c r="C85" s="114" t="s">
        <v>231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234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4" t="s">
        <v>239</v>
      </c>
      <c r="C89" s="114" t="s">
        <v>218</v>
      </c>
      <c r="D89" s="115">
        <v>43192</v>
      </c>
      <c r="E89" s="115">
        <v>43238</v>
      </c>
      <c r="F89" s="114">
        <v>13100</v>
      </c>
      <c r="G89" s="114">
        <v>46</v>
      </c>
      <c r="H89" s="114">
        <v>0.11506849315068493</v>
      </c>
      <c r="I89" s="114">
        <v>0</v>
      </c>
      <c r="J89" s="114">
        <v>0.11</v>
      </c>
      <c r="K89" s="114">
        <v>8.1089899782398334</v>
      </c>
      <c r="L89" s="114"/>
      <c r="M89" s="114">
        <v>0</v>
      </c>
      <c r="N89" s="116">
        <v>8</v>
      </c>
      <c r="O89" s="114">
        <v>13985</v>
      </c>
      <c r="P89" s="114" t="s">
        <v>85</v>
      </c>
      <c r="Q89" s="114">
        <v>1</v>
      </c>
      <c r="R89" s="114" t="s">
        <v>151</v>
      </c>
    </row>
    <row r="90" spans="2:18" x14ac:dyDescent="0.15">
      <c r="B90" s="114" t="s">
        <v>239</v>
      </c>
      <c r="C90" s="114" t="s">
        <v>218</v>
      </c>
      <c r="D90" s="115">
        <v>43192</v>
      </c>
      <c r="E90" s="115">
        <v>43238</v>
      </c>
      <c r="F90" s="114">
        <v>13200</v>
      </c>
      <c r="G90" s="114">
        <v>46</v>
      </c>
      <c r="H90" s="114">
        <v>0.11506849315068493</v>
      </c>
      <c r="I90" s="114">
        <v>0</v>
      </c>
      <c r="J90" s="114">
        <v>0.11</v>
      </c>
      <c r="K90" s="114">
        <v>13.268327754064558</v>
      </c>
      <c r="L90" s="114"/>
      <c r="M90" s="114">
        <v>0</v>
      </c>
      <c r="N90" s="116">
        <v>13</v>
      </c>
      <c r="O90" s="114">
        <v>13985</v>
      </c>
      <c r="P90" s="114" t="s">
        <v>85</v>
      </c>
      <c r="Q90" s="114">
        <v>1</v>
      </c>
      <c r="R90" s="114" t="s">
        <v>151</v>
      </c>
    </row>
    <row r="91" spans="2:18" x14ac:dyDescent="0.15">
      <c r="B91" s="114" t="s">
        <v>239</v>
      </c>
      <c r="C91" s="114" t="s">
        <v>218</v>
      </c>
      <c r="D91" s="115">
        <v>43192</v>
      </c>
      <c r="E91" s="115">
        <v>43238</v>
      </c>
      <c r="F91" s="114">
        <v>13300</v>
      </c>
      <c r="G91" s="114">
        <v>46</v>
      </c>
      <c r="H91" s="114">
        <v>0.11506849315068493</v>
      </c>
      <c r="I91" s="114">
        <v>0</v>
      </c>
      <c r="J91" s="114">
        <v>0.11</v>
      </c>
      <c r="K91" s="114">
        <v>20.94649443684375</v>
      </c>
      <c r="L91" s="114"/>
      <c r="M91" s="114">
        <v>0</v>
      </c>
      <c r="N91" s="116">
        <v>20.5</v>
      </c>
      <c r="O91" s="114">
        <v>13985</v>
      </c>
      <c r="P91" s="114" t="s">
        <v>85</v>
      </c>
      <c r="Q91" s="114">
        <v>1</v>
      </c>
      <c r="R91" s="114" t="s">
        <v>151</v>
      </c>
    </row>
    <row r="92" spans="2:18" x14ac:dyDescent="0.15">
      <c r="B92" s="33"/>
      <c r="C92" s="33" t="s">
        <v>181</v>
      </c>
      <c r="D92" s="33" t="s">
        <v>180</v>
      </c>
      <c r="E92" s="33" t="s">
        <v>10</v>
      </c>
      <c r="F92" s="33" t="s">
        <v>184</v>
      </c>
      <c r="G92" s="33" t="s">
        <v>11</v>
      </c>
      <c r="H92" s="33" t="s">
        <v>12</v>
      </c>
      <c r="I92" s="33" t="s">
        <v>47</v>
      </c>
      <c r="J92" s="33" t="s">
        <v>13</v>
      </c>
      <c r="K92" s="33" t="s">
        <v>14</v>
      </c>
      <c r="L92" s="33" t="s">
        <v>26</v>
      </c>
      <c r="M92" s="33" t="s">
        <v>28</v>
      </c>
      <c r="N92" s="33" t="s">
        <v>182</v>
      </c>
      <c r="O92" s="33" t="s">
        <v>8</v>
      </c>
      <c r="P92" s="33" t="s">
        <v>23</v>
      </c>
      <c r="Q92" s="33"/>
      <c r="R92" s="33" t="s">
        <v>30</v>
      </c>
    </row>
    <row r="93" spans="2:18" x14ac:dyDescent="0.15">
      <c r="B93" s="114" t="s">
        <v>243</v>
      </c>
      <c r="C93" s="114" t="s">
        <v>185</v>
      </c>
      <c r="D93" s="115">
        <v>43193</v>
      </c>
      <c r="E93" s="115">
        <v>43251</v>
      </c>
      <c r="F93" s="114">
        <v>3500</v>
      </c>
      <c r="G93" s="114">
        <v>58</v>
      </c>
      <c r="H93" s="114">
        <v>0.14794520547945206</v>
      </c>
      <c r="I93" s="114">
        <v>0</v>
      </c>
      <c r="J93" s="114">
        <v>0.2</v>
      </c>
      <c r="K93" s="114">
        <v>190.5244735830679</v>
      </c>
      <c r="L93" s="114"/>
      <c r="M93" s="114">
        <v>0</v>
      </c>
      <c r="N93" s="116">
        <v>188</v>
      </c>
      <c r="O93" s="114">
        <v>3358</v>
      </c>
      <c r="P93" s="114" t="s">
        <v>85</v>
      </c>
      <c r="Q93" s="114">
        <v>1</v>
      </c>
      <c r="R93" s="114" t="s">
        <v>151</v>
      </c>
    </row>
    <row r="94" spans="2:18" x14ac:dyDescent="0.15">
      <c r="B94" s="33"/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2:18" x14ac:dyDescent="0.15">
      <c r="B95" s="114" t="s">
        <v>160</v>
      </c>
      <c r="C95" s="114" t="s">
        <v>244</v>
      </c>
      <c r="D95" s="115">
        <v>43193</v>
      </c>
      <c r="E95" s="115">
        <v>43448</v>
      </c>
      <c r="F95" s="114">
        <v>3233</v>
      </c>
      <c r="G95" s="114">
        <v>255</v>
      </c>
      <c r="H95" s="114">
        <v>0.69863013698630139</v>
      </c>
      <c r="I95" s="114">
        <v>0</v>
      </c>
      <c r="J95" s="114">
        <v>0.27</v>
      </c>
      <c r="K95" s="114">
        <v>-286.42712165540365</v>
      </c>
      <c r="L95" s="114">
        <v>70</v>
      </c>
      <c r="M95" s="114">
        <v>15.810698630136988</v>
      </c>
      <c r="N95" s="116">
        <v>302.23782028554064</v>
      </c>
      <c r="O95" s="114">
        <v>3233</v>
      </c>
      <c r="P95" s="114" t="s">
        <v>39</v>
      </c>
      <c r="Q95" s="114">
        <v>-1</v>
      </c>
      <c r="R95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30" activePane="bottomLeft" state="frozen"/>
      <selection pane="bottomLeft" activeCell="G37" sqref="G37:H37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7" t="s">
        <v>118</v>
      </c>
      <c r="C1" s="137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42" t="s">
        <v>120</v>
      </c>
      <c r="H3" s="142"/>
      <c r="I3" s="142"/>
      <c r="J3" s="142"/>
      <c r="L3" s="138" t="s">
        <v>165</v>
      </c>
      <c r="M3" s="138"/>
      <c r="N3" s="138"/>
      <c r="O3" s="138"/>
      <c r="Q3" s="142" t="s">
        <v>166</v>
      </c>
      <c r="R3" s="142"/>
      <c r="S3" s="142"/>
      <c r="T3" s="142"/>
    </row>
    <row r="4" spans="2:20" ht="12" thickTop="1" thickBot="1" x14ac:dyDescent="0.2">
      <c r="B4" s="139" t="s">
        <v>121</v>
      </c>
      <c r="C4" s="139"/>
      <c r="D4" s="139"/>
      <c r="E4" s="139"/>
      <c r="G4" s="139" t="s">
        <v>34</v>
      </c>
      <c r="H4" s="139"/>
      <c r="I4" s="139"/>
      <c r="J4" s="139"/>
      <c r="L4" s="139" t="s">
        <v>121</v>
      </c>
      <c r="M4" s="139"/>
      <c r="N4" s="139"/>
      <c r="O4" s="139"/>
      <c r="Q4" s="139" t="s">
        <v>34</v>
      </c>
      <c r="R4" s="139"/>
      <c r="S4" s="139"/>
      <c r="T4" s="139"/>
    </row>
    <row r="5" spans="2:20" ht="15" customHeight="1" thickTop="1" x14ac:dyDescent="0.15">
      <c r="B5" s="136" t="s">
        <v>122</v>
      </c>
      <c r="C5" s="136"/>
      <c r="D5" s="140"/>
      <c r="E5" s="141"/>
      <c r="G5" s="136" t="s">
        <v>123</v>
      </c>
      <c r="H5" s="136"/>
      <c r="I5" s="107"/>
      <c r="J5" s="108"/>
      <c r="L5" s="105" t="s">
        <v>122</v>
      </c>
      <c r="M5" s="106"/>
      <c r="N5" s="107"/>
      <c r="O5" s="108"/>
      <c r="Q5" s="136" t="s">
        <v>123</v>
      </c>
      <c r="R5" s="136"/>
      <c r="S5" s="107"/>
      <c r="T5" s="108"/>
    </row>
    <row r="6" spans="2:20" x14ac:dyDescent="0.15">
      <c r="B6" s="136" t="s">
        <v>124</v>
      </c>
      <c r="C6" s="136"/>
      <c r="D6" s="134" t="s">
        <v>125</v>
      </c>
      <c r="E6" s="135"/>
      <c r="G6" s="136" t="s">
        <v>126</v>
      </c>
      <c r="H6" s="136"/>
      <c r="I6" s="134"/>
      <c r="J6" s="135"/>
      <c r="L6" s="136" t="s">
        <v>124</v>
      </c>
      <c r="M6" s="136"/>
      <c r="N6" s="134" t="s">
        <v>125</v>
      </c>
      <c r="O6" s="135"/>
      <c r="Q6" s="136" t="s">
        <v>126</v>
      </c>
      <c r="R6" s="136"/>
      <c r="S6" s="134"/>
      <c r="T6" s="135"/>
    </row>
    <row r="7" spans="2:20" ht="2.25" customHeight="1" x14ac:dyDescent="0.15">
      <c r="B7" s="136" t="s">
        <v>127</v>
      </c>
      <c r="C7" s="136"/>
      <c r="D7" s="134" t="s">
        <v>125</v>
      </c>
      <c r="E7" s="135"/>
      <c r="G7" s="136" t="s">
        <v>128</v>
      </c>
      <c r="H7" s="136"/>
      <c r="I7" s="134"/>
      <c r="J7" s="135"/>
      <c r="L7" s="136" t="s">
        <v>127</v>
      </c>
      <c r="M7" s="136"/>
      <c r="N7" s="134" t="s">
        <v>125</v>
      </c>
      <c r="O7" s="135"/>
      <c r="Q7" s="136" t="s">
        <v>128</v>
      </c>
      <c r="R7" s="136"/>
      <c r="S7" s="134"/>
      <c r="T7" s="135"/>
    </row>
    <row r="8" spans="2:20" hidden="1" x14ac:dyDescent="0.15">
      <c r="B8" s="136" t="s">
        <v>129</v>
      </c>
      <c r="C8" s="136"/>
      <c r="D8" s="134">
        <f>D13*D15</f>
        <v>305000</v>
      </c>
      <c r="E8" s="135"/>
      <c r="G8" s="136" t="s">
        <v>130</v>
      </c>
      <c r="H8" s="136"/>
      <c r="I8" s="134"/>
      <c r="J8" s="135"/>
      <c r="L8" s="136" t="s">
        <v>129</v>
      </c>
      <c r="M8" s="136"/>
      <c r="N8" s="134">
        <f>N14*N16</f>
        <v>305000</v>
      </c>
      <c r="O8" s="135"/>
      <c r="Q8" s="136" t="s">
        <v>130</v>
      </c>
      <c r="R8" s="136"/>
      <c r="S8" s="134"/>
      <c r="T8" s="135"/>
    </row>
    <row r="9" spans="2:20" hidden="1" x14ac:dyDescent="0.15">
      <c r="B9" s="136" t="s">
        <v>131</v>
      </c>
      <c r="C9" s="136"/>
      <c r="D9" s="134" t="s">
        <v>132</v>
      </c>
      <c r="E9" s="135"/>
      <c r="G9" s="136" t="s">
        <v>133</v>
      </c>
      <c r="H9" s="136"/>
      <c r="I9" s="134"/>
      <c r="J9" s="135"/>
      <c r="L9" s="136" t="s">
        <v>131</v>
      </c>
      <c r="M9" s="136"/>
      <c r="N9" s="134" t="s">
        <v>132</v>
      </c>
      <c r="O9" s="135"/>
      <c r="Q9" s="136" t="s">
        <v>133</v>
      </c>
      <c r="R9" s="136"/>
      <c r="S9" s="134"/>
      <c r="T9" s="135"/>
    </row>
    <row r="10" spans="2:20" hidden="1" x14ac:dyDescent="0.15">
      <c r="B10" s="136" t="s">
        <v>134</v>
      </c>
      <c r="C10" s="136"/>
      <c r="D10" s="134">
        <v>43084</v>
      </c>
      <c r="E10" s="135"/>
      <c r="G10" s="109" t="s">
        <v>135</v>
      </c>
      <c r="H10" s="109"/>
      <c r="I10" s="134"/>
      <c r="J10" s="135"/>
      <c r="L10" s="136" t="s">
        <v>134</v>
      </c>
      <c r="M10" s="136"/>
      <c r="N10" s="134">
        <v>43084</v>
      </c>
      <c r="O10" s="135"/>
      <c r="Q10" s="109" t="s">
        <v>135</v>
      </c>
      <c r="R10" s="109"/>
      <c r="S10" s="134"/>
      <c r="T10" s="135"/>
    </row>
    <row r="11" spans="2:20" hidden="1" x14ac:dyDescent="0.15">
      <c r="B11" s="136" t="s">
        <v>136</v>
      </c>
      <c r="C11" s="136"/>
      <c r="D11" s="134">
        <v>3935</v>
      </c>
      <c r="E11" s="135"/>
      <c r="G11" s="136" t="s">
        <v>137</v>
      </c>
      <c r="H11" s="136"/>
      <c r="I11" s="134"/>
      <c r="J11" s="135"/>
      <c r="L11" s="136" t="s">
        <v>136</v>
      </c>
      <c r="M11" s="136"/>
      <c r="N11" s="134">
        <v>3935</v>
      </c>
      <c r="O11" s="135"/>
      <c r="Q11" s="136" t="s">
        <v>137</v>
      </c>
      <c r="R11" s="136"/>
      <c r="S11" s="134"/>
      <c r="T11" s="135"/>
    </row>
    <row r="12" spans="2:20" hidden="1" x14ac:dyDescent="0.15">
      <c r="B12" s="136" t="s">
        <v>138</v>
      </c>
      <c r="C12" s="136"/>
      <c r="D12" s="134">
        <v>3800</v>
      </c>
      <c r="E12" s="135"/>
      <c r="G12" s="136" t="s">
        <v>139</v>
      </c>
      <c r="H12" s="136"/>
      <c r="I12" s="134"/>
      <c r="J12" s="135"/>
      <c r="L12" s="136" t="s">
        <v>163</v>
      </c>
      <c r="M12" s="136"/>
      <c r="N12" s="134">
        <v>3800</v>
      </c>
      <c r="O12" s="135"/>
      <c r="Q12" s="136" t="s">
        <v>167</v>
      </c>
      <c r="R12" s="136"/>
      <c r="S12" s="134"/>
      <c r="T12" s="135"/>
    </row>
    <row r="13" spans="2:20" hidden="1" x14ac:dyDescent="0.15">
      <c r="B13" s="136" t="s">
        <v>140</v>
      </c>
      <c r="C13" s="136"/>
      <c r="D13" s="134">
        <v>61</v>
      </c>
      <c r="E13" s="135"/>
      <c r="G13" s="136" t="s">
        <v>141</v>
      </c>
      <c r="H13" s="136"/>
      <c r="I13" s="134"/>
      <c r="J13" s="135"/>
      <c r="L13" s="136" t="s">
        <v>164</v>
      </c>
      <c r="M13" s="136"/>
      <c r="N13" s="134">
        <v>3800</v>
      </c>
      <c r="O13" s="135"/>
      <c r="Q13" s="136" t="s">
        <v>168</v>
      </c>
      <c r="R13" s="136"/>
      <c r="S13" s="134"/>
      <c r="T13" s="135"/>
    </row>
    <row r="14" spans="2:20" hidden="1" x14ac:dyDescent="0.15">
      <c r="B14" s="136" t="s">
        <v>142</v>
      </c>
      <c r="C14" s="136"/>
      <c r="D14" s="134" t="s">
        <v>143</v>
      </c>
      <c r="E14" s="135"/>
      <c r="G14" s="136" t="s">
        <v>144</v>
      </c>
      <c r="H14" s="136"/>
      <c r="I14" s="110"/>
      <c r="J14" s="111"/>
      <c r="L14" s="136" t="s">
        <v>140</v>
      </c>
      <c r="M14" s="136"/>
      <c r="N14" s="134">
        <v>61</v>
      </c>
      <c r="O14" s="135"/>
      <c r="Q14" s="136" t="s">
        <v>141</v>
      </c>
      <c r="R14" s="136"/>
      <c r="S14" s="134"/>
      <c r="T14" s="135"/>
    </row>
    <row r="15" spans="2:20" hidden="1" x14ac:dyDescent="0.15">
      <c r="B15" s="136" t="s">
        <v>145</v>
      </c>
      <c r="C15" s="136"/>
      <c r="D15" s="134">
        <v>5000</v>
      </c>
      <c r="E15" s="135"/>
      <c r="G15" s="136" t="s">
        <v>146</v>
      </c>
      <c r="H15" s="136"/>
      <c r="I15" s="134"/>
      <c r="J15" s="135"/>
      <c r="L15" s="136" t="s">
        <v>142</v>
      </c>
      <c r="M15" s="136"/>
      <c r="N15" s="134" t="s">
        <v>143</v>
      </c>
      <c r="O15" s="135"/>
      <c r="Q15" s="136" t="s">
        <v>144</v>
      </c>
      <c r="R15" s="136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6" t="s">
        <v>145</v>
      </c>
      <c r="M16" s="136"/>
      <c r="N16" s="134">
        <v>5000</v>
      </c>
      <c r="O16" s="135"/>
      <c r="Q16" s="136" t="s">
        <v>146</v>
      </c>
      <c r="R16" s="136"/>
      <c r="S16" s="134"/>
      <c r="T16" s="135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9" t="s">
        <v>188</v>
      </c>
      <c r="C22" s="129"/>
      <c r="D22" s="129"/>
      <c r="E22" s="129"/>
      <c r="G22" s="129" t="s">
        <v>189</v>
      </c>
      <c r="H22" s="129"/>
      <c r="I22" s="129"/>
      <c r="J22" s="129"/>
      <c r="L22" s="139" t="s">
        <v>189</v>
      </c>
      <c r="M22" s="139"/>
      <c r="N22" s="139"/>
      <c r="O22" s="139"/>
      <c r="Q22" s="129" t="s">
        <v>188</v>
      </c>
      <c r="R22" s="129"/>
      <c r="S22" s="129"/>
      <c r="T22" s="129"/>
      <c r="V22" s="139" t="s">
        <v>189</v>
      </c>
      <c r="W22" s="139"/>
      <c r="X22" s="139"/>
      <c r="Y22" s="139"/>
    </row>
    <row r="23" spans="2:25" ht="12" thickTop="1" x14ac:dyDescent="0.15">
      <c r="B23" s="122" t="s">
        <v>122</v>
      </c>
      <c r="C23" s="122"/>
      <c r="D23" s="128">
        <f ca="1">TODAY()</f>
        <v>43199</v>
      </c>
      <c r="E23" s="130"/>
      <c r="G23" s="122" t="s">
        <v>122</v>
      </c>
      <c r="H23" s="122"/>
      <c r="I23" s="128">
        <f ca="1">TODAY()</f>
        <v>43199</v>
      </c>
      <c r="J23" s="130"/>
      <c r="L23" s="122" t="s">
        <v>122</v>
      </c>
      <c r="M23" s="122"/>
      <c r="N23" s="128">
        <f ca="1">TODAY()</f>
        <v>43199</v>
      </c>
      <c r="O23" s="130"/>
      <c r="Q23" s="122" t="s">
        <v>122</v>
      </c>
      <c r="R23" s="122"/>
      <c r="S23" s="128">
        <f ca="1">TODAY()-1</f>
        <v>43198</v>
      </c>
      <c r="T23" s="130"/>
      <c r="V23" s="122" t="s">
        <v>122</v>
      </c>
      <c r="W23" s="122"/>
      <c r="X23" s="128">
        <f ca="1">TODAY()-1</f>
        <v>43198</v>
      </c>
      <c r="Y23" s="130"/>
    </row>
    <row r="24" spans="2:25" ht="11.25" x14ac:dyDescent="0.15">
      <c r="B24" s="122" t="s">
        <v>124</v>
      </c>
      <c r="C24" s="122"/>
      <c r="D24" s="123" t="s">
        <v>186</v>
      </c>
      <c r="E24" s="124"/>
      <c r="G24" s="122" t="s">
        <v>124</v>
      </c>
      <c r="H24" s="122"/>
      <c r="I24" s="123" t="s">
        <v>186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5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196</v>
      </c>
      <c r="O25" s="124"/>
      <c r="Q25" s="122" t="s">
        <v>127</v>
      </c>
      <c r="R25" s="122"/>
      <c r="S25" s="123" t="s">
        <v>187</v>
      </c>
      <c r="T25" s="124"/>
      <c r="V25" s="122" t="s">
        <v>127</v>
      </c>
      <c r="W25" s="122"/>
      <c r="X25" s="123" t="s">
        <v>187</v>
      </c>
      <c r="Y25" s="124"/>
    </row>
    <row r="26" spans="2:25" ht="11.25" x14ac:dyDescent="0.15">
      <c r="B26" s="122" t="s">
        <v>129</v>
      </c>
      <c r="C26" s="122"/>
      <c r="D26" s="123">
        <f>D31*D33</f>
        <v>388800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132</v>
      </c>
      <c r="E27" s="124"/>
      <c r="G27" s="122" t="s">
        <v>131</v>
      </c>
      <c r="H27" s="122"/>
      <c r="I27" s="123" t="s">
        <v>198</v>
      </c>
      <c r="J27" s="124"/>
      <c r="L27" s="122" t="s">
        <v>131</v>
      </c>
      <c r="M27" s="122"/>
      <c r="N27" s="123" t="s">
        <v>190</v>
      </c>
      <c r="O27" s="124"/>
      <c r="Q27" s="122" t="s">
        <v>131</v>
      </c>
      <c r="R27" s="122"/>
      <c r="S27" s="123" t="s">
        <v>191</v>
      </c>
      <c r="T27" s="124"/>
      <c r="V27" s="122" t="s">
        <v>131</v>
      </c>
      <c r="W27" s="122"/>
      <c r="X27" s="123" t="s">
        <v>190</v>
      </c>
      <c r="Y27" s="124"/>
    </row>
    <row r="28" spans="2:25" ht="11.25" x14ac:dyDescent="0.15">
      <c r="B28" s="122" t="s">
        <v>134</v>
      </c>
      <c r="C28" s="122"/>
      <c r="D28" s="128">
        <v>43182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3856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3800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38.880000000000003</v>
      </c>
      <c r="E31" s="124"/>
      <c r="G31" s="122" t="s">
        <v>199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197</v>
      </c>
      <c r="E32" s="124"/>
      <c r="G32" s="122" t="s">
        <v>200</v>
      </c>
      <c r="H32" s="122"/>
      <c r="I32" s="123" t="s">
        <v>197</v>
      </c>
      <c r="J32" s="124"/>
      <c r="L32" s="122" t="s">
        <v>142</v>
      </c>
      <c r="M32" s="122"/>
      <c r="N32" s="123" t="s">
        <v>195</v>
      </c>
      <c r="O32" s="124"/>
      <c r="Q32" s="122" t="s">
        <v>142</v>
      </c>
      <c r="R32" s="122"/>
      <c r="S32" s="123" t="s">
        <v>192</v>
      </c>
      <c r="T32" s="124"/>
      <c r="V32" s="122" t="s">
        <v>142</v>
      </c>
      <c r="W32" s="122"/>
      <c r="X32" s="123" t="s">
        <v>192</v>
      </c>
      <c r="Y32" s="124"/>
    </row>
    <row r="33" spans="2:25" ht="11.25" x14ac:dyDescent="0.15">
      <c r="B33" s="122" t="s">
        <v>145</v>
      </c>
      <c r="C33" s="122"/>
      <c r="D33" s="123">
        <v>10000</v>
      </c>
      <c r="E33" s="124"/>
      <c r="G33" s="122" t="s">
        <v>201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230</v>
      </c>
      <c r="C36" s="129"/>
      <c r="D36" s="129"/>
      <c r="E36" s="129"/>
      <c r="G36" s="129" t="s">
        <v>121</v>
      </c>
      <c r="H36" s="129"/>
      <c r="I36" s="129"/>
      <c r="J36" s="129"/>
      <c r="L36" s="129" t="s">
        <v>238</v>
      </c>
      <c r="M36" s="129"/>
      <c r="N36" s="129"/>
      <c r="O36" s="129"/>
    </row>
    <row r="37" spans="2:25" ht="12" thickTop="1" x14ac:dyDescent="0.15">
      <c r="B37" s="122" t="s">
        <v>122</v>
      </c>
      <c r="C37" s="122"/>
      <c r="D37" s="128"/>
      <c r="E37" s="130"/>
      <c r="G37" s="122" t="s">
        <v>122</v>
      </c>
      <c r="H37" s="122"/>
      <c r="I37" s="128">
        <v>43192</v>
      </c>
      <c r="J37" s="130"/>
      <c r="L37" s="122" t="s">
        <v>122</v>
      </c>
      <c r="M37" s="122"/>
      <c r="N37" s="128">
        <v>43194</v>
      </c>
      <c r="O37" s="130"/>
    </row>
    <row r="38" spans="2:25" ht="11.25" x14ac:dyDescent="0.15">
      <c r="B38" s="122" t="s">
        <v>124</v>
      </c>
      <c r="C38" s="122"/>
      <c r="D38" s="123"/>
      <c r="E38" s="124"/>
      <c r="G38" s="122" t="s">
        <v>124</v>
      </c>
      <c r="H38" s="122"/>
      <c r="I38" s="123" t="s">
        <v>4</v>
      </c>
      <c r="J38" s="124"/>
      <c r="L38" s="122" t="s">
        <v>124</v>
      </c>
      <c r="M38" s="122"/>
      <c r="N38" s="123" t="s">
        <v>245</v>
      </c>
      <c r="O38" s="124"/>
    </row>
    <row r="39" spans="2:25" ht="11.25" x14ac:dyDescent="0.15">
      <c r="B39" s="122" t="s">
        <v>127</v>
      </c>
      <c r="C39" s="122"/>
      <c r="D39" s="123"/>
      <c r="E39" s="124"/>
      <c r="G39" s="122" t="s">
        <v>127</v>
      </c>
      <c r="H39" s="122"/>
      <c r="I39" s="123" t="s">
        <v>235</v>
      </c>
      <c r="J39" s="124"/>
      <c r="L39" s="122" t="s">
        <v>127</v>
      </c>
      <c r="M39" s="122"/>
      <c r="N39" s="123" t="s">
        <v>235</v>
      </c>
      <c r="O39" s="124"/>
    </row>
    <row r="40" spans="2:25" ht="11.25" x14ac:dyDescent="0.15">
      <c r="B40" s="122" t="s">
        <v>179</v>
      </c>
      <c r="C40" s="122"/>
      <c r="D40" s="123"/>
      <c r="E40" s="124"/>
      <c r="G40" s="122" t="s">
        <v>179</v>
      </c>
      <c r="H40" s="122"/>
      <c r="I40" s="123">
        <f>I45*I47</f>
        <v>160000</v>
      </c>
      <c r="J40" s="124"/>
      <c r="L40" s="122" t="s">
        <v>129</v>
      </c>
      <c r="M40" s="122"/>
      <c r="N40" s="123">
        <f>N45*N47</f>
        <v>930000</v>
      </c>
      <c r="O40" s="124"/>
    </row>
    <row r="41" spans="2:25" ht="11.25" x14ac:dyDescent="0.15">
      <c r="B41" s="122" t="s">
        <v>131</v>
      </c>
      <c r="C41" s="122"/>
      <c r="D41" s="123"/>
      <c r="E41" s="124"/>
      <c r="G41" s="122" t="s">
        <v>131</v>
      </c>
      <c r="H41" s="122"/>
      <c r="I41" s="123" t="s">
        <v>240</v>
      </c>
      <c r="J41" s="124"/>
      <c r="L41" s="122" t="s">
        <v>131</v>
      </c>
      <c r="M41" s="122"/>
      <c r="N41" s="123" t="s">
        <v>236</v>
      </c>
      <c r="O41" s="124"/>
    </row>
    <row r="42" spans="2:25" ht="11.25" x14ac:dyDescent="0.15">
      <c r="B42" s="122" t="s">
        <v>134</v>
      </c>
      <c r="C42" s="122"/>
      <c r="D42" s="128"/>
      <c r="E42" s="124"/>
      <c r="G42" s="122" t="s">
        <v>134</v>
      </c>
      <c r="H42" s="122"/>
      <c r="I42" s="128">
        <v>43273</v>
      </c>
      <c r="J42" s="124"/>
      <c r="L42" s="122" t="s">
        <v>134</v>
      </c>
      <c r="M42" s="122"/>
      <c r="N42" s="128">
        <v>43203</v>
      </c>
      <c r="O42" s="124"/>
    </row>
    <row r="43" spans="2:25" ht="11.25" x14ac:dyDescent="0.15">
      <c r="B43" s="122" t="s">
        <v>136</v>
      </c>
      <c r="C43" s="122"/>
      <c r="D43" s="123"/>
      <c r="E43" s="124"/>
      <c r="G43" s="122" t="s">
        <v>136</v>
      </c>
      <c r="H43" s="122"/>
      <c r="I43" s="123">
        <v>14000</v>
      </c>
      <c r="J43" s="124"/>
      <c r="L43" s="122" t="s">
        <v>136</v>
      </c>
      <c r="M43" s="143"/>
      <c r="N43" s="123">
        <v>3580</v>
      </c>
      <c r="O43" s="124"/>
    </row>
    <row r="44" spans="2:25" ht="11.25" x14ac:dyDescent="0.15">
      <c r="B44" s="122" t="s">
        <v>138</v>
      </c>
      <c r="C44" s="122"/>
      <c r="D44" s="123"/>
      <c r="E44" s="124"/>
      <c r="G44" s="122" t="s">
        <v>138</v>
      </c>
      <c r="H44" s="122"/>
      <c r="I44" s="123">
        <v>11500</v>
      </c>
      <c r="J44" s="124"/>
      <c r="L44" s="122" t="s">
        <v>138</v>
      </c>
      <c r="M44" s="122"/>
      <c r="N44" s="123">
        <v>3600</v>
      </c>
      <c r="O44" s="124"/>
    </row>
    <row r="45" spans="2:25" ht="11.25" x14ac:dyDescent="0.15">
      <c r="B45" s="122" t="s">
        <v>199</v>
      </c>
      <c r="C45" s="122"/>
      <c r="D45" s="123"/>
      <c r="E45" s="124"/>
      <c r="G45" s="122" t="s">
        <v>199</v>
      </c>
      <c r="H45" s="122"/>
      <c r="I45" s="123">
        <v>16</v>
      </c>
      <c r="J45" s="124"/>
      <c r="L45" s="122" t="s">
        <v>140</v>
      </c>
      <c r="M45" s="122"/>
      <c r="N45" s="123">
        <v>62</v>
      </c>
      <c r="O45" s="124"/>
    </row>
    <row r="46" spans="2:25" ht="11.25" x14ac:dyDescent="0.15">
      <c r="B46" s="122" t="s">
        <v>200</v>
      </c>
      <c r="C46" s="122"/>
      <c r="D46" s="123"/>
      <c r="E46" s="124"/>
      <c r="G46" s="122" t="s">
        <v>142</v>
      </c>
      <c r="H46" s="122"/>
      <c r="I46" s="123" t="s">
        <v>242</v>
      </c>
      <c r="J46" s="124"/>
      <c r="L46" s="122" t="s">
        <v>142</v>
      </c>
      <c r="M46" s="122"/>
      <c r="N46" s="123" t="s">
        <v>246</v>
      </c>
      <c r="O46" s="124"/>
    </row>
    <row r="47" spans="2:25" ht="11.25" x14ac:dyDescent="0.15">
      <c r="B47" s="122" t="s">
        <v>201</v>
      </c>
      <c r="C47" s="122"/>
      <c r="D47" s="123"/>
      <c r="E47" s="124"/>
      <c r="G47" s="122" t="s">
        <v>145</v>
      </c>
      <c r="H47" s="122"/>
      <c r="I47" s="123">
        <v>10000</v>
      </c>
      <c r="J47" s="124"/>
      <c r="L47" s="122" t="s">
        <v>145</v>
      </c>
      <c r="M47" s="122"/>
      <c r="N47" s="123">
        <v>15000</v>
      </c>
      <c r="O47" s="124"/>
    </row>
    <row r="48" spans="2:25" ht="12" thickBot="1" x14ac:dyDescent="0.2">
      <c r="B48" s="125" t="s">
        <v>147</v>
      </c>
      <c r="C48" s="125"/>
      <c r="D48" s="126"/>
      <c r="E48" s="127"/>
      <c r="G48" s="125" t="s">
        <v>147</v>
      </c>
      <c r="H48" s="125"/>
      <c r="I48" s="126" t="s">
        <v>241</v>
      </c>
      <c r="J48" s="127"/>
      <c r="L48" s="125" t="s">
        <v>147</v>
      </c>
      <c r="M48" s="125"/>
      <c r="N48" s="126" t="s">
        <v>237</v>
      </c>
      <c r="O48" s="127"/>
    </row>
    <row r="49" ht="11.25" thickTop="1" x14ac:dyDescent="0.15"/>
  </sheetData>
  <mergeCells count="30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abSelected="1" topLeftCell="D4" zoomScaleNormal="100" workbookViewId="0">
      <selection activeCell="J33" sqref="J3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4" t="s">
        <v>37</v>
      </c>
      <c r="C1" s="144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43199</v>
      </c>
      <c r="F8" s="21">
        <f ca="1">E8+H8</f>
        <v>43379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43199</v>
      </c>
      <c r="F9" s="8">
        <f t="shared" ref="F9" ca="1" si="1">E9+H9</f>
        <v>43290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-7.6619292009099524</v>
      </c>
      <c r="M9" s="15"/>
      <c r="N9" s="13">
        <f t="shared" ref="N9:N10" si="2">M9/10000*I9*P9</f>
        <v>0</v>
      </c>
      <c r="O9" s="13">
        <f>IF(L9&lt;=0,ABS(L9)+N9,L9-N9)</f>
        <v>7.6619292009099524</v>
      </c>
      <c r="P9" s="11">
        <f>RTD("wdf.rtq",,D9,"LastPrice")</f>
        <v>14400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5.3207841672985783E-4</v>
      </c>
      <c r="U9" s="13">
        <f>_xll.dnetGBlackScholesNGreeks("delta",$Q9,$P9,$G9,$I9,$C$3,$J9,$K9,$C$4)*R9</f>
        <v>1.3937219972603998E-2</v>
      </c>
      <c r="V9" s="13">
        <f>_xll.dnetGBlackScholesNGreeks("vega",$Q9,$P9,$G9,$I9,$C$3,$J9,$K9,$C$4)*R9</f>
        <v>-2.5613291430628635</v>
      </c>
      <c r="X9" s="6">
        <f>2000*U9</f>
        <v>27.874439945207996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233</v>
      </c>
      <c r="E11" s="8">
        <f t="shared" ref="E11:E16" ca="1" si="5">TODAY()</f>
        <v>43199</v>
      </c>
      <c r="F11" s="8">
        <f t="shared" ref="F11" ca="1" si="6">E11+H11</f>
        <v>43257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233</v>
      </c>
      <c r="E13" s="8">
        <f t="shared" ca="1" si="5"/>
        <v>43199</v>
      </c>
      <c r="F13" s="8">
        <f t="shared" ref="F13:F16" ca="1" si="10">E13+H13</f>
        <v>43229</v>
      </c>
      <c r="G13" s="10">
        <v>3000</v>
      </c>
      <c r="H13" s="10">
        <v>30</v>
      </c>
      <c r="I13" s="12">
        <f>(H13)/365</f>
        <v>8.2191780821917804E-2</v>
      </c>
      <c r="J13" s="12">
        <v>0</v>
      </c>
      <c r="K13" s="9">
        <v>0.26500000000000001</v>
      </c>
      <c r="L13" s="13">
        <f>_xll.dnetGBlackScholesNGreeks("price",$Q13,$P13,$G13,$I13,$C$3,$J13,$K13,$C$4)*R13</f>
        <v>-9.3087431426380931</v>
      </c>
      <c r="M13" s="15">
        <v>70</v>
      </c>
      <c r="N13" s="13">
        <f t="shared" ref="N13:N16" si="11">M13/10000*I13*P13</f>
        <v>1.9158904109589039</v>
      </c>
      <c r="O13" s="13">
        <f>IF(L13&lt;=0,ABS(L13)+N13,L13-N13)</f>
        <v>11.224633553596997</v>
      </c>
      <c r="P13" s="11">
        <v>3330</v>
      </c>
      <c r="Q13" s="10" t="s">
        <v>85</v>
      </c>
      <c r="R13" s="10">
        <f t="shared" ref="R13:R16" si="12">IF(S13="中金买入",1,-1)</f>
        <v>-1</v>
      </c>
      <c r="S13" s="10" t="s">
        <v>20</v>
      </c>
      <c r="T13" s="14">
        <f t="shared" ref="T13:T16" si="13">O13/P13</f>
        <v>3.370760826906005E-3</v>
      </c>
      <c r="U13" s="13">
        <f>_xll.dnetGBlackScholesNGreeks("delta",$Q13,$P13,$G13,$I13,$C$3,$J13,$K13,$C$4)*R13</f>
        <v>7.8899638447182951E-2</v>
      </c>
      <c r="V13" s="13">
        <f>_xll.dnetGBlackScholesNGreeks("vega",$Q13,$P13,$G13,$I13,$C$3,$J13,$K13,$C$4)*R13</f>
        <v>-1.4032285991439011</v>
      </c>
      <c r="X13" s="6">
        <f>2000*U13</f>
        <v>157.7992768943659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233</v>
      </c>
      <c r="E14" s="8">
        <f t="shared" ca="1" si="5"/>
        <v>43199</v>
      </c>
      <c r="F14" s="8">
        <f t="shared" ca="1" si="10"/>
        <v>43229</v>
      </c>
      <c r="G14" s="10">
        <v>3100</v>
      </c>
      <c r="H14" s="10">
        <v>30</v>
      </c>
      <c r="I14" s="12">
        <f t="shared" ref="I14:I16" si="14">(H14)/365</f>
        <v>8.2191780821917804E-2</v>
      </c>
      <c r="J14" s="12">
        <v>0</v>
      </c>
      <c r="K14" s="9">
        <v>0.26500000000000001</v>
      </c>
      <c r="L14" s="13">
        <f>_xll.dnetGBlackScholesNGreeks("price",$Q14,$P14,$G14,$I14,$C$3,$J14,$K14,$C$4)*R14</f>
        <v>-22.635168692394132</v>
      </c>
      <c r="M14" s="15">
        <v>70</v>
      </c>
      <c r="N14" s="13">
        <f t="shared" si="11"/>
        <v>1.9158904109589039</v>
      </c>
      <c r="O14" s="13">
        <f>IF(L14&lt;=0,ABS(L14)+N14,L14-N14)</f>
        <v>24.551059103353037</v>
      </c>
      <c r="P14" s="11">
        <v>3330</v>
      </c>
      <c r="Q14" s="10" t="s">
        <v>85</v>
      </c>
      <c r="R14" s="10">
        <f t="shared" si="12"/>
        <v>-1</v>
      </c>
      <c r="S14" s="10" t="s">
        <v>20</v>
      </c>
      <c r="T14" s="14">
        <f t="shared" si="13"/>
        <v>7.3726904214273387E-3</v>
      </c>
      <c r="U14" s="13">
        <f>_xll.dnetGBlackScholesNGreeks("delta",$Q14,$P14,$G14,$I14,$C$3,$J14,$K14,$C$4)*R14</f>
        <v>0.1632664138128348</v>
      </c>
      <c r="V14" s="13">
        <f>_xll.dnetGBlackScholesNGreeks("vega",$Q14,$P14,$G14,$I14,$C$3,$J14,$K14,$C$4)*R14</f>
        <v>-2.3512497856891059</v>
      </c>
      <c r="X14" s="6">
        <f>2000*U14</f>
        <v>326.5328276256696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233</v>
      </c>
      <c r="E15" s="8">
        <f t="shared" ca="1" si="5"/>
        <v>43199</v>
      </c>
      <c r="F15" s="8">
        <f t="shared" ca="1" si="10"/>
        <v>43249</v>
      </c>
      <c r="G15" s="10">
        <v>3000</v>
      </c>
      <c r="H15" s="10">
        <v>50</v>
      </c>
      <c r="I15" s="12">
        <f t="shared" si="14"/>
        <v>0.13698630136986301</v>
      </c>
      <c r="J15" s="12">
        <v>0</v>
      </c>
      <c r="K15" s="9">
        <v>0.26500000000000001</v>
      </c>
      <c r="L15" s="13">
        <f>_xll.dnetGBlackScholesNGreeks("price",$Q15,$P15,$G15,$I15,$C$3,$J15,$K15,$C$4)*R15</f>
        <v>-22.749641135106799</v>
      </c>
      <c r="M15" s="15">
        <v>70</v>
      </c>
      <c r="N15" s="13">
        <f t="shared" si="11"/>
        <v>3.1931506849315068</v>
      </c>
      <c r="O15" s="13">
        <f>IF(L15&lt;=0,ABS(L15)+N15,L15-N15)</f>
        <v>25.942791820038305</v>
      </c>
      <c r="P15" s="11">
        <v>3330</v>
      </c>
      <c r="Q15" s="10" t="s">
        <v>85</v>
      </c>
      <c r="R15" s="10">
        <f t="shared" si="12"/>
        <v>-1</v>
      </c>
      <c r="S15" s="10" t="s">
        <v>20</v>
      </c>
      <c r="T15" s="14">
        <f t="shared" si="13"/>
        <v>7.7906281741856771E-3</v>
      </c>
      <c r="U15" s="13">
        <f>_xll.dnetGBlackScholesNGreeks("delta",$Q15,$P15,$G15,$I15,$C$3,$J15,$K15,$C$4)*R15</f>
        <v>0.13247783659267043</v>
      </c>
      <c r="V15" s="13">
        <f>_xll.dnetGBlackScholesNGreeks("vega",$Q15,$P15,$G15,$I15,$C$3,$J15,$K15,$C$4)*R15</f>
        <v>-2.6379092419948051</v>
      </c>
      <c r="X15" s="6">
        <f>2000*U15</f>
        <v>264.95567318534086</v>
      </c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233</v>
      </c>
      <c r="E16" s="8">
        <f t="shared" ca="1" si="5"/>
        <v>43199</v>
      </c>
      <c r="F16" s="8">
        <f t="shared" ca="1" si="10"/>
        <v>43249</v>
      </c>
      <c r="G16" s="10">
        <v>3100</v>
      </c>
      <c r="H16" s="10">
        <v>50</v>
      </c>
      <c r="I16" s="12">
        <f t="shared" si="14"/>
        <v>0.13698630136986301</v>
      </c>
      <c r="J16" s="12">
        <v>0</v>
      </c>
      <c r="K16" s="9">
        <v>0.26500000000000001</v>
      </c>
      <c r="L16" s="13">
        <f>_xll.dnetGBlackScholesNGreeks("price",$Q16,$P16,$G16,$I16,$C$3,$J16,$K16,$C$4)*R16</f>
        <v>-42.656906585157003</v>
      </c>
      <c r="M16" s="15">
        <v>70</v>
      </c>
      <c r="N16" s="13">
        <f t="shared" si="11"/>
        <v>3.1931506849315068</v>
      </c>
      <c r="O16" s="13">
        <f>IF(L16&lt;=0,ABS(L16)+N16,L16-N16)</f>
        <v>45.850057270088513</v>
      </c>
      <c r="P16" s="11">
        <v>3330</v>
      </c>
      <c r="Q16" s="10" t="s">
        <v>85</v>
      </c>
      <c r="R16" s="10">
        <f t="shared" si="12"/>
        <v>-1</v>
      </c>
      <c r="S16" s="10" t="s">
        <v>20</v>
      </c>
      <c r="T16" s="14">
        <f t="shared" si="13"/>
        <v>1.3768785966993548E-2</v>
      </c>
      <c r="U16" s="13">
        <f>_xll.dnetGBlackScholesNGreeks("delta",$Q16,$P16,$G16,$I16,$C$3,$J16,$K16,$C$4)*R16</f>
        <v>0.21746801131143911</v>
      </c>
      <c r="V16" s="13">
        <f>_xll.dnetGBlackScholesNGreeks("vega",$Q16,$P16,$G16,$I16,$C$3,$J16,$K16,$C$4)*R16</f>
        <v>-3.6197533830818429</v>
      </c>
      <c r="X16" s="6">
        <f>2000*U16</f>
        <v>434.93602262287823</v>
      </c>
    </row>
    <row r="17" spans="1:24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207</v>
      </c>
      <c r="E19" s="8">
        <f t="shared" ref="E19:E30" ca="1" si="15">TODAY()</f>
        <v>43199</v>
      </c>
      <c r="F19" s="8">
        <f t="shared" ref="F19" ca="1" si="16">E19+H19</f>
        <v>43230</v>
      </c>
      <c r="G19" s="10">
        <v>350</v>
      </c>
      <c r="H19" s="10">
        <v>31</v>
      </c>
      <c r="I19" s="12">
        <f>(H19-2)/365</f>
        <v>7.9452054794520555E-2</v>
      </c>
      <c r="J19" s="12">
        <v>0</v>
      </c>
      <c r="K19" s="9">
        <v>0.28000000000000003</v>
      </c>
      <c r="L19" s="13">
        <f>_xll.dnetGBlackScholesNGreeks("price",$Q19,$P19,$G19,$I19,$C$3,$J19,$K19,$C$4)*R19</f>
        <v>1.1282649159714997E-2</v>
      </c>
      <c r="M19" s="15"/>
      <c r="N19" s="13">
        <f t="shared" ref="N19" si="17">M19/10000*I19*P19</f>
        <v>0</v>
      </c>
      <c r="O19" s="13">
        <f>IF(L19&lt;=0,ABS(L19)+N19,L19-N19)</f>
        <v>1.1282649159714997E-2</v>
      </c>
      <c r="P19" s="11">
        <f>RTD("wdf.rtq",,D19,"LastPrice")</f>
        <v>444</v>
      </c>
      <c r="Q19" s="10" t="s">
        <v>85</v>
      </c>
      <c r="R19" s="10">
        <f t="shared" ref="R19" si="18">IF(S19="中金买入",1,-1)</f>
        <v>1</v>
      </c>
      <c r="S19" s="10" t="s">
        <v>151</v>
      </c>
      <c r="T19" s="14">
        <f t="shared" ref="T19" si="19">O19/P19</f>
        <v>2.5411371981340083E-5</v>
      </c>
      <c r="U19" s="13">
        <f>_xll.dnetGBlackScholesNGreeks("delta",$Q19,$P19,$G19,$I19,$C$3,$J19,$K19,$C$4)*R19</f>
        <v>-1.1286400575349909E-3</v>
      </c>
      <c r="V19" s="13">
        <f>_xll.dnetGBlackScholesNGreeks("vega",$Q19,$P19,$G19,$I19,$C$3,$J19,$K19,$C$4)*R19</f>
        <v>4.7631161868620098E-3</v>
      </c>
      <c r="X19" s="6">
        <f>2000*U19</f>
        <v>-2.2572801150699817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207</v>
      </c>
      <c r="E20" s="8">
        <f t="shared" ca="1" si="15"/>
        <v>43199</v>
      </c>
      <c r="F20" s="8">
        <f t="shared" ref="F20:F26" ca="1" si="20">E20+H20</f>
        <v>43230</v>
      </c>
      <c r="G20" s="10">
        <v>360</v>
      </c>
      <c r="H20" s="10">
        <v>31</v>
      </c>
      <c r="I20" s="12">
        <f t="shared" ref="I20:I30" si="21">(H20-2)/365</f>
        <v>7.9452054794520555E-2</v>
      </c>
      <c r="J20" s="12">
        <v>0</v>
      </c>
      <c r="K20" s="9">
        <v>0.28000000000000003</v>
      </c>
      <c r="L20" s="13">
        <f>_xll.dnetGBlackScholesNGreeks("price",$Q20,$P20,$G20,$I20,$C$3,$J20,$K20,$C$4)*R20</f>
        <v>3.8354845676991101E-2</v>
      </c>
      <c r="M20" s="15"/>
      <c r="N20" s="13">
        <f t="shared" ref="N20:N26" si="22">M20/10000*I20*P20</f>
        <v>0</v>
      </c>
      <c r="O20" s="13">
        <f t="shared" ref="O20:O26" si="23">IF(L20&lt;=0,ABS(L20)+N20,L20-N20)</f>
        <v>3.8354845676991101E-2</v>
      </c>
      <c r="P20" s="11">
        <f>RTD("wdf.rtq",,D20,"LastPrice")</f>
        <v>444</v>
      </c>
      <c r="Q20" s="10" t="s">
        <v>85</v>
      </c>
      <c r="R20" s="10">
        <f t="shared" ref="R20:R26" si="24">IF(S20="中金买入",1,-1)</f>
        <v>1</v>
      </c>
      <c r="S20" s="10" t="s">
        <v>151</v>
      </c>
      <c r="T20" s="14">
        <f t="shared" ref="T20:T26" si="25">O20/P20</f>
        <v>8.6384787560790771E-5</v>
      </c>
      <c r="U20" s="13">
        <f>_xll.dnetGBlackScholesNGreeks("delta",$Q20,$P20,$G20,$I20,$C$3,$J20,$K20,$C$4)*R20</f>
        <v>-3.4959624788499788E-3</v>
      </c>
      <c r="V20" s="13">
        <f>_xll.dnetGBlackScholesNGreeks("vega",$Q20,$P20,$G20,$I20,$C$3,$J20,$K20,$C$4)*R20</f>
        <v>1.3217637798205728E-2</v>
      </c>
      <c r="X20" s="6">
        <f t="shared" ref="X20:X26" si="26">2000*U20</f>
        <v>-6.9919249576999576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207</v>
      </c>
      <c r="E21" s="8">
        <f t="shared" ca="1" si="15"/>
        <v>43199</v>
      </c>
      <c r="F21" s="8">
        <f t="shared" ca="1" si="20"/>
        <v>43230</v>
      </c>
      <c r="G21" s="10">
        <v>370</v>
      </c>
      <c r="H21" s="10">
        <v>31</v>
      </c>
      <c r="I21" s="12">
        <f t="shared" si="21"/>
        <v>7.9452054794520555E-2</v>
      </c>
      <c r="J21" s="12">
        <v>0</v>
      </c>
      <c r="K21" s="9">
        <v>0.28000000000000003</v>
      </c>
      <c r="L21" s="13">
        <f>_xll.dnetGBlackScholesNGreeks("price",$Q21,$P21,$G21,$I21,$C$3,$J21,$K21,$C$4)*R21</f>
        <v>0.11346531622965905</v>
      </c>
      <c r="M21" s="15"/>
      <c r="N21" s="13">
        <f t="shared" si="22"/>
        <v>0</v>
      </c>
      <c r="O21" s="13">
        <f t="shared" si="23"/>
        <v>0.11346531622965905</v>
      </c>
      <c r="P21" s="11">
        <f>RTD("wdf.rtq",,D21,"LastPrice")</f>
        <v>444</v>
      </c>
      <c r="Q21" s="10" t="s">
        <v>85</v>
      </c>
      <c r="R21" s="10">
        <f t="shared" si="24"/>
        <v>1</v>
      </c>
      <c r="S21" s="10" t="s">
        <v>151</v>
      </c>
      <c r="T21" s="14">
        <f t="shared" si="25"/>
        <v>2.5555251403076363E-4</v>
      </c>
      <c r="U21" s="13">
        <f>_xll.dnetGBlackScholesNGreeks("delta",$Q21,$P21,$G21,$I21,$C$3,$J21,$K21,$C$4)*R21</f>
        <v>-9.383282766162182E-3</v>
      </c>
      <c r="V21" s="13">
        <f>_xll.dnetGBlackScholesNGreeks("vega",$Q21,$P21,$G21,$I21,$C$3,$J21,$K21,$C$4)*R21</f>
        <v>3.1628036633248868E-2</v>
      </c>
      <c r="X21" s="6">
        <f t="shared" si="26"/>
        <v>-18.766565532324364</v>
      </c>
    </row>
    <row r="22" spans="1:24" ht="10.5" customHeight="1" x14ac:dyDescent="0.15">
      <c r="A22" s="34"/>
      <c r="B22" s="13" t="s">
        <v>172</v>
      </c>
      <c r="C22" s="10" t="s">
        <v>161</v>
      </c>
      <c r="D22" s="10" t="s">
        <v>207</v>
      </c>
      <c r="E22" s="8">
        <f t="shared" ca="1" si="15"/>
        <v>43199</v>
      </c>
      <c r="F22" s="8">
        <f t="shared" ca="1" si="20"/>
        <v>43230</v>
      </c>
      <c r="G22" s="10">
        <v>380</v>
      </c>
      <c r="H22" s="10">
        <v>31</v>
      </c>
      <c r="I22" s="12">
        <f t="shared" si="21"/>
        <v>7.9452054794520555E-2</v>
      </c>
      <c r="J22" s="12">
        <v>0</v>
      </c>
      <c r="K22" s="9">
        <v>0.28000000000000003</v>
      </c>
      <c r="L22" s="13">
        <f>_xll.dnetGBlackScholesNGreeks("price",$Q22,$P22,$G22,$I22,$C$3,$J22,$K22,$C$4)*R22</f>
        <v>0.29580896360843312</v>
      </c>
      <c r="M22" s="15"/>
      <c r="N22" s="13">
        <f t="shared" si="22"/>
        <v>0</v>
      </c>
      <c r="O22" s="13">
        <f t="shared" si="23"/>
        <v>0.29580896360843312</v>
      </c>
      <c r="P22" s="11">
        <f>RTD("wdf.rtq",,D22,"LastPrice")</f>
        <v>444</v>
      </c>
      <c r="Q22" s="10" t="s">
        <v>85</v>
      </c>
      <c r="R22" s="10">
        <f t="shared" si="24"/>
        <v>1</v>
      </c>
      <c r="S22" s="10" t="s">
        <v>151</v>
      </c>
      <c r="T22" s="14">
        <f t="shared" si="25"/>
        <v>6.6623640452349799E-4</v>
      </c>
      <c r="U22" s="13">
        <f>_xll.dnetGBlackScholesNGreeks("delta",$Q22,$P22,$G22,$I22,$C$3,$J22,$K22,$C$4)*R22</f>
        <v>-2.2093413203450041E-2</v>
      </c>
      <c r="V22" s="13">
        <f>_xll.dnetGBlackScholesNGreeks("vega",$Q22,$P22,$G22,$I22,$C$3,$J22,$K22,$C$4)*R22</f>
        <v>6.5953601988548272E-2</v>
      </c>
      <c r="X22" s="6">
        <f t="shared" si="26"/>
        <v>-44.186826406900082</v>
      </c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207</v>
      </c>
      <c r="E23" s="8">
        <f t="shared" ca="1" si="15"/>
        <v>43199</v>
      </c>
      <c r="F23" s="8">
        <f t="shared" ca="1" si="20"/>
        <v>43230</v>
      </c>
      <c r="G23" s="10">
        <v>390</v>
      </c>
      <c r="H23" s="10">
        <v>31</v>
      </c>
      <c r="I23" s="12">
        <f t="shared" si="21"/>
        <v>7.9452054794520555E-2</v>
      </c>
      <c r="J23" s="12">
        <v>0</v>
      </c>
      <c r="K23" s="9">
        <v>0.28000000000000003</v>
      </c>
      <c r="L23" s="13">
        <f>_xll.dnetGBlackScholesNGreeks("price",$Q23,$P23,$G23,$I23,$C$3,$J23,$K23,$C$4)*R23</f>
        <v>0.68762211054358957</v>
      </c>
      <c r="M23" s="15"/>
      <c r="N23" s="13">
        <f t="shared" si="22"/>
        <v>0</v>
      </c>
      <c r="O23" s="13">
        <f t="shared" si="23"/>
        <v>0.68762211054358957</v>
      </c>
      <c r="P23" s="11">
        <f>RTD("wdf.rtq",,D23,"LastPrice")</f>
        <v>444</v>
      </c>
      <c r="Q23" s="10" t="s">
        <v>85</v>
      </c>
      <c r="R23" s="10">
        <f t="shared" si="24"/>
        <v>1</v>
      </c>
      <c r="S23" s="10" t="s">
        <v>151</v>
      </c>
      <c r="T23" s="14">
        <f t="shared" si="25"/>
        <v>1.5486984471702468E-3</v>
      </c>
      <c r="U23" s="13">
        <f>_xll.dnetGBlackScholesNGreeks("delta",$Q23,$P23,$G23,$I23,$C$3,$J23,$K23,$C$4)*R23</f>
        <v>-4.6159792411160083E-2</v>
      </c>
      <c r="V23" s="13">
        <f>_xll.dnetGBlackScholesNGreeks("vega",$Q23,$P23,$G23,$I23,$C$3,$J23,$K23,$C$4)*R23</f>
        <v>0.1210201210140589</v>
      </c>
      <c r="X23" s="6">
        <f t="shared" si="26"/>
        <v>-92.319584822320166</v>
      </c>
    </row>
    <row r="24" spans="1:24" ht="10.5" customHeight="1" x14ac:dyDescent="0.15">
      <c r="A24" s="34"/>
      <c r="B24" s="13" t="s">
        <v>172</v>
      </c>
      <c r="C24" s="10" t="s">
        <v>161</v>
      </c>
      <c r="D24" s="10" t="s">
        <v>207</v>
      </c>
      <c r="E24" s="8">
        <f t="shared" ca="1" si="15"/>
        <v>43199</v>
      </c>
      <c r="F24" s="8">
        <f t="shared" ca="1" si="20"/>
        <v>43230</v>
      </c>
      <c r="G24" s="10">
        <v>400</v>
      </c>
      <c r="H24" s="10">
        <v>31</v>
      </c>
      <c r="I24" s="12">
        <f t="shared" si="21"/>
        <v>7.9452054794520555E-2</v>
      </c>
      <c r="J24" s="12">
        <v>0</v>
      </c>
      <c r="K24" s="9">
        <v>0.28000000000000003</v>
      </c>
      <c r="L24" s="13">
        <f>_xll.dnetGBlackScholesNGreeks("price",$Q24,$P24,$G24,$I24,$C$3,$J24,$K24,$C$4)*R24</f>
        <v>1.4408876909755151</v>
      </c>
      <c r="M24" s="15"/>
      <c r="N24" s="13">
        <f t="shared" si="22"/>
        <v>0</v>
      </c>
      <c r="O24" s="13">
        <f t="shared" si="23"/>
        <v>1.4408876909755151</v>
      </c>
      <c r="P24" s="11">
        <f>RTD("wdf.rtq",,D24,"LastPrice")</f>
        <v>444</v>
      </c>
      <c r="Q24" s="10" t="s">
        <v>85</v>
      </c>
      <c r="R24" s="10">
        <f t="shared" si="24"/>
        <v>1</v>
      </c>
      <c r="S24" s="10" t="s">
        <v>151</v>
      </c>
      <c r="T24" s="14">
        <f t="shared" si="25"/>
        <v>3.2452425472421511E-3</v>
      </c>
      <c r="U24" s="13">
        <f>_xll.dnetGBlackScholesNGreeks("delta",$Q24,$P24,$G24,$I24,$C$3,$J24,$K24,$C$4)*R24</f>
        <v>-8.6502026187673664E-2</v>
      </c>
      <c r="V24" s="13">
        <f>_xll.dnetGBlackScholesNGreeks("vega",$Q24,$P24,$G24,$I24,$C$3,$J24,$K24,$C$4)*R24</f>
        <v>0.19714584159940429</v>
      </c>
      <c r="X24" s="6">
        <f t="shared" si="26"/>
        <v>-173.00405237534733</v>
      </c>
    </row>
    <row r="25" spans="1:24" ht="10.5" customHeight="1" x14ac:dyDescent="0.15">
      <c r="A25" s="34"/>
      <c r="B25" s="13" t="s">
        <v>172</v>
      </c>
      <c r="C25" s="10" t="s">
        <v>161</v>
      </c>
      <c r="D25" s="10" t="s">
        <v>207</v>
      </c>
      <c r="E25" s="8">
        <f t="shared" ca="1" si="15"/>
        <v>43199</v>
      </c>
      <c r="F25" s="8">
        <f t="shared" ca="1" si="20"/>
        <v>43261</v>
      </c>
      <c r="G25" s="10">
        <v>350</v>
      </c>
      <c r="H25" s="10">
        <v>62</v>
      </c>
      <c r="I25" s="12">
        <f t="shared" si="21"/>
        <v>0.16438356164383561</v>
      </c>
      <c r="J25" s="12">
        <v>0</v>
      </c>
      <c r="K25" s="9">
        <v>0.28000000000000003</v>
      </c>
      <c r="L25" s="13">
        <f>_xll.dnetGBlackScholesNGreeks("price",$Q25,$P25,$G25,$I25,$C$3,$J25,$K25,$C$4)*R25</f>
        <v>0.29173628691615683</v>
      </c>
      <c r="M25" s="15"/>
      <c r="N25" s="13">
        <f t="shared" si="22"/>
        <v>0</v>
      </c>
      <c r="O25" s="13">
        <f>IF(L25&lt;=0,ABS(L25)+N25,L25-N25)</f>
        <v>0.29173628691615683</v>
      </c>
      <c r="P25" s="11">
        <f>RTD("wdf.rtq",,D25,"LastPrice")</f>
        <v>444</v>
      </c>
      <c r="Q25" s="10" t="s">
        <v>85</v>
      </c>
      <c r="R25" s="10">
        <f t="shared" si="24"/>
        <v>1</v>
      </c>
      <c r="S25" s="10" t="s">
        <v>151</v>
      </c>
      <c r="T25" s="14">
        <f t="shared" si="25"/>
        <v>6.5706370927062351E-4</v>
      </c>
      <c r="U25" s="13">
        <f>_xll.dnetGBlackScholesNGreeks("delta",$Q25,$P25,$G25,$I25,$C$3,$J25,$K25,$C$4)*R25</f>
        <v>-1.5636139942687421E-2</v>
      </c>
      <c r="V25" s="13">
        <f>_xll.dnetGBlackScholesNGreeks("vega",$Q25,$P25,$G25,$I25,$C$3,$J25,$K25,$C$4)*R25</f>
        <v>7.0706869682852336E-2</v>
      </c>
      <c r="X25" s="6">
        <f>2000*U25</f>
        <v>-31.272279885374843</v>
      </c>
    </row>
    <row r="26" spans="1:24" ht="10.5" customHeight="1" x14ac:dyDescent="0.15">
      <c r="A26" s="34"/>
      <c r="B26" s="13" t="s">
        <v>172</v>
      </c>
      <c r="C26" s="10" t="s">
        <v>161</v>
      </c>
      <c r="D26" s="10" t="s">
        <v>207</v>
      </c>
      <c r="E26" s="8">
        <f t="shared" ca="1" si="15"/>
        <v>43199</v>
      </c>
      <c r="F26" s="8">
        <f t="shared" ref="F26:F30" ca="1" si="27">E26+H26</f>
        <v>43261</v>
      </c>
      <c r="G26" s="10">
        <v>360</v>
      </c>
      <c r="H26" s="10">
        <v>62</v>
      </c>
      <c r="I26" s="12">
        <f t="shared" si="21"/>
        <v>0.16438356164383561</v>
      </c>
      <c r="J26" s="12">
        <v>0</v>
      </c>
      <c r="K26" s="9">
        <v>0.28000000000000003</v>
      </c>
      <c r="L26" s="13">
        <f>_xll.dnetGBlackScholesNGreeks("price",$Q26,$P26,$G26,$I26,$C$3,$J26,$K26,$C$4)*R26</f>
        <v>0.5719880374681221</v>
      </c>
      <c r="M26" s="15"/>
      <c r="N26" s="13">
        <f t="shared" ref="N26:N30" si="28">M26/10000*I26*P26</f>
        <v>0</v>
      </c>
      <c r="O26" s="13">
        <f t="shared" ref="O26:O30" si="29">IF(L26&lt;=0,ABS(L26)+N26,L26-N26)</f>
        <v>0.5719880374681221</v>
      </c>
      <c r="P26" s="11">
        <f>RTD("wdf.rtq",,D26,"LastPrice")</f>
        <v>444</v>
      </c>
      <c r="Q26" s="10" t="s">
        <v>85</v>
      </c>
      <c r="R26" s="10">
        <f t="shared" ref="R26:R30" si="30">IF(S26="中金买入",1,-1)</f>
        <v>1</v>
      </c>
      <c r="S26" s="10" t="s">
        <v>151</v>
      </c>
      <c r="T26" s="14">
        <f t="shared" ref="T26:T30" si="31">O26/P26</f>
        <v>1.2882613456489237E-3</v>
      </c>
      <c r="U26" s="13">
        <f>_xll.dnetGBlackScholesNGreeks("delta",$Q26,$P26,$G26,$I26,$C$3,$J26,$K26,$C$4)*R26</f>
        <v>-2.835317795542025E-2</v>
      </c>
      <c r="V26" s="13">
        <f>_xll.dnetGBlackScholesNGreeks("vega",$Q26,$P26,$G26,$I26,$C$3,$J26,$K26,$C$4)*R26</f>
        <v>0.11684455058447174</v>
      </c>
      <c r="X26" s="6">
        <f t="shared" ref="X26:X30" si="32">2000*U26</f>
        <v>-56.7063559108405</v>
      </c>
    </row>
    <row r="27" spans="1:24" ht="10.5" customHeight="1" x14ac:dyDescent="0.15">
      <c r="A27" s="34"/>
      <c r="B27" s="13" t="s">
        <v>172</v>
      </c>
      <c r="C27" s="10" t="s">
        <v>161</v>
      </c>
      <c r="D27" s="10" t="s">
        <v>207</v>
      </c>
      <c r="E27" s="8">
        <f t="shared" ca="1" si="15"/>
        <v>43199</v>
      </c>
      <c r="F27" s="8">
        <f t="shared" ca="1" si="27"/>
        <v>43261</v>
      </c>
      <c r="G27" s="10">
        <v>370</v>
      </c>
      <c r="H27" s="10">
        <v>62</v>
      </c>
      <c r="I27" s="12">
        <f t="shared" si="21"/>
        <v>0.16438356164383561</v>
      </c>
      <c r="J27" s="12">
        <v>0</v>
      </c>
      <c r="K27" s="9">
        <v>0.28000000000000003</v>
      </c>
      <c r="L27" s="13">
        <f>_xll.dnetGBlackScholesNGreeks("price",$Q27,$P27,$G27,$I27,$C$3,$J27,$K27,$C$4)*R27</f>
        <v>1.0496348123461949</v>
      </c>
      <c r="M27" s="15"/>
      <c r="N27" s="13">
        <f t="shared" si="28"/>
        <v>0</v>
      </c>
      <c r="O27" s="13">
        <f t="shared" si="29"/>
        <v>1.0496348123461949</v>
      </c>
      <c r="P27" s="11">
        <f>RTD("wdf.rtq",,D27,"LastPrice")</f>
        <v>444</v>
      </c>
      <c r="Q27" s="10" t="s">
        <v>85</v>
      </c>
      <c r="R27" s="10">
        <f t="shared" si="30"/>
        <v>1</v>
      </c>
      <c r="S27" s="10" t="s">
        <v>151</v>
      </c>
      <c r="T27" s="14">
        <f t="shared" si="31"/>
        <v>2.3640423701490878E-3</v>
      </c>
      <c r="U27" s="13">
        <f>_xll.dnetGBlackScholesNGreeks("delta",$Q27,$P27,$G27,$I27,$C$3,$J27,$K27,$C$4)*R27</f>
        <v>-4.8019970705581727E-2</v>
      </c>
      <c r="V27" s="13">
        <f>_xll.dnetGBlackScholesNGreeks("vega",$Q27,$P27,$G27,$I27,$C$3,$J27,$K27,$C$4)*R27</f>
        <v>0.17960361178174544</v>
      </c>
      <c r="X27" s="6">
        <f t="shared" si="32"/>
        <v>-96.039941411163454</v>
      </c>
    </row>
    <row r="28" spans="1:24" ht="10.5" customHeight="1" x14ac:dyDescent="0.15">
      <c r="A28" s="34"/>
      <c r="B28" s="13" t="s">
        <v>172</v>
      </c>
      <c r="C28" s="10" t="s">
        <v>161</v>
      </c>
      <c r="D28" s="10" t="s">
        <v>207</v>
      </c>
      <c r="E28" s="8">
        <f t="shared" ca="1" si="15"/>
        <v>43199</v>
      </c>
      <c r="F28" s="8">
        <f t="shared" ca="1" si="27"/>
        <v>43261</v>
      </c>
      <c r="G28" s="10">
        <v>380</v>
      </c>
      <c r="H28" s="10">
        <v>62</v>
      </c>
      <c r="I28" s="12">
        <f t="shared" si="21"/>
        <v>0.16438356164383561</v>
      </c>
      <c r="J28" s="12">
        <v>0</v>
      </c>
      <c r="K28" s="9">
        <v>0.28000000000000003</v>
      </c>
      <c r="L28" s="13">
        <f>_xll.dnetGBlackScholesNGreeks("price",$Q28,$P28,$G28,$I28,$C$3,$J28,$K28,$C$4)*R28</f>
        <v>1.8135807047642416</v>
      </c>
      <c r="M28" s="15"/>
      <c r="N28" s="13">
        <f t="shared" si="28"/>
        <v>0</v>
      </c>
      <c r="O28" s="13">
        <f t="shared" si="29"/>
        <v>1.8135807047642416</v>
      </c>
      <c r="P28" s="11">
        <f>RTD("wdf.rtq",,D28,"LastPrice")</f>
        <v>444</v>
      </c>
      <c r="Q28" s="10" t="s">
        <v>85</v>
      </c>
      <c r="R28" s="10">
        <f t="shared" si="30"/>
        <v>1</v>
      </c>
      <c r="S28" s="10" t="s">
        <v>151</v>
      </c>
      <c r="T28" s="14">
        <f t="shared" si="31"/>
        <v>4.0846412269464902E-3</v>
      </c>
      <c r="U28" s="13">
        <f>_xll.dnetGBlackScholesNGreeks("delta",$Q28,$P28,$G28,$I28,$C$3,$J28,$K28,$C$4)*R28</f>
        <v>-7.6413255628793308E-2</v>
      </c>
      <c r="V28" s="13">
        <f>_xll.dnetGBlackScholesNGreeks("vega",$Q28,$P28,$G28,$I28,$C$3,$J28,$K28,$C$4)*R28</f>
        <v>0.25815309082091709</v>
      </c>
      <c r="X28" s="6">
        <f t="shared" si="32"/>
        <v>-152.82651125758662</v>
      </c>
    </row>
    <row r="29" spans="1:24" ht="10.5" customHeight="1" x14ac:dyDescent="0.15">
      <c r="A29" s="34"/>
      <c r="B29" s="13" t="s">
        <v>172</v>
      </c>
      <c r="C29" s="10" t="s">
        <v>161</v>
      </c>
      <c r="D29" s="10" t="s">
        <v>207</v>
      </c>
      <c r="E29" s="8">
        <f t="shared" ca="1" si="15"/>
        <v>43199</v>
      </c>
      <c r="F29" s="8">
        <f t="shared" ca="1" si="27"/>
        <v>43261</v>
      </c>
      <c r="G29" s="10">
        <v>390</v>
      </c>
      <c r="H29" s="10">
        <v>62</v>
      </c>
      <c r="I29" s="12">
        <f t="shared" si="21"/>
        <v>0.16438356164383561</v>
      </c>
      <c r="J29" s="12">
        <v>0</v>
      </c>
      <c r="K29" s="9">
        <v>0.28000000000000003</v>
      </c>
      <c r="L29" s="13">
        <f>_xll.dnetGBlackScholesNGreeks("price",$Q29,$P29,$G29,$I29,$C$3,$J29,$K29,$C$4)*R29</f>
        <v>2.9666394207236948</v>
      </c>
      <c r="M29" s="15"/>
      <c r="N29" s="13">
        <f t="shared" si="28"/>
        <v>0</v>
      </c>
      <c r="O29" s="13">
        <f t="shared" si="29"/>
        <v>2.9666394207236948</v>
      </c>
      <c r="P29" s="11">
        <f>RTD("wdf.rtq",,D29,"LastPrice")</f>
        <v>444</v>
      </c>
      <c r="Q29" s="10" t="s">
        <v>85</v>
      </c>
      <c r="R29" s="10">
        <f t="shared" si="30"/>
        <v>1</v>
      </c>
      <c r="S29" s="10" t="s">
        <v>151</v>
      </c>
      <c r="T29" s="14">
        <f t="shared" si="31"/>
        <v>6.6816203169452583E-3</v>
      </c>
      <c r="U29" s="13">
        <f>_xll.dnetGBlackScholesNGreeks("delta",$Q29,$P29,$G29,$I29,$C$3,$J29,$K29,$C$4)*R29</f>
        <v>-0.11487450516902697</v>
      </c>
      <c r="V29" s="13">
        <f>_xll.dnetGBlackScholesNGreeks("vega",$Q29,$P29,$G29,$I29,$C$3,$J29,$K29,$C$4)*R29</f>
        <v>0.3486487543101866</v>
      </c>
      <c r="X29" s="6">
        <f t="shared" si="32"/>
        <v>-229.74901033805395</v>
      </c>
    </row>
    <row r="30" spans="1:24" ht="10.5" customHeight="1" x14ac:dyDescent="0.15">
      <c r="A30" s="34"/>
      <c r="B30" s="13" t="s">
        <v>172</v>
      </c>
      <c r="C30" s="10" t="s">
        <v>161</v>
      </c>
      <c r="D30" s="10" t="s">
        <v>207</v>
      </c>
      <c r="E30" s="8">
        <f t="shared" ca="1" si="15"/>
        <v>43199</v>
      </c>
      <c r="F30" s="8">
        <f t="shared" ca="1" si="27"/>
        <v>43261</v>
      </c>
      <c r="G30" s="10">
        <v>400</v>
      </c>
      <c r="H30" s="10">
        <v>62</v>
      </c>
      <c r="I30" s="12">
        <f t="shared" si="21"/>
        <v>0.16438356164383561</v>
      </c>
      <c r="J30" s="12">
        <v>0</v>
      </c>
      <c r="K30" s="9">
        <v>0.28000000000000003</v>
      </c>
      <c r="L30" s="13">
        <f>_xll.dnetGBlackScholesNGreeks("price",$Q30,$P30,$G30,$I30,$C$3,$J30,$K30,$C$4)*R30</f>
        <v>4.6175964467754653</v>
      </c>
      <c r="M30" s="15"/>
      <c r="N30" s="13">
        <f t="shared" si="28"/>
        <v>0</v>
      </c>
      <c r="O30" s="13">
        <f t="shared" si="29"/>
        <v>4.6175964467754653</v>
      </c>
      <c r="P30" s="11">
        <f>RTD("wdf.rtq",,D30,"LastPrice")</f>
        <v>444</v>
      </c>
      <c r="Q30" s="10" t="s">
        <v>85</v>
      </c>
      <c r="R30" s="10">
        <f t="shared" si="30"/>
        <v>1</v>
      </c>
      <c r="S30" s="10" t="s">
        <v>151</v>
      </c>
      <c r="T30" s="14">
        <f t="shared" si="31"/>
        <v>1.039999199724204E-2</v>
      </c>
      <c r="U30" s="13">
        <f>_xll.dnetGBlackScholesNGreeks("delta",$Q30,$P30,$G30,$I30,$C$3,$J30,$K30,$C$4)*R30</f>
        <v>-0.16398230824989923</v>
      </c>
      <c r="V30" s="13">
        <f>_xll.dnetGBlackScholesNGreeks("vega",$Q30,$P30,$G30,$I30,$C$3,$J30,$K30,$C$4)*R30</f>
        <v>0.44438479136753983</v>
      </c>
      <c r="X30" s="6">
        <f t="shared" si="32"/>
        <v>-327.96461649979847</v>
      </c>
    </row>
    <row r="31" spans="1:24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5" spans="6:6" x14ac:dyDescent="0.15">
      <c r="F35" s="120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S19:S31 S13:S17</xm:sqref>
        </x14:dataValidation>
        <x14:dataValidation type="list" allowBlank="1" showInputMessage="1" showErrorMessage="1">
          <x14:formula1>
            <xm:f>configs!$C$1:$C$2</xm:f>
          </x14:formula1>
          <xm:sqref>Q8:Q9 Q11 Q19:Q31 Q13:Q17</xm:sqref>
        </x14:dataValidation>
        <x14:dataValidation type="list" allowBlank="1" showInputMessage="1">
          <x14:formula1>
            <xm:f>configs!$A$1:$A$36</xm:f>
          </x14:formula1>
          <xm:sqref>C8:C9 C11 C19:C31 C13:C17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7" zoomScale="85" zoomScaleNormal="85" workbookViewId="0">
      <selection activeCell="I56" sqref="I5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5" t="s">
        <v>37</v>
      </c>
      <c r="C1" s="14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43199</v>
      </c>
      <c r="F8" s="46">
        <f ca="1">E8+H8</f>
        <v>43229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43199</v>
      </c>
      <c r="F9" s="54">
        <f ca="1">F8</f>
        <v>43229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43199</v>
      </c>
      <c r="F10" s="62">
        <f ca="1">F9</f>
        <v>43229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43199</v>
      </c>
      <c r="F11" s="46">
        <f ca="1">E11+H11</f>
        <v>43229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-42.757671893039287</v>
      </c>
      <c r="M11" s="49"/>
      <c r="N11" s="43"/>
      <c r="O11" s="43">
        <f t="shared" si="0"/>
        <v>42.757671893039287</v>
      </c>
      <c r="P11" s="117">
        <f>RTD("wdf.rtq",,D11,"LastPrice")</f>
        <v>3408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0.29705310506642491</v>
      </c>
      <c r="V11" s="43">
        <f>_xll.dnetGBlackScholesNGreeks("vega",$Q11,$P11,$G11,$I11,$C$3,$J11,$K11,$C$4)*R11</f>
        <v>-3.3781029414561772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43199</v>
      </c>
      <c r="F12" s="54">
        <f t="shared" ca="1" si="1"/>
        <v>43229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0.16440015151952991</v>
      </c>
      <c r="M12" s="57"/>
      <c r="N12" s="51"/>
      <c r="O12" s="51">
        <f t="shared" si="0"/>
        <v>0.16440015151952991</v>
      </c>
      <c r="P12" s="95">
        <f>P11</f>
        <v>3408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2.8437835857708649E-3</v>
      </c>
      <c r="V12" s="51">
        <f>_xll.dnetGBlackScholesNGreeks("vega",$Q12,$P12,$G12,$I12,$C$3,$J12,$K12,$C$4)*R12</f>
        <v>8.6496901478122279E-2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43199</v>
      </c>
      <c r="F13" s="62">
        <f t="shared" ca="1" si="1"/>
        <v>43229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-42.593271741519757</v>
      </c>
      <c r="M13" s="60"/>
      <c r="N13" s="59">
        <f>M13/10000*I13*P13</f>
        <v>0</v>
      </c>
      <c r="O13" s="59">
        <f t="shared" si="0"/>
        <v>42.593271741519757</v>
      </c>
      <c r="P13" s="118">
        <f>P12</f>
        <v>3408</v>
      </c>
      <c r="Q13" s="60"/>
      <c r="R13" s="60"/>
      <c r="S13" s="56" t="s">
        <v>151</v>
      </c>
      <c r="T13" s="64">
        <f>O13/P13</f>
        <v>1.2498025745751103E-2</v>
      </c>
      <c r="U13" s="64">
        <f>U12+U11</f>
        <v>0.29989688865219577</v>
      </c>
      <c r="V13" s="64">
        <f>V12+V11</f>
        <v>-3.2916060399780549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43199</v>
      </c>
      <c r="F14" s="46">
        <f ca="1">E14+H14</f>
        <v>43229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-83.503970257979745</v>
      </c>
      <c r="M14" s="49"/>
      <c r="N14" s="43"/>
      <c r="O14" s="43">
        <f t="shared" ref="O14:O28" si="2">IF(L14&lt;=0,ABS(L14)+N14,L14-N14)</f>
        <v>83.503970257979745</v>
      </c>
      <c r="P14" s="117">
        <f>RTD("wdf.rtq",,D14,"LastPrice")</f>
        <v>3408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0.47184331082235076</v>
      </c>
      <c r="V14" s="43">
        <f>_xll.dnetGBlackScholesNGreeks("vega",$Q14,$P14,$G14,$I14,$C$3,$J14,$K14,$C$4)*R14</f>
        <v>-3.8822612232046367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43199</v>
      </c>
      <c r="F15" s="54">
        <f t="shared" ca="1" si="3"/>
        <v>43229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0.16440015151952991</v>
      </c>
      <c r="M15" s="57"/>
      <c r="N15" s="51"/>
      <c r="O15" s="51">
        <f t="shared" si="2"/>
        <v>0.16440015151952991</v>
      </c>
      <c r="P15" s="95">
        <f>P14</f>
        <v>3408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2.8437835857708649E-3</v>
      </c>
      <c r="V15" s="51">
        <f>_xll.dnetGBlackScholesNGreeks("vega",$Q15,$P15,$G15,$I15,$C$3,$J15,$K15,$C$4)*R15</f>
        <v>8.6496901478122279E-2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43199</v>
      </c>
      <c r="F16" s="62">
        <f t="shared" ca="1" si="3"/>
        <v>43229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-83.339570106460215</v>
      </c>
      <c r="M16" s="60"/>
      <c r="N16" s="59">
        <f>M16/10000*I16*P16</f>
        <v>0</v>
      </c>
      <c r="O16" s="59">
        <f t="shared" si="2"/>
        <v>83.339570106460215</v>
      </c>
      <c r="P16" s="118">
        <f>P15</f>
        <v>3408</v>
      </c>
      <c r="Q16" s="60"/>
      <c r="R16" s="60"/>
      <c r="S16" s="56" t="s">
        <v>151</v>
      </c>
      <c r="T16" s="64">
        <f>O16/P16</f>
        <v>2.4454099209642081E-2</v>
      </c>
      <c r="U16" s="64">
        <f>U15+U14</f>
        <v>0.47468709440812162</v>
      </c>
      <c r="V16" s="64">
        <f>V15+V14</f>
        <v>-3.7957643217265145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43199</v>
      </c>
      <c r="F17" s="46">
        <f ca="1">E17+H17</f>
        <v>43229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-142.10419464040842</v>
      </c>
      <c r="M17" s="49"/>
      <c r="N17" s="43"/>
      <c r="O17" s="43">
        <f t="shared" si="2"/>
        <v>142.10419464040842</v>
      </c>
      <c r="P17" s="117">
        <f>RTD("wdf.rtq",,D17,"LastPrice")</f>
        <v>3408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0.64722018512384238</v>
      </c>
      <c r="V17" s="43">
        <f>_xll.dnetGBlackScholesNGreeks("vega",$Q17,$P17,$G17,$I17,$C$3,$J17,$K17,$C$4)*R17</f>
        <v>-3.6188440605990309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43199</v>
      </c>
      <c r="F18" s="54">
        <f t="shared" ca="1" si="4"/>
        <v>43229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0.16440015151952991</v>
      </c>
      <c r="M18" s="57"/>
      <c r="N18" s="51"/>
      <c r="O18" s="51">
        <f t="shared" si="2"/>
        <v>0.16440015151952991</v>
      </c>
      <c r="P18" s="95">
        <f>P17</f>
        <v>3408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2.8437835857708649E-3</v>
      </c>
      <c r="V18" s="51">
        <f>_xll.dnetGBlackScholesNGreeks("vega",$Q18,$P18,$G18,$I18,$C$3,$J18,$K18,$C$4)*R18</f>
        <v>8.6496901478122279E-2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43199</v>
      </c>
      <c r="F19" s="62">
        <f t="shared" ca="1" si="4"/>
        <v>43229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-141.93979448888888</v>
      </c>
      <c r="M19" s="60"/>
      <c r="N19" s="59">
        <f>M19/10000*I19*P19</f>
        <v>0</v>
      </c>
      <c r="O19" s="59">
        <f t="shared" si="2"/>
        <v>141.93979448888888</v>
      </c>
      <c r="P19" s="118">
        <f>P18</f>
        <v>3408</v>
      </c>
      <c r="Q19" s="60"/>
      <c r="R19" s="60"/>
      <c r="S19" s="56" t="s">
        <v>151</v>
      </c>
      <c r="T19" s="64">
        <f>O19/P19</f>
        <v>4.1649000730307771E-2</v>
      </c>
      <c r="U19" s="64">
        <f>U18+U17</f>
        <v>0.65006396870961325</v>
      </c>
      <c r="V19" s="64">
        <f>V18+V17</f>
        <v>-3.5323471591209086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43199</v>
      </c>
      <c r="F20" s="46">
        <f ca="1">E20+H20</f>
        <v>43289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-101.07584918130715</v>
      </c>
      <c r="M20" s="49"/>
      <c r="N20" s="43"/>
      <c r="O20" s="43">
        <f t="shared" si="2"/>
        <v>101.07584918130715</v>
      </c>
      <c r="P20" s="117">
        <f>RTD("wdf.rtq",,D20,"LastPrice")</f>
        <v>3408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0.36359012307229932</v>
      </c>
      <c r="V20" s="43">
        <f>_xll.dnetGBlackScholesNGreeks("vega",$Q20,$P20,$G20,$I20,$C$3,$J20,$K20,$C$4)*R20</f>
        <v>-6.3313607050628207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43199</v>
      </c>
      <c r="F21" s="54">
        <f t="shared" ca="1" si="5"/>
        <v>43289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8.2207980766318656</v>
      </c>
      <c r="M21" s="57"/>
      <c r="N21" s="51"/>
      <c r="O21" s="51">
        <f t="shared" si="2"/>
        <v>8.2207980766318656</v>
      </c>
      <c r="P21" s="95">
        <f>P20</f>
        <v>3408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5.8722393325183475E-2</v>
      </c>
      <c r="V21" s="51">
        <f>_xll.dnetGBlackScholesNGreeks("vega",$Q21,$P21,$G21,$I21,$C$3,$J21,$K21,$C$4)*R21</f>
        <v>1.9792082782521305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43199</v>
      </c>
      <c r="F22" s="62">
        <f t="shared" ca="1" si="5"/>
        <v>43289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-92.855051104675283</v>
      </c>
      <c r="M22" s="60"/>
      <c r="N22" s="59">
        <f>M22/10000*I22*P22</f>
        <v>0</v>
      </c>
      <c r="O22" s="59">
        <f t="shared" si="2"/>
        <v>92.855051104675283</v>
      </c>
      <c r="P22" s="118">
        <f>P21</f>
        <v>3408</v>
      </c>
      <c r="Q22" s="60"/>
      <c r="R22" s="60"/>
      <c r="S22" s="56" t="s">
        <v>151</v>
      </c>
      <c r="T22" s="64">
        <f>O22/P22</f>
        <v>2.72462004415127E-2</v>
      </c>
      <c r="U22" s="64">
        <f>U21+U20</f>
        <v>0.4223125163974828</v>
      </c>
      <c r="V22" s="64">
        <f>V21+V20</f>
        <v>-4.3521524268106901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43199</v>
      </c>
      <c r="F23" s="46">
        <f ca="1">E23+H23</f>
        <v>43289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-146.95307947889933</v>
      </c>
      <c r="M23" s="49"/>
      <c r="N23" s="43"/>
      <c r="O23" s="43">
        <f t="shared" si="2"/>
        <v>146.95307947889933</v>
      </c>
      <c r="P23" s="117">
        <f>RTD("wdf.rtq",,D23,"LastPrice")</f>
        <v>3408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0.46704325566224725</v>
      </c>
      <c r="V23" s="43">
        <f>_xll.dnetGBlackScholesNGreeks("vega",$Q23,$P23,$G23,$I23,$C$3,$J23,$K23,$C$4)*R23</f>
        <v>-6.6981989223673963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43199</v>
      </c>
      <c r="F24" s="54">
        <f t="shared" ca="1" si="6"/>
        <v>43289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8.2207980766318656</v>
      </c>
      <c r="M24" s="57"/>
      <c r="N24" s="51"/>
      <c r="O24" s="51">
        <f t="shared" si="2"/>
        <v>8.2207980766318656</v>
      </c>
      <c r="P24" s="95">
        <f>P23</f>
        <v>3408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5.8722393325183475E-2</v>
      </c>
      <c r="V24" s="51">
        <f>_xll.dnetGBlackScholesNGreeks("vega",$Q24,$P24,$G24,$I24,$C$3,$J24,$K24,$C$4)*R24</f>
        <v>1.9792082782521305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43199</v>
      </c>
      <c r="F25" s="62">
        <f t="shared" ca="1" si="6"/>
        <v>43289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-138.73228140226746</v>
      </c>
      <c r="M25" s="60"/>
      <c r="N25" s="59">
        <f>M25/10000*I25*P25</f>
        <v>0</v>
      </c>
      <c r="O25" s="59">
        <f t="shared" si="2"/>
        <v>138.73228140226746</v>
      </c>
      <c r="P25" s="118">
        <f>P24</f>
        <v>3408</v>
      </c>
      <c r="Q25" s="60"/>
      <c r="R25" s="60"/>
      <c r="S25" s="56" t="s">
        <v>151</v>
      </c>
      <c r="T25" s="64">
        <f>O25/P25</f>
        <v>4.0707829049961113E-2</v>
      </c>
      <c r="U25" s="64">
        <f>U24+U23</f>
        <v>0.52576564898743072</v>
      </c>
      <c r="V25" s="64">
        <f>V24+V23</f>
        <v>-4.7189906441152658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43199</v>
      </c>
      <c r="F26" s="46">
        <f ca="1">E26+H26</f>
        <v>43383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265.72890961240682</v>
      </c>
      <c r="M26" s="49"/>
      <c r="N26" s="43"/>
      <c r="O26" s="43">
        <f t="shared" si="2"/>
        <v>265.72890961240682</v>
      </c>
      <c r="P26" s="117">
        <f>RTD("wdf.rtq",,D26,"LastPrice")</f>
        <v>3408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-0.664384817082464</v>
      </c>
      <c r="V26" s="43">
        <f>_xll.dnetGBlackScholesNGreeks("vega",$Q26,$P26,$G26,$I26,$C$3,$J26,$K26,$C$4)*R26</f>
        <v>8.6590616414227952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43199</v>
      </c>
      <c r="F27" s="54">
        <f t="shared" ca="1" si="7"/>
        <v>43383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-23.437174192435407</v>
      </c>
      <c r="M27" s="57"/>
      <c r="N27" s="51"/>
      <c r="O27" s="51">
        <f t="shared" si="2"/>
        <v>23.437174192435407</v>
      </c>
      <c r="P27" s="95">
        <f>P26</f>
        <v>3408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-0.11597303541464044</v>
      </c>
      <c r="V27" s="51">
        <f>_xll.dnetGBlackScholesNGreeks("vega",$Q27,$P27,$G27,$I27,$C$3,$J27,$K27,$C$4)*R27</f>
        <v>-4.7056017896988749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43199</v>
      </c>
      <c r="F28" s="62">
        <f t="shared" ca="1" si="7"/>
        <v>43383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242.29173541997142</v>
      </c>
      <c r="M28" s="60"/>
      <c r="N28" s="59">
        <f>M28/10000*I28*P28</f>
        <v>0</v>
      </c>
      <c r="O28" s="59">
        <f t="shared" si="2"/>
        <v>242.29173541997142</v>
      </c>
      <c r="P28" s="118">
        <f>P27</f>
        <v>3408</v>
      </c>
      <c r="Q28" s="60"/>
      <c r="R28" s="60"/>
      <c r="S28" s="56" t="s">
        <v>151</v>
      </c>
      <c r="T28" s="64">
        <f>O28/P28</f>
        <v>7.1094992787550298E-2</v>
      </c>
      <c r="U28" s="64">
        <f>U27+U26</f>
        <v>-0.78035785249710443</v>
      </c>
      <c r="V28" s="64">
        <f>V27+V26</f>
        <v>3.9534598517239203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43199</v>
      </c>
      <c r="F29" s="46">
        <f ca="1">E29+H29</f>
        <v>43229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43199</v>
      </c>
      <c r="F30" s="54">
        <f t="shared" ca="1" si="9"/>
        <v>43229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43199</v>
      </c>
      <c r="F31" s="62">
        <f t="shared" ca="1" si="10"/>
        <v>43229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43199</v>
      </c>
      <c r="F32" s="46">
        <f ca="1">E32+H32</f>
        <v>43229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43199</v>
      </c>
      <c r="F33" s="54">
        <f t="shared" ca="1" si="11"/>
        <v>43229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43199</v>
      </c>
      <c r="F34" s="62">
        <f t="shared" ca="1" si="12"/>
        <v>43229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43199</v>
      </c>
      <c r="F35" s="46">
        <f ca="1">E35+H35</f>
        <v>43289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86.674773134131101</v>
      </c>
      <c r="M35" s="49"/>
      <c r="N35" s="43"/>
      <c r="O35" s="43">
        <f t="shared" ref="O35:O37" si="13">IF(L35&lt;=0,ABS(L35)+N35,L35-N35)</f>
        <v>86.674773134131101</v>
      </c>
      <c r="P35" s="117">
        <f>RTD("wdf.rtq",,D35,"LastPrice")</f>
        <v>3408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-0.40103282415202557</v>
      </c>
      <c r="V35" s="43">
        <f>_xll.dnetGBlackScholesNGreeks("vega",$Q35,$P35,$G35,$I35,$C$3,$J35,$K35,$C$4)*R35</f>
        <v>6.5180652221074524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43199</v>
      </c>
      <c r="F36" s="54">
        <f t="shared" ca="1" si="14"/>
        <v>43289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-60.099065805242049</v>
      </c>
      <c r="M36" s="57"/>
      <c r="N36" s="51"/>
      <c r="O36" s="51">
        <f t="shared" si="13"/>
        <v>60.099065805242049</v>
      </c>
      <c r="P36" s="95">
        <f>P35</f>
        <v>3408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-0.30087738347788218</v>
      </c>
      <c r="V36" s="51">
        <f>_xll.dnetGBlackScholesNGreeks("vega",$Q36,$P36,$G36,$I36,$C$3,$J36,$K36,$C$4)*R36</f>
        <v>-5.8735396689010031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43199</v>
      </c>
      <c r="F37" s="62">
        <f t="shared" ca="1" si="15"/>
        <v>43289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26.575707328889052</v>
      </c>
      <c r="M37" s="60"/>
      <c r="N37" s="59">
        <f>M37/10000*I37*P37</f>
        <v>0</v>
      </c>
      <c r="O37" s="59">
        <f t="shared" si="13"/>
        <v>26.575707328889052</v>
      </c>
      <c r="P37" s="118">
        <f>P36</f>
        <v>3408</v>
      </c>
      <c r="Q37" s="60"/>
      <c r="R37" s="60"/>
      <c r="S37" s="56" t="s">
        <v>151</v>
      </c>
      <c r="T37" s="64">
        <f>O37/P37</f>
        <v>7.7980361880542991E-3</v>
      </c>
      <c r="U37" s="64">
        <f>U36+U35</f>
        <v>-0.70191020762990775</v>
      </c>
      <c r="V37" s="64">
        <f>V36+V35</f>
        <v>0.64452555320644933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43199</v>
      </c>
      <c r="F38" s="46">
        <f ca="1">E38+H38</f>
        <v>43379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132.18198000768416</v>
      </c>
      <c r="M38" s="49"/>
      <c r="N38" s="43"/>
      <c r="O38" s="43">
        <f t="shared" ref="O38:O40" si="16">IF(L38&lt;=0,ABS(L38)+N38,L38-N38)</f>
        <v>132.18198000768416</v>
      </c>
      <c r="P38" s="117">
        <f>RTD("wdf.rtq",,D38,"LastPrice")</f>
        <v>3408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-0.41526571123995382</v>
      </c>
      <c r="V38" s="43">
        <f>_xll.dnetGBlackScholesNGreeks("vega",$Q38,$P38,$G38,$I38,$C$3,$J38,$K38,$C$4)*R38</f>
        <v>9.2599626456579927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43199</v>
      </c>
      <c r="F39" s="54">
        <f t="shared" ca="1" si="17"/>
        <v>43379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-109.28317434909673</v>
      </c>
      <c r="M39" s="57"/>
      <c r="N39" s="51"/>
      <c r="O39" s="51">
        <f t="shared" si="16"/>
        <v>109.28317434909673</v>
      </c>
      <c r="P39" s="95">
        <f>P38</f>
        <v>3408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-0.36639912340206138</v>
      </c>
      <c r="V39" s="51">
        <f>_xll.dnetGBlackScholesNGreeks("vega",$Q39,$P39,$G39,$I39,$C$3,$J39,$K39,$C$4)*R39</f>
        <v>-8.9459425660629677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43199</v>
      </c>
      <c r="F40" s="62">
        <f t="shared" ca="1" si="18"/>
        <v>43379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22.898805658587435</v>
      </c>
      <c r="M40" s="60">
        <v>50</v>
      </c>
      <c r="N40" s="59">
        <f>M40/10000*I40*P40</f>
        <v>8.4032876712328761</v>
      </c>
      <c r="O40" s="59">
        <f t="shared" si="16"/>
        <v>14.495517987354559</v>
      </c>
      <c r="P40" s="118">
        <f>P39</f>
        <v>3408</v>
      </c>
      <c r="Q40" s="60"/>
      <c r="R40" s="60"/>
      <c r="S40" s="56" t="s">
        <v>151</v>
      </c>
      <c r="T40" s="64">
        <f>O40/P40</f>
        <v>4.2533796911251639E-3</v>
      </c>
      <c r="U40" s="64">
        <f>U39+U38</f>
        <v>-0.78166483464201519</v>
      </c>
      <c r="V40" s="64">
        <f>V39+V38</f>
        <v>0.31402007959502498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43199</v>
      </c>
      <c r="F41" s="46">
        <f ca="1">E41+H41</f>
        <v>43279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144.57696565407105</v>
      </c>
      <c r="M41" s="49"/>
      <c r="N41" s="43"/>
      <c r="O41" s="43">
        <f t="shared" ref="O41:O43" si="19">IF(L41&lt;=0,ABS(L41)+N41,L41-N41)</f>
        <v>144.57696565407105</v>
      </c>
      <c r="P41" s="117">
        <f>RTD("wdf.rtq",,D41,"LastPrice")</f>
        <v>14330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-0.21397732639343303</v>
      </c>
      <c r="V41" s="43">
        <f>_xll.dnetGBlackScholesNGreeks("vega",$Q41,$P41,$G41,$I41,$C$3,$J41,$K41,$C$4)*R41</f>
        <v>19.496873923140583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43199</v>
      </c>
      <c r="F42" s="54">
        <f t="shared" ca="1" si="20"/>
        <v>43279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-520.67414876786006</v>
      </c>
      <c r="M42" s="57"/>
      <c r="N42" s="51"/>
      <c r="O42" s="51">
        <f t="shared" si="19"/>
        <v>520.67414876786006</v>
      </c>
      <c r="P42" s="95">
        <f>P41</f>
        <v>14330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-0.52481581092251872</v>
      </c>
      <c r="V42" s="51">
        <f>_xll.dnetGBlackScholesNGreeks("vega",$Q42,$P42,$G42,$I42,$C$3,$J42,$K42,$C$4)*R42</f>
        <v>-26.585521517718917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43199</v>
      </c>
      <c r="F43" s="62">
        <f t="shared" ca="1" si="21"/>
        <v>43279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-376.09718311378901</v>
      </c>
      <c r="M43" s="60">
        <v>50</v>
      </c>
      <c r="N43" s="59">
        <f>M43/10000*I43*P43</f>
        <v>15.704109589041094</v>
      </c>
      <c r="O43" s="59">
        <f t="shared" si="19"/>
        <v>391.8012927028301</v>
      </c>
      <c r="P43" s="118">
        <f>P42</f>
        <v>14330</v>
      </c>
      <c r="Q43" s="60"/>
      <c r="R43" s="60"/>
      <c r="S43" s="56" t="s">
        <v>151</v>
      </c>
      <c r="T43" s="64">
        <f>O43/P43</f>
        <v>2.7341332358885563E-2</v>
      </c>
      <c r="U43" s="64">
        <f>U42+U41</f>
        <v>-0.73879313731595175</v>
      </c>
      <c r="V43" s="64">
        <f>V42+V41</f>
        <v>-7.0886475945783332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4" t="s">
        <v>38</v>
      </c>
      <c r="C1" s="14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3649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43199</v>
      </c>
      <c r="N8" s="21">
        <f ca="1">M8+O8</f>
        <v>43229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-29.125048066765764</v>
      </c>
      <c r="T8" s="25">
        <v>80</v>
      </c>
      <c r="U8" s="24">
        <f>T8/10000*P8*H8</f>
        <v>2.3993424657534246</v>
      </c>
      <c r="V8" s="24">
        <f>IF(S8&lt;=0,ABS(S8)+U8,S8-U8)</f>
        <v>31.524390532519188</v>
      </c>
      <c r="W8" s="26">
        <f>V8/H8</f>
        <v>8.6391862243132885E-3</v>
      </c>
      <c r="X8" s="24">
        <f>_xll.dnetStandardBarrierNGreeks("delta",G8,H8,I8,K8,L8*H8,P8,$C$3,Q8,R8,$C$4)</f>
        <v>0.12712186876999709</v>
      </c>
      <c r="Y8" s="24">
        <f>_xll.dnetStandardBarrierNGreeks("vega",G8,H8,I8,K8,L8*H8,P8,$C$3,Q8,R8,$C$4)</f>
        <v>1.0060974109809742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43199</v>
      </c>
      <c r="N9" s="8">
        <f ca="1">M9+O9</f>
        <v>43379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6" t="s">
        <v>37</v>
      </c>
      <c r="C1" s="14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3649</v>
      </c>
      <c r="I8" s="19">
        <v>3800</v>
      </c>
      <c r="J8" s="21">
        <f ca="1">TODAY()</f>
        <v>43199</v>
      </c>
      <c r="K8" s="21">
        <f ca="1">J8+L8</f>
        <v>43229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67.082423244142547</v>
      </c>
      <c r="P8" s="25">
        <v>80</v>
      </c>
      <c r="Q8" s="24">
        <f>P8/10000*M8*H8*(-E8)</f>
        <v>2.3993424657534246</v>
      </c>
      <c r="R8" s="24">
        <f>O8+Q8</f>
        <v>69.481765709895967</v>
      </c>
      <c r="S8" s="26">
        <f>R8/H8</f>
        <v>1.9041316993668393E-2</v>
      </c>
      <c r="T8" s="24">
        <f>_xll.dnetGBlackScholesNGreeks("delta",$G8,$H8,$I8,$M8,$C$3,$C$4,$N8,$C$4)</f>
        <v>0.3373719098476613</v>
      </c>
      <c r="U8" s="24">
        <f>_xll.dnetGBlackScholesNGreeks("vega",$G8,$H8,$I8,$M8,$C$3,$C$4,$N8)</f>
        <v>3.8193639999294646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43199</v>
      </c>
      <c r="K9" s="8">
        <f ca="1">J9+L9</f>
        <v>43229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43199</v>
      </c>
      <c r="K10" s="8">
        <f ca="1">J10+L10</f>
        <v>43229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2018-04-09T07:27:14Z</dcterms:modified>
</cp:coreProperties>
</file>