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offer_van combo" sheetId="6" r:id="rId1"/>
    <sheet name="recap" sheetId="2" r:id="rId2"/>
    <sheet name="offer_van_sf" sheetId="10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Q33" i="6" l="1"/>
  <c r="H21" i="9"/>
  <c r="H22" i="9" s="1"/>
  <c r="I22" i="9"/>
  <c r="F22" i="9"/>
  <c r="M21" i="9"/>
  <c r="M22" i="9" s="1"/>
  <c r="E21" i="9"/>
  <c r="M20" i="9"/>
  <c r="J20" i="9"/>
  <c r="J21" i="9" s="1"/>
  <c r="J22" i="9" s="1"/>
  <c r="E20" i="9"/>
  <c r="U20" i="9"/>
  <c r="U21" i="9"/>
  <c r="V20" i="9"/>
  <c r="P21" i="9"/>
  <c r="P20" i="9"/>
  <c r="S20" i="9" l="1"/>
  <c r="P22" i="9"/>
  <c r="S21" i="9"/>
  <c r="U22" i="9"/>
  <c r="R22" i="9"/>
  <c r="K20" i="9"/>
  <c r="K21" i="9" s="1"/>
  <c r="K22" i="9" s="1"/>
  <c r="H18" i="9"/>
  <c r="L19" i="9"/>
  <c r="I19" i="9"/>
  <c r="F19" i="9"/>
  <c r="M18" i="9"/>
  <c r="M19" i="9" s="1"/>
  <c r="E18" i="9"/>
  <c r="M17" i="9"/>
  <c r="J17" i="9"/>
  <c r="J18" i="9" s="1"/>
  <c r="J19" i="9" s="1"/>
  <c r="E17" i="9"/>
  <c r="V21" i="9"/>
  <c r="U17" i="9"/>
  <c r="V22" i="9" l="1"/>
  <c r="S22" i="9"/>
  <c r="T22" i="9" s="1"/>
  <c r="K17" i="9"/>
  <c r="K18" i="9" s="1"/>
  <c r="K19" i="9" s="1"/>
  <c r="V18" i="9"/>
  <c r="P18" i="9"/>
  <c r="P17" i="9"/>
  <c r="V17" i="9"/>
  <c r="U18" i="9"/>
  <c r="P19" i="9" l="1"/>
  <c r="S17" i="9"/>
  <c r="U19" i="9"/>
  <c r="V19" i="9"/>
  <c r="S18" i="9"/>
  <c r="H19" i="9"/>
  <c r="R19" i="9" s="1"/>
  <c r="S19" i="9" l="1"/>
  <c r="T19" i="9" s="1"/>
  <c r="E14" i="9" l="1"/>
  <c r="E15" i="9"/>
  <c r="F15" i="9"/>
  <c r="F16" i="9" s="1"/>
  <c r="F12" i="9"/>
  <c r="F13" i="9" s="1"/>
  <c r="I16" i="9"/>
  <c r="L15" i="9"/>
  <c r="L16" i="9" s="1"/>
  <c r="M14" i="9"/>
  <c r="J14" i="9"/>
  <c r="J15" i="9" s="1"/>
  <c r="J16" i="9" s="1"/>
  <c r="M11" i="1"/>
  <c r="J11" i="1"/>
  <c r="K11" i="1" s="1"/>
  <c r="E11" i="1"/>
  <c r="M10" i="1"/>
  <c r="J10" i="1"/>
  <c r="K10" i="1" s="1"/>
  <c r="E10" i="1"/>
  <c r="H14" i="9"/>
  <c r="H11" i="9"/>
  <c r="U14" i="9"/>
  <c r="V14" i="9"/>
  <c r="P14" i="9"/>
  <c r="H11" i="1"/>
  <c r="H10" i="1"/>
  <c r="M15" i="9" l="1"/>
  <c r="M16" i="9" s="1"/>
  <c r="H12" i="9"/>
  <c r="H13" i="9" s="1"/>
  <c r="H15" i="9"/>
  <c r="S14" i="9"/>
  <c r="K14" i="9"/>
  <c r="K15" i="9" s="1"/>
  <c r="K16" i="9" s="1"/>
  <c r="I10" i="1"/>
  <c r="I11" i="1"/>
  <c r="R11" i="1"/>
  <c r="R10" i="1"/>
  <c r="V10" i="1"/>
  <c r="P15" i="9"/>
  <c r="P10" i="1"/>
  <c r="U10" i="1"/>
  <c r="V11" i="1"/>
  <c r="U11" i="1"/>
  <c r="U15" i="9"/>
  <c r="V15" i="9"/>
  <c r="P11" i="1"/>
  <c r="V16" i="9" l="1"/>
  <c r="U16" i="9"/>
  <c r="P16" i="9"/>
  <c r="S15" i="9"/>
  <c r="H16" i="9"/>
  <c r="R16" i="9" s="1"/>
  <c r="S11" i="1"/>
  <c r="T11" i="1" s="1"/>
  <c r="S10" i="1"/>
  <c r="T10" i="1" s="1"/>
  <c r="G31" i="6"/>
  <c r="I13" i="9"/>
  <c r="L12" i="9"/>
  <c r="L13" i="9" s="1"/>
  <c r="E12" i="9"/>
  <c r="M11" i="9"/>
  <c r="J11" i="9"/>
  <c r="J12" i="9" s="1"/>
  <c r="J13" i="9" s="1"/>
  <c r="E11" i="9"/>
  <c r="V11" i="9"/>
  <c r="S16" i="9" l="1"/>
  <c r="T16" i="9" s="1"/>
  <c r="M12" i="9"/>
  <c r="K11" i="9"/>
  <c r="K12" i="9" s="1"/>
  <c r="K13" i="9" s="1"/>
  <c r="U11" i="9"/>
  <c r="P12" i="9"/>
  <c r="U12" i="9"/>
  <c r="P11" i="9"/>
  <c r="V12" i="9"/>
  <c r="S12" i="9" l="1"/>
  <c r="M13" i="9"/>
  <c r="R13" i="9" s="1"/>
  <c r="U13" i="9"/>
  <c r="V13" i="9"/>
  <c r="S11" i="9"/>
  <c r="P13" i="9"/>
  <c r="S13" i="9" l="1"/>
  <c r="T13" i="9" s="1"/>
  <c r="D26" i="2"/>
  <c r="N8" i="2" l="1"/>
  <c r="I10" i="9" l="1"/>
  <c r="H10" i="9"/>
  <c r="F10" i="9"/>
  <c r="L9" i="9"/>
  <c r="M9" i="9" s="1"/>
  <c r="M10" i="9" s="1"/>
  <c r="E9" i="9"/>
  <c r="M8" i="9"/>
  <c r="J8" i="9"/>
  <c r="K8" i="9" s="1"/>
  <c r="K9" i="9" s="1"/>
  <c r="K10" i="9" s="1"/>
  <c r="E8" i="9"/>
  <c r="U9" i="9"/>
  <c r="V8" i="9"/>
  <c r="R10" i="9" l="1"/>
  <c r="L10" i="9"/>
  <c r="J9" i="9"/>
  <c r="J10" i="9" s="1"/>
  <c r="P9" i="9"/>
  <c r="V9" i="9"/>
  <c r="U8" i="9"/>
  <c r="P8" i="9"/>
  <c r="U10" i="9" l="1"/>
  <c r="S9" i="9"/>
  <c r="P10" i="9"/>
  <c r="S10" i="9" s="1"/>
  <c r="T10" i="9" s="1"/>
  <c r="S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O10" i="7"/>
  <c r="U9" i="7"/>
  <c r="H8" i="8"/>
  <c r="K9" i="8"/>
  <c r="T9" i="7"/>
  <c r="O9" i="7"/>
  <c r="T10" i="7"/>
  <c r="U10" i="7"/>
  <c r="H8" i="7"/>
  <c r="U8" i="8" l="1"/>
  <c r="Q9" i="7"/>
  <c r="R9" i="7" s="1"/>
  <c r="S9" i="7" s="1"/>
  <c r="Q10" i="7"/>
  <c r="R10" i="7" s="1"/>
  <c r="S10" i="7" s="1"/>
  <c r="Q8" i="7"/>
  <c r="U8" i="7"/>
  <c r="O8" i="7"/>
  <c r="X9" i="8"/>
  <c r="K8" i="8"/>
  <c r="S9" i="8"/>
  <c r="T8" i="7"/>
  <c r="Y9" i="8"/>
  <c r="V9" i="8" l="1"/>
  <c r="W9" i="8" s="1"/>
  <c r="R8" i="7"/>
  <c r="S8" i="7" s="1"/>
  <c r="X8" i="8"/>
  <c r="Y8" i="8"/>
  <c r="S8" i="8"/>
  <c r="V8" i="8" l="1"/>
  <c r="W8" i="8" s="1"/>
  <c r="E9" i="1"/>
  <c r="E8" i="1"/>
  <c r="M9" i="1" l="1"/>
  <c r="J9" i="1"/>
  <c r="K9" i="1" s="1"/>
  <c r="M8" i="1"/>
  <c r="J8" i="1"/>
  <c r="K8" i="1" s="1"/>
  <c r="U9" i="1"/>
  <c r="H8" i="1"/>
  <c r="P9" i="1"/>
  <c r="V9" i="1"/>
  <c r="R8" i="1" l="1"/>
  <c r="R9" i="1"/>
  <c r="S9" i="1" s="1"/>
  <c r="T9" i="1" s="1"/>
  <c r="P8" i="1"/>
  <c r="V8" i="1"/>
  <c r="U8" i="1"/>
  <c r="S8" i="1" l="1"/>
  <c r="T8" i="1" s="1"/>
</calcChain>
</file>

<file path=xl/sharedStrings.xml><?xml version="1.0" encoding="utf-8"?>
<sst xmlns="http://schemas.openxmlformats.org/spreadsheetml/2006/main" count="583" uniqueCount="230">
  <si>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</si>
  <si>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</si>
  <si>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</si>
  <si>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</si>
  <si>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</si>
  <si>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</si>
  <si>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</si>
  <si>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</si>
  <si>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</si>
  <si>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</si>
  <si>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</si>
  <si>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</si>
  <si>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</si>
  <si>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</si>
  <si>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</si>
  <si>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</si>
  <si>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</si>
  <si>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</si>
  <si>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</si>
  <si>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</si>
  <si>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</si>
  <si>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</si>
  <si>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</si>
  <si>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</si>
  <si>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</si>
  <si>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</si>
  <si>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</si>
  <si>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</si>
  <si>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</si>
  <si>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</si>
  <si>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</si>
  <si>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</si>
  <si>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</si>
  <si>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</si>
  <si>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</si>
  <si>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</si>
  <si>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</si>
  <si>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</si>
  <si>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</si>
  <si>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</si>
  <si>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</si>
  <si>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</si>
  <si>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</si>
  <si>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</si>
  <si>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</si>
  <si>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</si>
  <si>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</si>
  <si>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</si>
  <si>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</si>
  <si>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</si>
  <si>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</si>
  <si>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</si>
  <si>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</si>
  <si>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</si>
  <si>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</si>
  <si>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</si>
  <si>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</si>
  <si>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</si>
  <si>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</si>
  <si>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</si>
  <si>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</si>
  <si>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</si>
  <si>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</si>
  <si>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</si>
  <si>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</si>
  <si>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</si>
  <si>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</si>
  <si>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</si>
  <si>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</si>
  <si>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</si>
  <si>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</si>
  <si>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</si>
  <si>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</si>
  <si>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</si>
  <si>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</si>
  <si>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</si>
  <si>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</si>
  <si>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</si>
  <si>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</si>
  <si>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</si>
  <si>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</si>
  <si>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</si>
  <si>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</si>
  <si>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</si>
  <si>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</si>
  <si>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</si>
  <si>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</si>
  <si>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</si>
  <si>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</si>
  <si>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</si>
  <si>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</si>
  <si>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</si>
  <si>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</si>
  <si>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</si>
  <si>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</si>
  <si>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</si>
  <si>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</si>
  <si>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</si>
  <si>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</si>
  <si>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</si>
  <si>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</si>
  <si>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</si>
  <si>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</si>
  <si>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</si>
  <si>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</si>
  <si>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</si>
  <si>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</si>
  <si>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</si>
  <si>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</si>
  <si>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</si>
  <si>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</si>
  <si>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</si>
  <si>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</si>
  <si>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</si>
  <si>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</si>
  <si>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</si>
  <si>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</si>
  <si>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</si>
  <si>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</si>
  <si>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</si>
  <si>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</si>
  <si>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</si>
  <si>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</si>
  <si>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</si>
  <si>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</si>
  <si>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</si>
  <si>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</si>
  <si>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</si>
  <si>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</si>
  <si>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</si>
  <si>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</si>
  <si>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</si>
  <si>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</si>
  <si>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</si>
  <si>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</si>
  <si>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</si>
  <si>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</si>
  <si>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</si>
  <si>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</si>
  <si>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</si>
  <si>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</si>
  <si>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</si>
  <si>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</si>
  <si>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</si>
  <si>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</si>
  <si>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</si>
  <si>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</si>
  <si>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</si>
  <si>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</si>
  <si>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</si>
  <si>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</si>
  <si>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</si>
  <si>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</si>
  <si>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</si>
  <si>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</si>
  <si>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</si>
  <si>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</si>
  <si>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</si>
  <si>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</si>
  <si>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交易方向</t>
    <phoneticPr fontId="1" type="noConversion"/>
  </si>
  <si>
    <t>期权标的</t>
    <phoneticPr fontId="1" type="noConversion"/>
  </si>
  <si>
    <t>期权种类</t>
    <phoneticPr fontId="1" type="noConversion"/>
  </si>
  <si>
    <t>入场价</t>
    <phoneticPr fontId="1" type="noConversion"/>
  </si>
  <si>
    <t>交易日</t>
    <phoneticPr fontId="1" type="noConversion"/>
  </si>
  <si>
    <t>天数</t>
    <phoneticPr fontId="1" type="noConversion"/>
  </si>
  <si>
    <t>天数(y)</t>
    <phoneticPr fontId="1" type="noConversion"/>
  </si>
  <si>
    <t>Carry</t>
    <phoneticPr fontId="1" type="noConversion"/>
  </si>
  <si>
    <t>波动率</t>
    <phoneticPr fontId="1" type="noConversion"/>
  </si>
  <si>
    <t>成本价</t>
    <phoneticPr fontId="1" type="noConversion"/>
  </si>
  <si>
    <t>加点(绝对值)</t>
    <phoneticPr fontId="1" type="noConversion"/>
  </si>
  <si>
    <t>报价</t>
    <phoneticPr fontId="1" type="noConversion"/>
  </si>
  <si>
    <t>交易方向</t>
  </si>
  <si>
    <t>期权标的</t>
  </si>
  <si>
    <t>期权种类</t>
  </si>
  <si>
    <t>入场价</t>
  </si>
  <si>
    <t>执行价1|执行价2</t>
  </si>
  <si>
    <t>交易日</t>
  </si>
  <si>
    <t>到期日</t>
  </si>
  <si>
    <t>天数</t>
  </si>
  <si>
    <t>天数(y)</t>
  </si>
  <si>
    <t>Carry</t>
  </si>
  <si>
    <t>波动率</t>
  </si>
  <si>
    <t>成本价</t>
  </si>
  <si>
    <t>加点(bp)</t>
  </si>
  <si>
    <t>加点(绝对值)</t>
  </si>
  <si>
    <t>报价</t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</si>
  <si>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</si>
  <si>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</si>
  <si>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</si>
  <si>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</si>
  <si>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</si>
  <si>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</si>
  <si>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</si>
  <si>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</si>
  <si>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</si>
  <si>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</si>
  <si>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</si>
  <si>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</si>
  <si>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</si>
  <si>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</si>
  <si>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</si>
  <si>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</si>
  <si>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</si>
  <si>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</si>
  <si>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</si>
  <si>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</si>
  <si>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RB1810</t>
  </si>
  <si>
    <t>中金公司</t>
    <phoneticPr fontId="1" type="noConversion"/>
  </si>
  <si>
    <t>天物国际</t>
    <phoneticPr fontId="1" type="noConversion"/>
  </si>
  <si>
    <t>RB1810</t>
    <phoneticPr fontId="1" type="noConversion"/>
  </si>
  <si>
    <t>RMB</t>
    <phoneticPr fontId="1" type="noConversion"/>
  </si>
  <si>
    <t>看跌期权</t>
    <phoneticPr fontId="1" type="noConversion"/>
  </si>
  <si>
    <t>cf1805</t>
  </si>
  <si>
    <t>3791|3291</t>
  </si>
  <si>
    <t>put sprd</t>
    <phoneticPr fontId="1" type="noConversion"/>
  </si>
  <si>
    <t>cu1804</t>
  </si>
  <si>
    <t>cu1804</t>
    <phoneticPr fontId="1" type="noConversion"/>
  </si>
  <si>
    <t>rb1810</t>
  </si>
  <si>
    <t>rb1810</t>
    <phoneticPr fontId="1" type="noConversion"/>
  </si>
  <si>
    <t>l1805</t>
    <phoneticPr fontId="1" type="noConversion"/>
  </si>
  <si>
    <t>风险逆转</t>
    <phoneticPr fontId="1" type="noConversion"/>
  </si>
  <si>
    <t>行权价1(中金卖出看跌):</t>
    <phoneticPr fontId="1" type="noConversion"/>
  </si>
  <si>
    <t>行权价2(中金买入看涨):</t>
    <phoneticPr fontId="1" type="noConversion"/>
  </si>
  <si>
    <t>前程石化</t>
    <phoneticPr fontId="1" type="noConversion"/>
  </si>
  <si>
    <t>L1805</t>
    <phoneticPr fontId="1" type="noConversion"/>
  </si>
  <si>
    <t>权利金总额（元）：</t>
    <phoneticPr fontId="1" type="noConversion"/>
  </si>
  <si>
    <t>权利金方向:</t>
    <phoneticPr fontId="1" type="noConversion"/>
  </si>
  <si>
    <t>前程石化支付中金</t>
    <phoneticPr fontId="1" type="noConversion"/>
  </si>
  <si>
    <t>客户名称：</t>
    <phoneticPr fontId="1" type="noConversion"/>
  </si>
  <si>
    <t>前程石化支付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</si>
</sst>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_ * #,##0_ ;_ * \-#,##0_ ;_ * &quot;-&quot;??_ ;_ @_ "/>
  </numFmts>
  <fonts count="3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0"/>
      <color theme="4" tint="-0.249977111117893"/>
      <name val="宋体"/>
      <family val="3"/>
      <charset val="134"/>
      <scheme val="minor"/>
    </font>
    <font>
      <b/>
      <sz val="10"/>
      <color theme="5" tint="-0.249977111117893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9"/>
      <color rgb="FFFF0000"/>
      <name val="宋体"/>
      <family val="2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47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12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13" fillId="6" borderId="0" xfId="0" applyFont="1" applyFill="1"/>
    <xf numFmtId="0" fontId="5" fillId="6" borderId="2" xfId="0" applyFont="1" applyFill="1" applyBorder="1"/>
    <xf numFmtId="0" fontId="8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14" fillId="10" borderId="0" xfId="0" applyFont="1" applyFill="1" applyBorder="1" applyAlignment="1">
      <alignment horizontal="left"/>
    </xf>
    <xf numFmtId="0" fontId="9" fillId="10" borderId="0" xfId="0" applyFont="1" applyFill="1" applyBorder="1" applyAlignment="1">
      <alignment horizontal="center"/>
    </xf>
    <xf numFmtId="0" fontId="9" fillId="10" borderId="8" xfId="0" applyFont="1" applyFill="1" applyBorder="1" applyAlignment="1">
      <alignment horizontal="center"/>
    </xf>
    <xf numFmtId="0" fontId="9" fillId="10" borderId="9" xfId="0" applyFont="1" applyFill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176" fontId="5" fillId="9" borderId="7" xfId="0" applyNumberFormat="1" applyFont="1" applyFill="1" applyBorder="1" applyAlignment="1">
      <alignment horizontal="center"/>
    </xf>
    <xf numFmtId="14" fontId="5" fillId="9" borderId="7" xfId="0" applyNumberFormat="1" applyFont="1" applyFill="1" applyBorder="1" applyAlignment="1">
      <alignment horizontal="center"/>
    </xf>
    <xf numFmtId="177" fontId="5" fillId="9" borderId="7" xfId="0" applyNumberFormat="1" applyFont="1" applyFill="1" applyBorder="1" applyAlignment="1">
      <alignment horizontal="center"/>
    </xf>
    <xf numFmtId="2" fontId="5" fillId="9" borderId="7" xfId="0" applyNumberFormat="1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178" fontId="5" fillId="9" borderId="2" xfId="0" applyNumberFormat="1" applyFont="1" applyFill="1" applyBorder="1" applyAlignment="1">
      <alignment horizontal="center"/>
    </xf>
    <xf numFmtId="14" fontId="5" fillId="9" borderId="2" xfId="0" applyNumberFormat="1" applyFont="1" applyFill="1" applyBorder="1" applyAlignment="1">
      <alignment horizontal="center"/>
    </xf>
    <xf numFmtId="177" fontId="5" fillId="9" borderId="2" xfId="0" applyNumberFormat="1" applyFont="1" applyFill="1" applyBorder="1" applyAlignment="1">
      <alignment horizontal="center"/>
    </xf>
    <xf numFmtId="2" fontId="5" fillId="9" borderId="2" xfId="0" applyNumberFormat="1" applyFont="1" applyFill="1" applyBorder="1" applyAlignment="1">
      <alignment horizont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left" vertical="center"/>
    </xf>
    <xf numFmtId="0" fontId="18" fillId="6" borderId="0" xfId="0" applyFont="1" applyFill="1"/>
    <xf numFmtId="0" fontId="19" fillId="6" borderId="0" xfId="0" applyFont="1" applyFill="1"/>
    <xf numFmtId="2" fontId="20" fillId="9" borderId="2" xfId="0" applyNumberFormat="1" applyFont="1" applyFill="1" applyBorder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22" fillId="7" borderId="1" xfId="0" applyFont="1" applyFill="1" applyBorder="1"/>
    <xf numFmtId="0" fontId="23" fillId="6" borderId="0" xfId="0" applyFont="1" applyFill="1"/>
    <xf numFmtId="2" fontId="22" fillId="9" borderId="6" xfId="0" applyNumberFormat="1" applyFont="1" applyFill="1" applyBorder="1"/>
    <xf numFmtId="0" fontId="22" fillId="9" borderId="6" xfId="0" applyFont="1" applyFill="1" applyBorder="1"/>
    <xf numFmtId="176" fontId="22" fillId="9" borderId="6" xfId="0" applyNumberFormat="1" applyFont="1" applyFill="1" applyBorder="1"/>
    <xf numFmtId="14" fontId="22" fillId="5" borderId="6" xfId="0" applyNumberFormat="1" applyFont="1" applyFill="1" applyBorder="1"/>
    <xf numFmtId="177" fontId="22" fillId="9" borderId="6" xfId="0" applyNumberFormat="1" applyFont="1" applyFill="1" applyBorder="1"/>
    <xf numFmtId="0" fontId="22" fillId="4" borderId="6" xfId="0" applyFont="1" applyFill="1" applyBorder="1"/>
    <xf numFmtId="0" fontId="22" fillId="8" borderId="6" xfId="0" applyFont="1" applyFill="1" applyBorder="1"/>
    <xf numFmtId="10" fontId="22" fillId="9" borderId="6" xfId="1" applyNumberFormat="1" applyFont="1" applyFill="1" applyBorder="1" applyAlignment="1"/>
    <xf numFmtId="2" fontId="22" fillId="9" borderId="2" xfId="0" applyNumberFormat="1" applyFont="1" applyFill="1" applyBorder="1"/>
    <xf numFmtId="0" fontId="22" fillId="9" borderId="2" xfId="0" applyFont="1" applyFill="1" applyBorder="1"/>
    <xf numFmtId="178" fontId="22" fillId="9" borderId="2" xfId="0" applyNumberFormat="1" applyFont="1" applyFill="1" applyBorder="1"/>
    <xf numFmtId="14" fontId="22" fillId="5" borderId="2" xfId="0" applyNumberFormat="1" applyFont="1" applyFill="1" applyBorder="1"/>
    <xf numFmtId="177" fontId="22" fillId="9" borderId="2" xfId="0" applyNumberFormat="1" applyFont="1" applyFill="1" applyBorder="1"/>
    <xf numFmtId="0" fontId="22" fillId="4" borderId="2" xfId="0" applyFont="1" applyFill="1" applyBorder="1"/>
    <xf numFmtId="0" fontId="22" fillId="8" borderId="2" xfId="0" applyFont="1" applyFill="1" applyBorder="1"/>
    <xf numFmtId="10" fontId="22" fillId="9" borderId="2" xfId="1" applyNumberFormat="1" applyFont="1" applyFill="1" applyBorder="1" applyAlignment="1"/>
    <xf numFmtId="2" fontId="22" fillId="12" borderId="2" xfId="0" applyNumberFormat="1" applyFont="1" applyFill="1" applyBorder="1"/>
    <xf numFmtId="0" fontId="22" fillId="12" borderId="2" xfId="0" applyFont="1" applyFill="1" applyBorder="1"/>
    <xf numFmtId="178" fontId="22" fillId="12" borderId="2" xfId="0" applyNumberFormat="1" applyFont="1" applyFill="1" applyBorder="1"/>
    <xf numFmtId="14" fontId="22" fillId="12" borderId="2" xfId="0" applyNumberFormat="1" applyFont="1" applyFill="1" applyBorder="1"/>
    <xf numFmtId="177" fontId="22" fillId="12" borderId="2" xfId="0" applyNumberFormat="1" applyFont="1" applyFill="1" applyBorder="1"/>
    <xf numFmtId="10" fontId="22" fillId="12" borderId="2" xfId="1" applyNumberFormat="1" applyFont="1" applyFill="1" applyBorder="1" applyAlignment="1"/>
    <xf numFmtId="0" fontId="24" fillId="6" borderId="0" xfId="0" applyFont="1" applyFill="1"/>
    <xf numFmtId="14" fontId="25" fillId="13" borderId="10" xfId="0" applyNumberFormat="1" applyFont="1" applyFill="1" applyBorder="1" applyAlignment="1">
      <alignment horizontal="right" vertical="center" wrapText="1"/>
    </xf>
    <xf numFmtId="0" fontId="26" fillId="13" borderId="10" xfId="0" applyFont="1" applyFill="1" applyBorder="1" applyAlignment="1">
      <alignment vertical="center" wrapText="1"/>
    </xf>
    <xf numFmtId="0" fontId="25" fillId="13" borderId="10" xfId="0" applyFont="1" applyFill="1" applyBorder="1" applyAlignment="1">
      <alignment vertical="center" wrapText="1"/>
    </xf>
    <xf numFmtId="0" fontId="26" fillId="13" borderId="11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vertical="center" wrapText="1"/>
    </xf>
    <xf numFmtId="0" fontId="28" fillId="14" borderId="12" xfId="0" applyFont="1" applyFill="1" applyBorder="1" applyAlignment="1">
      <alignment vertical="center" wrapText="1"/>
    </xf>
    <xf numFmtId="0" fontId="27" fillId="14" borderId="12" xfId="0" applyFont="1" applyFill="1" applyBorder="1" applyAlignment="1">
      <alignment horizontal="right" vertical="center" wrapText="1"/>
    </xf>
    <xf numFmtId="0" fontId="27" fillId="14" borderId="13" xfId="0" applyFont="1" applyFill="1" applyBorder="1" applyAlignment="1">
      <alignment horizontal="right" vertical="center" wrapText="1"/>
    </xf>
    <xf numFmtId="0" fontId="27" fillId="0" borderId="12" xfId="0" applyFont="1" applyBorder="1" applyAlignment="1">
      <alignment vertical="center" wrapText="1"/>
    </xf>
    <xf numFmtId="0" fontId="28" fillId="0" borderId="12" xfId="0" applyFont="1" applyBorder="1" applyAlignment="1">
      <alignment vertical="center" wrapText="1"/>
    </xf>
    <xf numFmtId="10" fontId="27" fillId="0" borderId="12" xfId="0" applyNumberFormat="1" applyFont="1" applyBorder="1" applyAlignment="1">
      <alignment horizontal="right" vertical="center" wrapText="1"/>
    </xf>
    <xf numFmtId="0" fontId="28" fillId="0" borderId="12" xfId="0" applyFont="1" applyBorder="1" applyAlignment="1">
      <alignment horizontal="right" vertical="center" wrapText="1"/>
    </xf>
    <xf numFmtId="2" fontId="29" fillId="9" borderId="2" xfId="2" applyNumberFormat="1" applyFill="1" applyBorder="1"/>
    <xf numFmtId="10" fontId="27" fillId="0" borderId="13" xfId="0" applyNumberFormat="1" applyFont="1" applyBorder="1" applyAlignment="1">
      <alignment horizontal="right" vertical="center" wrapText="1"/>
    </xf>
    <xf numFmtId="0" fontId="30" fillId="14" borderId="12" xfId="0" applyFont="1" applyFill="1" applyBorder="1" applyAlignment="1">
      <alignment horizontal="right" vertical="center" wrapText="1"/>
    </xf>
    <xf numFmtId="0" fontId="30" fillId="14" borderId="13" xfId="0" applyFont="1" applyFill="1" applyBorder="1" applyAlignment="1">
      <alignment horizontal="right" vertical="center" wrapText="1"/>
    </xf>
    <xf numFmtId="0" fontId="28" fillId="0" borderId="13" xfId="0" applyFont="1" applyBorder="1" applyAlignment="1">
      <alignment horizontal="right" vertical="center" wrapText="1"/>
    </xf>
    <xf numFmtId="10" fontId="27" fillId="14" borderId="12" xfId="0" applyNumberFormat="1" applyFont="1" applyFill="1" applyBorder="1" applyAlignment="1">
      <alignment horizontal="right" vertical="center" wrapText="1"/>
    </xf>
    <xf numFmtId="10" fontId="27" fillId="14" borderId="13" xfId="0" applyNumberFormat="1" applyFont="1" applyFill="1" applyBorder="1" applyAlignment="1">
      <alignment horizontal="right" vertical="center" wrapText="1"/>
    </xf>
    <xf numFmtId="0" fontId="30" fillId="0" borderId="12" xfId="0" applyFont="1" applyBorder="1" applyAlignment="1">
      <alignment horizontal="right" vertical="center" wrapText="1"/>
    </xf>
    <xf numFmtId="0" fontId="30" fillId="0" borderId="13" xfId="0" applyFont="1" applyBorder="1" applyAlignment="1">
      <alignment horizontal="right" vertical="center" wrapText="1"/>
    </xf>
    <xf numFmtId="0" fontId="31" fillId="14" borderId="12" xfId="0" applyFont="1" applyFill="1" applyBorder="1" applyAlignment="1">
      <alignment vertical="center" wrapText="1"/>
    </xf>
    <xf numFmtId="0" fontId="31" fillId="14" borderId="13" xfId="0" applyFont="1" applyFill="1" applyBorder="1" applyAlignment="1">
      <alignment vertical="center" wrapText="1"/>
    </xf>
    <xf numFmtId="0" fontId="31" fillId="0" borderId="12" xfId="0" applyFont="1" applyBorder="1" applyAlignment="1">
      <alignment vertical="center" wrapText="1"/>
    </xf>
    <xf numFmtId="0" fontId="31" fillId="0" borderId="13" xfId="0" applyFont="1" applyBorder="1" applyAlignment="1">
      <alignment vertical="center" wrapText="1"/>
    </xf>
    <xf numFmtId="0" fontId="28" fillId="14" borderId="12" xfId="0" applyFont="1" applyFill="1" applyBorder="1" applyAlignment="1">
      <alignment horizontal="right" vertical="center" wrapText="1"/>
    </xf>
    <xf numFmtId="0" fontId="28" fillId="14" borderId="13" xfId="0" applyFont="1" applyFill="1" applyBorder="1" applyAlignment="1">
      <alignment horizontal="right" vertical="center" wrapText="1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" fontId="5" fillId="9" borderId="7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5" fillId="10" borderId="0" xfId="0" applyFont="1" applyFill="1" applyBorder="1" applyAlignment="1">
      <alignment horizontal="left" vertical="center"/>
    </xf>
    <xf numFmtId="0" fontId="7" fillId="10" borderId="3" xfId="0" applyFont="1" applyFill="1" applyBorder="1" applyAlignment="1">
      <alignment horizontal="right" vertical="center"/>
    </xf>
    <xf numFmtId="0" fontId="7" fillId="10" borderId="0" xfId="0" applyFont="1" applyFill="1" applyBorder="1" applyAlignment="1">
      <alignment horizontal="right" vertical="center"/>
    </xf>
    <xf numFmtId="179" fontId="7" fillId="10" borderId="3" xfId="3" applyNumberFormat="1" applyFont="1" applyFill="1" applyBorder="1" applyAlignment="1">
      <alignment horizontal="right" vertical="center"/>
    </xf>
    <xf numFmtId="179" fontId="7" fillId="10" borderId="0" xfId="3" applyNumberFormat="1" applyFont="1" applyFill="1" applyBorder="1" applyAlignment="1">
      <alignment horizontal="right" vertical="center"/>
    </xf>
    <xf numFmtId="0" fontId="15" fillId="10" borderId="1" xfId="0" applyFont="1" applyFill="1" applyBorder="1" applyAlignment="1">
      <alignment horizontal="left" vertical="center"/>
    </xf>
    <xf numFmtId="0" fontId="7" fillId="10" borderId="5" xfId="0" applyFont="1" applyFill="1" applyBorder="1" applyAlignment="1">
      <alignment horizontal="right" vertical="center"/>
    </xf>
    <xf numFmtId="0" fontId="7" fillId="10" borderId="1" xfId="0" applyFont="1" applyFill="1" applyBorder="1" applyAlignment="1">
      <alignment horizontal="right" vertical="center"/>
    </xf>
    <xf numFmtId="14" fontId="7" fillId="10" borderId="3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0" fontId="9" fillId="10" borderId="1" xfId="0" applyFont="1" applyFill="1" applyBorder="1" applyAlignment="1">
      <alignment horizontal="center"/>
    </xf>
    <xf numFmtId="14" fontId="21" fillId="10" borderId="8" xfId="0" applyNumberFormat="1" applyFont="1" applyFill="1" applyBorder="1" applyAlignment="1">
      <alignment horizontal="right"/>
    </xf>
    <xf numFmtId="0" fontId="21" fillId="10" borderId="9" xfId="0" applyFont="1" applyFill="1" applyBorder="1" applyAlignment="1">
      <alignment horizontal="right"/>
    </xf>
    <xf numFmtId="0" fontId="8" fillId="10" borderId="0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4">
    <cellStyle name="百分比" xfId="1" builtinId="5"/>
    <cellStyle name="常规" xfId="0" builtinId="0"/>
    <cellStyle name="超链接" xfId="2" builtinId="8"/>
    <cellStyle name="千位分隔" xfId="3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55200</v>
        <stp/>
        <stp>cu1804</stp>
        <stp>LastPrice</stp>
        <tr r="H10" s="1"/>
        <tr r="H11" s="1"/>
      </tp>
      <tp>
        <v>3672</v>
        <stp/>
        <stp>rb1810</stp>
        <stp>LastPrice</stp>
        <tr r="H11" s="9"/>
        <tr r="H14" s="9"/>
      </tp>
      <tp>
        <v>3855</v>
        <stp/>
        <stp>RB1805</stp>
        <stp>LastPrice</stp>
        <tr r="H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3"/>
  <sheetViews>
    <sheetView zoomScaleNormal="100" workbookViewId="0">
      <selection activeCell="G36" sqref="G36"/>
    </sheetView>
  </sheetViews>
  <sheetFormatPr defaultRowHeight="11.25"/>
  <cols>
    <col min="1" max="1" width="9" style="6"/>
    <col min="2" max="2" width="10.5" style="6" customWidth="1"/>
    <col min="3" max="3" width="8.75" style="6" hidden="1" customWidth="1"/>
    <col min="4" max="6" width="9" style="6"/>
    <col min="7" max="7" width="13.5" style="6" customWidth="1"/>
    <col min="8" max="8" width="11.25" style="6" customWidth="1"/>
    <col min="9" max="9" width="11.125" style="6" customWidth="1"/>
    <col min="10" max="10" width="9" style="6"/>
    <col min="11" max="15" width="9" style="6" hidden="1" customWidth="1"/>
    <col min="16" max="16" width="10.75" style="6" hidden="1" customWidth="1"/>
    <col min="17" max="16384" width="9" style="6"/>
  </cols>
  <sheetData>
    <row r="1" spans="1:17" ht="14.25" customHeight="1" thickBot="1">
      <c r="B1" s="127" t="s">
        <v>158</v>
      </c>
      <c r="C1" s="127"/>
      <c r="D1" s="127"/>
    </row>
    <row r="2" spans="1:17" ht="12" thickTop="1"/>
    <row r="3" spans="1:17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4" spans="1:17">
      <c r="A4" s="64"/>
      <c r="B4" s="49" t="s">
        <v>159</v>
      </c>
      <c r="C4" s="49"/>
      <c r="D4" s="49" t="s">
        <v>160</v>
      </c>
      <c r="E4" s="49" t="s">
        <v>161</v>
      </c>
      <c r="F4" s="49" t="s">
        <v>162</v>
      </c>
      <c r="G4" s="49" t="s">
        <v>7</v>
      </c>
      <c r="H4" s="49" t="s">
        <v>163</v>
      </c>
      <c r="I4" s="49" t="s">
        <v>10</v>
      </c>
      <c r="J4" s="49" t="s">
        <v>164</v>
      </c>
      <c r="K4" s="49" t="s">
        <v>165</v>
      </c>
      <c r="L4" s="49" t="s">
        <v>166</v>
      </c>
      <c r="M4" s="49" t="s">
        <v>167</v>
      </c>
      <c r="N4" s="49" t="s">
        <v>168</v>
      </c>
      <c r="O4" s="49" t="s">
        <v>26</v>
      </c>
      <c r="P4" s="49" t="s">
        <v>169</v>
      </c>
      <c r="Q4" s="49" t="s">
        <v>170</v>
      </c>
    </row>
    <row r="5" spans="1:17">
      <c r="B5" s="50"/>
      <c r="C5" s="50"/>
      <c r="D5" s="50"/>
      <c r="E5" s="50"/>
      <c r="F5" s="51"/>
      <c r="G5" s="50"/>
      <c r="H5" s="52"/>
      <c r="I5" s="52"/>
      <c r="J5" s="50"/>
      <c r="K5" s="53"/>
      <c r="L5" s="53"/>
      <c r="M5" s="50"/>
      <c r="N5" s="54"/>
      <c r="O5" s="50"/>
      <c r="P5" s="54"/>
      <c r="Q5" s="54"/>
    </row>
    <row r="6" spans="1:17">
      <c r="A6" s="64"/>
      <c r="B6" s="49" t="s">
        <v>171</v>
      </c>
      <c r="C6" s="49"/>
      <c r="D6" s="49" t="s">
        <v>172</v>
      </c>
      <c r="E6" s="49" t="s">
        <v>173</v>
      </c>
      <c r="F6" s="49" t="s">
        <v>174</v>
      </c>
      <c r="G6" s="49" t="s">
        <v>175</v>
      </c>
      <c r="H6" s="49" t="s">
        <v>176</v>
      </c>
      <c r="I6" s="49" t="s">
        <v>177</v>
      </c>
      <c r="J6" s="49" t="s">
        <v>178</v>
      </c>
      <c r="K6" s="49" t="s">
        <v>179</v>
      </c>
      <c r="L6" s="49" t="s">
        <v>180</v>
      </c>
      <c r="M6" s="49" t="s">
        <v>181</v>
      </c>
      <c r="N6" s="49" t="s">
        <v>182</v>
      </c>
      <c r="O6" s="49" t="s">
        <v>183</v>
      </c>
      <c r="P6" s="49" t="s">
        <v>184</v>
      </c>
      <c r="Q6" s="49" t="s">
        <v>185</v>
      </c>
    </row>
    <row r="7" spans="1:17">
      <c r="B7" s="55"/>
      <c r="C7" s="55"/>
      <c r="D7" s="55"/>
      <c r="E7" s="55"/>
      <c r="F7" s="56"/>
      <c r="G7" s="55"/>
      <c r="H7" s="57"/>
      <c r="I7" s="57"/>
      <c r="J7" s="55"/>
      <c r="K7" s="58"/>
      <c r="L7" s="58"/>
      <c r="M7" s="55"/>
      <c r="N7" s="59"/>
      <c r="O7" s="55"/>
      <c r="P7" s="59"/>
      <c r="Q7" s="59"/>
    </row>
    <row r="11" spans="1:17">
      <c r="B11" s="49" t="s">
        <v>171</v>
      </c>
      <c r="C11" s="49"/>
      <c r="D11" s="49" t="s">
        <v>172</v>
      </c>
      <c r="E11" s="49" t="s">
        <v>173</v>
      </c>
      <c r="F11" s="49" t="s">
        <v>174</v>
      </c>
      <c r="G11" s="49" t="s">
        <v>175</v>
      </c>
      <c r="H11" s="49" t="s">
        <v>176</v>
      </c>
      <c r="I11" s="49" t="s">
        <v>177</v>
      </c>
      <c r="J11" s="49" t="s">
        <v>178</v>
      </c>
      <c r="K11" s="49" t="s">
        <v>179</v>
      </c>
      <c r="L11" s="49" t="s">
        <v>180</v>
      </c>
      <c r="M11" s="49" t="s">
        <v>181</v>
      </c>
      <c r="N11" s="49" t="s">
        <v>182</v>
      </c>
      <c r="O11" s="49" t="s">
        <v>183</v>
      </c>
      <c r="P11" s="49" t="s">
        <v>184</v>
      </c>
      <c r="Q11" s="49" t="s">
        <v>185</v>
      </c>
    </row>
    <row r="12" spans="1:17">
      <c r="B12" s="55" t="s">
        <v>151</v>
      </c>
      <c r="C12" s="55">
        <v>1</v>
      </c>
      <c r="D12" s="55" t="s">
        <v>206</v>
      </c>
      <c r="E12" s="55" t="s">
        <v>85</v>
      </c>
      <c r="F12" s="56">
        <v>3580</v>
      </c>
      <c r="G12" s="55">
        <v>3600</v>
      </c>
      <c r="H12" s="57">
        <v>43082</v>
      </c>
      <c r="I12" s="57">
        <v>43140</v>
      </c>
      <c r="J12" s="55">
        <v>58</v>
      </c>
      <c r="K12" s="58">
        <v>0.15890410958904111</v>
      </c>
      <c r="L12" s="58">
        <v>0</v>
      </c>
      <c r="M12" s="55">
        <v>0.24</v>
      </c>
      <c r="N12" s="59">
        <v>146.73246902767232</v>
      </c>
      <c r="O12" s="55">
        <v>0</v>
      </c>
      <c r="P12" s="59">
        <v>0</v>
      </c>
      <c r="Q12" s="59">
        <v>146</v>
      </c>
    </row>
    <row r="13" spans="1:17">
      <c r="B13" s="49" t="s">
        <v>30</v>
      </c>
      <c r="C13" s="49"/>
      <c r="D13" s="49" t="s">
        <v>32</v>
      </c>
      <c r="E13" s="49" t="s">
        <v>161</v>
      </c>
      <c r="F13" s="49" t="s">
        <v>8</v>
      </c>
      <c r="G13" s="49" t="s">
        <v>7</v>
      </c>
      <c r="H13" s="49" t="s">
        <v>163</v>
      </c>
      <c r="I13" s="49" t="s">
        <v>10</v>
      </c>
      <c r="J13" s="49" t="s">
        <v>11</v>
      </c>
      <c r="K13" s="49" t="s">
        <v>12</v>
      </c>
      <c r="L13" s="49" t="s">
        <v>166</v>
      </c>
      <c r="M13" s="49" t="s">
        <v>167</v>
      </c>
      <c r="N13" s="49" t="s">
        <v>14</v>
      </c>
      <c r="O13" s="49" t="s">
        <v>26</v>
      </c>
      <c r="P13" s="49" t="s">
        <v>28</v>
      </c>
      <c r="Q13" s="49" t="s">
        <v>15</v>
      </c>
    </row>
    <row r="14" spans="1:17">
      <c r="B14" s="55" t="s">
        <v>151</v>
      </c>
      <c r="C14" s="55">
        <v>1</v>
      </c>
      <c r="D14" s="55" t="s">
        <v>206</v>
      </c>
      <c r="E14" s="55" t="s">
        <v>85</v>
      </c>
      <c r="F14" s="56">
        <v>3607</v>
      </c>
      <c r="G14" s="55">
        <v>3400</v>
      </c>
      <c r="H14" s="57">
        <v>43088</v>
      </c>
      <c r="I14" s="57">
        <v>43174</v>
      </c>
      <c r="J14" s="55">
        <v>86</v>
      </c>
      <c r="K14" s="58">
        <v>0.21643835616438356</v>
      </c>
      <c r="L14" s="58">
        <v>0</v>
      </c>
      <c r="M14" s="55">
        <v>0.2</v>
      </c>
      <c r="N14" s="59">
        <v>51.629060001957441</v>
      </c>
      <c r="O14" s="55">
        <v>0</v>
      </c>
      <c r="P14" s="59">
        <v>0</v>
      </c>
      <c r="Q14" s="59">
        <v>51.629060001957441</v>
      </c>
    </row>
    <row r="15" spans="1:17">
      <c r="B15" s="55" t="s">
        <v>151</v>
      </c>
      <c r="C15" s="55">
        <v>1</v>
      </c>
      <c r="D15" s="55" t="s">
        <v>206</v>
      </c>
      <c r="E15" s="55" t="s">
        <v>85</v>
      </c>
      <c r="F15" s="56">
        <v>3607</v>
      </c>
      <c r="G15" s="55">
        <v>3450</v>
      </c>
      <c r="H15" s="57">
        <v>43088</v>
      </c>
      <c r="I15" s="57">
        <v>43174</v>
      </c>
      <c r="J15" s="55">
        <v>86</v>
      </c>
      <c r="K15" s="58">
        <v>0.21643835616438356</v>
      </c>
      <c r="L15" s="58">
        <v>0</v>
      </c>
      <c r="M15" s="55">
        <v>0.2</v>
      </c>
      <c r="N15" s="59">
        <v>66.823277063019759</v>
      </c>
      <c r="O15" s="55">
        <v>0</v>
      </c>
      <c r="P15" s="59">
        <v>0</v>
      </c>
      <c r="Q15" s="59">
        <v>66.823277063019759</v>
      </c>
    </row>
    <row r="16" spans="1:17">
      <c r="B16" s="55" t="s">
        <v>151</v>
      </c>
      <c r="C16" s="55">
        <v>1</v>
      </c>
      <c r="D16" s="55" t="s">
        <v>206</v>
      </c>
      <c r="E16" s="55" t="s">
        <v>85</v>
      </c>
      <c r="F16" s="56">
        <v>3607</v>
      </c>
      <c r="G16" s="55">
        <v>3400</v>
      </c>
      <c r="H16" s="57">
        <v>43088</v>
      </c>
      <c r="I16" s="57">
        <v>43169</v>
      </c>
      <c r="J16" s="55">
        <v>81</v>
      </c>
      <c r="K16" s="58">
        <v>0.20273972602739726</v>
      </c>
      <c r="L16" s="58">
        <v>0</v>
      </c>
      <c r="M16" s="55">
        <v>0.2</v>
      </c>
      <c r="N16" s="59">
        <v>48.266135405723503</v>
      </c>
      <c r="O16" s="55">
        <v>0</v>
      </c>
      <c r="P16" s="59">
        <v>0</v>
      </c>
      <c r="Q16" s="59">
        <v>48.266135405723503</v>
      </c>
    </row>
    <row r="17" spans="2:17">
      <c r="B17" s="55" t="s">
        <v>151</v>
      </c>
      <c r="C17" s="55">
        <v>1</v>
      </c>
      <c r="D17" s="55" t="s">
        <v>206</v>
      </c>
      <c r="E17" s="55" t="s">
        <v>85</v>
      </c>
      <c r="F17" s="56">
        <v>3607</v>
      </c>
      <c r="G17" s="55">
        <v>3450</v>
      </c>
      <c r="H17" s="57">
        <v>43088</v>
      </c>
      <c r="I17" s="57">
        <v>43169</v>
      </c>
      <c r="J17" s="55">
        <v>81</v>
      </c>
      <c r="K17" s="58">
        <v>0.20273972602739726</v>
      </c>
      <c r="L17" s="58">
        <v>0</v>
      </c>
      <c r="M17" s="55">
        <v>0.2</v>
      </c>
      <c r="N17" s="59">
        <v>63.118487953768181</v>
      </c>
      <c r="O17" s="55">
        <v>0</v>
      </c>
      <c r="P17" s="59">
        <v>0</v>
      </c>
      <c r="Q17" s="59">
        <v>63.118487953768181</v>
      </c>
    </row>
    <row r="18" spans="2:17">
      <c r="B18" s="49" t="s">
        <v>30</v>
      </c>
      <c r="C18" s="49"/>
      <c r="D18" s="49" t="s">
        <v>32</v>
      </c>
      <c r="E18" s="49" t="s">
        <v>161</v>
      </c>
      <c r="F18" s="49" t="s">
        <v>8</v>
      </c>
      <c r="G18" s="49" t="s">
        <v>7</v>
      </c>
      <c r="H18" s="49" t="s">
        <v>9</v>
      </c>
      <c r="I18" s="49" t="s">
        <v>10</v>
      </c>
      <c r="J18" s="49" t="s">
        <v>11</v>
      </c>
      <c r="K18" s="49" t="s">
        <v>12</v>
      </c>
      <c r="L18" s="49" t="s">
        <v>47</v>
      </c>
      <c r="M18" s="49" t="s">
        <v>167</v>
      </c>
      <c r="N18" s="49" t="s">
        <v>14</v>
      </c>
      <c r="O18" s="49" t="s">
        <v>26</v>
      </c>
      <c r="P18" s="49" t="s">
        <v>28</v>
      </c>
      <c r="Q18" s="49" t="s">
        <v>15</v>
      </c>
    </row>
    <row r="19" spans="2:17">
      <c r="B19" s="55" t="s">
        <v>151</v>
      </c>
      <c r="C19" s="55">
        <v>1</v>
      </c>
      <c r="D19" s="55" t="s">
        <v>212</v>
      </c>
      <c r="E19" s="55" t="s">
        <v>85</v>
      </c>
      <c r="F19" s="56">
        <v>15000</v>
      </c>
      <c r="G19" s="55">
        <v>14500</v>
      </c>
      <c r="H19" s="57">
        <v>43088</v>
      </c>
      <c r="I19" s="57">
        <v>43119</v>
      </c>
      <c r="J19" s="55">
        <v>31</v>
      </c>
      <c r="K19" s="58">
        <v>8.4931506849315067E-2</v>
      </c>
      <c r="L19" s="58">
        <v>0</v>
      </c>
      <c r="M19" s="55">
        <v>0.09</v>
      </c>
      <c r="N19" s="59">
        <v>17.860938938860272</v>
      </c>
      <c r="O19" s="55">
        <v>0</v>
      </c>
      <c r="P19" s="59">
        <v>0</v>
      </c>
      <c r="Q19" s="59">
        <v>17.860938938860272</v>
      </c>
    </row>
    <row r="20" spans="2:17">
      <c r="B20" s="55" t="s">
        <v>151</v>
      </c>
      <c r="C20" s="55">
        <v>1</v>
      </c>
      <c r="D20" s="55" t="s">
        <v>212</v>
      </c>
      <c r="E20" s="55" t="s">
        <v>39</v>
      </c>
      <c r="F20" s="56">
        <v>15000</v>
      </c>
      <c r="G20" s="55">
        <v>15500</v>
      </c>
      <c r="H20" s="57">
        <v>43088</v>
      </c>
      <c r="I20" s="57">
        <v>43119</v>
      </c>
      <c r="J20" s="55">
        <v>31</v>
      </c>
      <c r="K20" s="58">
        <v>8.4931506849315067E-2</v>
      </c>
      <c r="L20" s="58">
        <v>0</v>
      </c>
      <c r="M20" s="55">
        <v>0.09</v>
      </c>
      <c r="N20" s="59">
        <v>20.18956137971486</v>
      </c>
      <c r="O20" s="55">
        <v>0</v>
      </c>
      <c r="P20" s="59">
        <v>0</v>
      </c>
      <c r="Q20" s="59">
        <v>20.18956137971486</v>
      </c>
    </row>
    <row r="21" spans="2:17">
      <c r="B21" s="49" t="s">
        <v>171</v>
      </c>
      <c r="C21" s="49"/>
      <c r="D21" s="49" t="s">
        <v>172</v>
      </c>
      <c r="E21" s="49" t="s">
        <v>173</v>
      </c>
      <c r="F21" s="49" t="s">
        <v>174</v>
      </c>
      <c r="G21" s="49" t="s">
        <v>175</v>
      </c>
      <c r="H21" s="49" t="s">
        <v>176</v>
      </c>
      <c r="I21" s="49" t="s">
        <v>177</v>
      </c>
      <c r="J21" s="49" t="s">
        <v>178</v>
      </c>
      <c r="K21" s="49" t="s">
        <v>179</v>
      </c>
      <c r="L21" s="49" t="s">
        <v>180</v>
      </c>
      <c r="M21" s="49" t="s">
        <v>181</v>
      </c>
      <c r="N21" s="49" t="s">
        <v>182</v>
      </c>
      <c r="O21" s="49" t="s">
        <v>183</v>
      </c>
      <c r="P21" s="49" t="s">
        <v>184</v>
      </c>
      <c r="Q21" s="49" t="s">
        <v>185</v>
      </c>
    </row>
    <row r="22" spans="2:17">
      <c r="B22" s="55" t="s">
        <v>20</v>
      </c>
      <c r="C22" s="55"/>
      <c r="D22" s="55" t="s">
        <v>186</v>
      </c>
      <c r="E22" s="55" t="s">
        <v>214</v>
      </c>
      <c r="F22" s="56">
        <v>3791</v>
      </c>
      <c r="G22" s="55" t="s">
        <v>213</v>
      </c>
      <c r="H22" s="57">
        <v>43088</v>
      </c>
      <c r="I22" s="57">
        <v>43119</v>
      </c>
      <c r="J22" s="55">
        <v>31</v>
      </c>
      <c r="K22" s="58">
        <v>8.4931506849315067E-2</v>
      </c>
      <c r="L22" s="58"/>
      <c r="M22" s="55"/>
      <c r="N22" s="59">
        <v>-120.6201212601914</v>
      </c>
      <c r="O22" s="55">
        <v>0</v>
      </c>
      <c r="P22" s="59">
        <v>0</v>
      </c>
      <c r="Q22" s="59">
        <v>120.6201212601914</v>
      </c>
    </row>
    <row r="23" spans="2:17">
      <c r="B23" s="49" t="s">
        <v>159</v>
      </c>
      <c r="C23" s="49"/>
      <c r="D23" s="49" t="s">
        <v>32</v>
      </c>
      <c r="E23" s="49" t="s">
        <v>161</v>
      </c>
      <c r="F23" s="49" t="s">
        <v>162</v>
      </c>
      <c r="G23" s="49" t="s">
        <v>7</v>
      </c>
      <c r="H23" s="49" t="s">
        <v>9</v>
      </c>
      <c r="I23" s="49" t="s">
        <v>10</v>
      </c>
      <c r="J23" s="49" t="s">
        <v>11</v>
      </c>
      <c r="K23" s="49" t="s">
        <v>12</v>
      </c>
      <c r="L23" s="49" t="s">
        <v>166</v>
      </c>
      <c r="M23" s="49" t="s">
        <v>13</v>
      </c>
      <c r="N23" s="49" t="s">
        <v>14</v>
      </c>
      <c r="O23" s="49" t="s">
        <v>26</v>
      </c>
      <c r="P23" s="49" t="s">
        <v>28</v>
      </c>
      <c r="Q23" s="49" t="s">
        <v>15</v>
      </c>
    </row>
    <row r="24" spans="2:17">
      <c r="B24" s="50" t="s">
        <v>20</v>
      </c>
      <c r="C24" s="50">
        <v>-1</v>
      </c>
      <c r="D24" s="50" t="s">
        <v>215</v>
      </c>
      <c r="E24" s="50" t="s">
        <v>39</v>
      </c>
      <c r="F24" s="51">
        <v>56060</v>
      </c>
      <c r="G24" s="50">
        <v>56060</v>
      </c>
      <c r="H24" s="52">
        <v>43097</v>
      </c>
      <c r="I24" s="52">
        <v>43128</v>
      </c>
      <c r="J24" s="50">
        <v>31</v>
      </c>
      <c r="K24" s="53">
        <v>8.4931506849315067E-2</v>
      </c>
      <c r="L24" s="53">
        <v>0</v>
      </c>
      <c r="M24" s="50">
        <v>0.2</v>
      </c>
      <c r="N24" s="54">
        <v>-1301.1530734564294</v>
      </c>
      <c r="O24" s="50"/>
      <c r="P24" s="54">
        <v>0</v>
      </c>
      <c r="Q24" s="126">
        <v>1301.1530734564294</v>
      </c>
    </row>
    <row r="25" spans="2:17">
      <c r="B25" s="50" t="s">
        <v>20</v>
      </c>
      <c r="C25" s="50">
        <v>-1</v>
      </c>
      <c r="D25" s="50" t="s">
        <v>215</v>
      </c>
      <c r="E25" s="50" t="s">
        <v>39</v>
      </c>
      <c r="F25" s="51">
        <v>56060</v>
      </c>
      <c r="G25" s="50">
        <v>56060</v>
      </c>
      <c r="H25" s="52">
        <v>43097</v>
      </c>
      <c r="I25" s="52">
        <v>43158</v>
      </c>
      <c r="J25" s="50">
        <v>61</v>
      </c>
      <c r="K25" s="53">
        <v>0.16712328767123288</v>
      </c>
      <c r="L25" s="53">
        <v>0</v>
      </c>
      <c r="M25" s="50">
        <v>0.2</v>
      </c>
      <c r="N25" s="54">
        <v>-1821.9609786824913</v>
      </c>
      <c r="O25" s="50"/>
      <c r="P25" s="54">
        <v>0</v>
      </c>
      <c r="Q25" s="126">
        <v>1821.9609786824913</v>
      </c>
    </row>
    <row r="29" spans="2:17">
      <c r="G29" s="6">
        <v>120.62</v>
      </c>
    </row>
    <row r="30" spans="2:17">
      <c r="G30" s="6">
        <v>3791</v>
      </c>
    </row>
    <row r="31" spans="2:17">
      <c r="G31" s="6">
        <f>G29/G30</f>
        <v>3.1817462410973357E-2</v>
      </c>
      <c r="Q31" s="6">
        <v>108215</v>
      </c>
    </row>
    <row r="32" spans="2:17">
      <c r="Q32" s="6">
        <v>625</v>
      </c>
    </row>
    <row r="33" spans="17:17">
      <c r="Q33" s="6">
        <f>Q31/Q32</f>
        <v>173.14400000000001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T36"/>
  <sheetViews>
    <sheetView workbookViewId="0">
      <pane ySplit="17" topLeftCell="A21" activePane="bottomLeft" state="frozen"/>
      <selection pane="bottomLeft" activeCell="G30" sqref="G30:J31"/>
    </sheetView>
  </sheetViews>
  <sheetFormatPr defaultRowHeight="11.25"/>
  <cols>
    <col min="1" max="3" width="9" style="6"/>
    <col min="4" max="4" width="9" style="6" customWidth="1"/>
    <col min="5" max="7" width="9" style="6"/>
    <col min="8" max="8" width="12.125" style="6" customWidth="1"/>
    <col min="9" max="9" width="9" style="6"/>
    <col min="10" max="10" width="10.875" style="6" customWidth="1"/>
    <col min="11" max="16384" width="9" style="6"/>
  </cols>
  <sheetData>
    <row r="1" spans="2:20" ht="14.25" thickBot="1">
      <c r="B1" s="142" t="s">
        <v>118</v>
      </c>
      <c r="C1" s="142"/>
    </row>
    <row r="2" spans="2:20" ht="12" thickTop="1"/>
    <row r="3" spans="2:20" ht="12.75" thickBot="1">
      <c r="B3" s="143" t="s">
        <v>119</v>
      </c>
      <c r="C3" s="143"/>
      <c r="D3" s="143"/>
      <c r="E3" s="143"/>
      <c r="G3" s="144" t="s">
        <v>120</v>
      </c>
      <c r="H3" s="144"/>
      <c r="I3" s="144"/>
      <c r="J3" s="144"/>
      <c r="L3" s="143" t="s">
        <v>192</v>
      </c>
      <c r="M3" s="143"/>
      <c r="N3" s="143"/>
      <c r="O3" s="143"/>
      <c r="Q3" s="144" t="s">
        <v>193</v>
      </c>
      <c r="R3" s="144"/>
      <c r="S3" s="144"/>
      <c r="T3" s="144"/>
    </row>
    <row r="4" spans="2:20" ht="15" thickTop="1" thickBot="1">
      <c r="B4" s="138" t="s">
        <v>121</v>
      </c>
      <c r="C4" s="138"/>
      <c r="D4" s="138"/>
      <c r="E4" s="138"/>
      <c r="G4" s="138" t="s">
        <v>34</v>
      </c>
      <c r="H4" s="138"/>
      <c r="I4" s="138"/>
      <c r="J4" s="138"/>
      <c r="L4" s="138" t="s">
        <v>121</v>
      </c>
      <c r="M4" s="138"/>
      <c r="N4" s="138"/>
      <c r="O4" s="138"/>
      <c r="Q4" s="138" t="s">
        <v>34</v>
      </c>
      <c r="R4" s="138"/>
      <c r="S4" s="138"/>
      <c r="T4" s="138"/>
    </row>
    <row r="5" spans="2:20" ht="14.25" thickTop="1">
      <c r="B5" s="33" t="s">
        <v>122</v>
      </c>
      <c r="C5" s="34"/>
      <c r="D5" s="35"/>
      <c r="E5" s="36"/>
      <c r="G5" s="141" t="s">
        <v>123</v>
      </c>
      <c r="H5" s="141"/>
      <c r="I5" s="35"/>
      <c r="J5" s="36"/>
      <c r="L5" s="33" t="s">
        <v>122</v>
      </c>
      <c r="M5" s="34"/>
      <c r="N5" s="35"/>
      <c r="O5" s="36"/>
      <c r="Q5" s="141" t="s">
        <v>123</v>
      </c>
      <c r="R5" s="141"/>
      <c r="S5" s="35"/>
      <c r="T5" s="36"/>
    </row>
    <row r="6" spans="2:20" ht="13.5">
      <c r="B6" s="128" t="s">
        <v>124</v>
      </c>
      <c r="C6" s="128"/>
      <c r="D6" s="129" t="s">
        <v>125</v>
      </c>
      <c r="E6" s="130"/>
      <c r="G6" s="141" t="s">
        <v>126</v>
      </c>
      <c r="H6" s="141"/>
      <c r="I6" s="129"/>
      <c r="J6" s="130"/>
      <c r="L6" s="128" t="s">
        <v>124</v>
      </c>
      <c r="M6" s="128"/>
      <c r="N6" s="129" t="s">
        <v>125</v>
      </c>
      <c r="O6" s="130"/>
      <c r="Q6" s="141" t="s">
        <v>126</v>
      </c>
      <c r="R6" s="141"/>
      <c r="S6" s="129"/>
      <c r="T6" s="130"/>
    </row>
    <row r="7" spans="2:20" ht="13.5">
      <c r="B7" s="128" t="s">
        <v>127</v>
      </c>
      <c r="C7" s="128"/>
      <c r="D7" s="129" t="s">
        <v>125</v>
      </c>
      <c r="E7" s="130"/>
      <c r="G7" s="141" t="s">
        <v>128</v>
      </c>
      <c r="H7" s="141"/>
      <c r="I7" s="129"/>
      <c r="J7" s="130"/>
      <c r="L7" s="128" t="s">
        <v>127</v>
      </c>
      <c r="M7" s="128"/>
      <c r="N7" s="129" t="s">
        <v>125</v>
      </c>
      <c r="O7" s="130"/>
      <c r="Q7" s="141" t="s">
        <v>128</v>
      </c>
      <c r="R7" s="141"/>
      <c r="S7" s="129"/>
      <c r="T7" s="130"/>
    </row>
    <row r="8" spans="2:20" ht="13.5">
      <c r="B8" s="128" t="s">
        <v>129</v>
      </c>
      <c r="C8" s="128"/>
      <c r="D8" s="129">
        <f>D13*D15</f>
        <v>305000</v>
      </c>
      <c r="E8" s="130"/>
      <c r="G8" s="141" t="s">
        <v>130</v>
      </c>
      <c r="H8" s="141"/>
      <c r="I8" s="129"/>
      <c r="J8" s="130"/>
      <c r="L8" s="128" t="s">
        <v>129</v>
      </c>
      <c r="M8" s="128"/>
      <c r="N8" s="129">
        <f>N14*N16</f>
        <v>305000</v>
      </c>
      <c r="O8" s="130"/>
      <c r="Q8" s="141" t="s">
        <v>130</v>
      </c>
      <c r="R8" s="141"/>
      <c r="S8" s="129"/>
      <c r="T8" s="130"/>
    </row>
    <row r="9" spans="2:20" ht="13.5">
      <c r="B9" s="128" t="s">
        <v>131</v>
      </c>
      <c r="C9" s="128"/>
      <c r="D9" s="129" t="s">
        <v>132</v>
      </c>
      <c r="E9" s="130"/>
      <c r="G9" s="141" t="s">
        <v>133</v>
      </c>
      <c r="H9" s="141"/>
      <c r="I9" s="129"/>
      <c r="J9" s="130"/>
      <c r="L9" s="128" t="s">
        <v>131</v>
      </c>
      <c r="M9" s="128"/>
      <c r="N9" s="129" t="s">
        <v>132</v>
      </c>
      <c r="O9" s="130"/>
      <c r="Q9" s="141" t="s">
        <v>133</v>
      </c>
      <c r="R9" s="141"/>
      <c r="S9" s="129"/>
      <c r="T9" s="130"/>
    </row>
    <row r="10" spans="2:20" ht="13.5">
      <c r="B10" s="128" t="s">
        <v>134</v>
      </c>
      <c r="C10" s="128"/>
      <c r="D10" s="129">
        <v>43084</v>
      </c>
      <c r="E10" s="130"/>
      <c r="G10" s="30" t="s">
        <v>135</v>
      </c>
      <c r="H10" s="30"/>
      <c r="I10" s="129"/>
      <c r="J10" s="130"/>
      <c r="L10" s="128" t="s">
        <v>134</v>
      </c>
      <c r="M10" s="128"/>
      <c r="N10" s="129">
        <v>43084</v>
      </c>
      <c r="O10" s="130"/>
      <c r="Q10" s="62" t="s">
        <v>135</v>
      </c>
      <c r="R10" s="62"/>
      <c r="S10" s="129"/>
      <c r="T10" s="130"/>
    </row>
    <row r="11" spans="2:20" ht="13.5">
      <c r="B11" s="128" t="s">
        <v>136</v>
      </c>
      <c r="C11" s="128"/>
      <c r="D11" s="129">
        <v>3935</v>
      </c>
      <c r="E11" s="130"/>
      <c r="G11" s="141" t="s">
        <v>137</v>
      </c>
      <c r="H11" s="141"/>
      <c r="I11" s="129"/>
      <c r="J11" s="130"/>
      <c r="L11" s="128" t="s">
        <v>136</v>
      </c>
      <c r="M11" s="128"/>
      <c r="N11" s="129">
        <v>3935</v>
      </c>
      <c r="O11" s="130"/>
      <c r="Q11" s="141" t="s">
        <v>137</v>
      </c>
      <c r="R11" s="141"/>
      <c r="S11" s="129"/>
      <c r="T11" s="130"/>
    </row>
    <row r="12" spans="2:20" ht="13.5">
      <c r="B12" s="128" t="s">
        <v>138</v>
      </c>
      <c r="C12" s="128"/>
      <c r="D12" s="129">
        <v>3800</v>
      </c>
      <c r="E12" s="130"/>
      <c r="G12" s="141" t="s">
        <v>139</v>
      </c>
      <c r="H12" s="141"/>
      <c r="I12" s="129"/>
      <c r="J12" s="130"/>
      <c r="L12" s="128" t="s">
        <v>190</v>
      </c>
      <c r="M12" s="128"/>
      <c r="N12" s="129">
        <v>3800</v>
      </c>
      <c r="O12" s="130"/>
      <c r="Q12" s="141" t="s">
        <v>194</v>
      </c>
      <c r="R12" s="141"/>
      <c r="S12" s="129"/>
      <c r="T12" s="130"/>
    </row>
    <row r="13" spans="2:20" ht="13.5">
      <c r="B13" s="128" t="s">
        <v>140</v>
      </c>
      <c r="C13" s="128"/>
      <c r="D13" s="129">
        <v>61</v>
      </c>
      <c r="E13" s="130"/>
      <c r="G13" s="141" t="s">
        <v>141</v>
      </c>
      <c r="H13" s="141"/>
      <c r="I13" s="129"/>
      <c r="J13" s="130"/>
      <c r="L13" s="128" t="s">
        <v>191</v>
      </c>
      <c r="M13" s="128"/>
      <c r="N13" s="129">
        <v>3800</v>
      </c>
      <c r="O13" s="130"/>
      <c r="Q13" s="141" t="s">
        <v>195</v>
      </c>
      <c r="R13" s="141"/>
      <c r="S13" s="129"/>
      <c r="T13" s="130"/>
    </row>
    <row r="14" spans="2:20" ht="13.5">
      <c r="B14" s="128" t="s">
        <v>142</v>
      </c>
      <c r="C14" s="128"/>
      <c r="D14" s="129" t="s">
        <v>143</v>
      </c>
      <c r="E14" s="130"/>
      <c r="G14" s="141" t="s">
        <v>144</v>
      </c>
      <c r="H14" s="141"/>
      <c r="I14" s="31"/>
      <c r="J14" s="32"/>
      <c r="L14" s="128" t="s">
        <v>140</v>
      </c>
      <c r="M14" s="128"/>
      <c r="N14" s="129">
        <v>61</v>
      </c>
      <c r="O14" s="130"/>
      <c r="Q14" s="141" t="s">
        <v>141</v>
      </c>
      <c r="R14" s="141"/>
      <c r="S14" s="129"/>
      <c r="T14" s="130"/>
    </row>
    <row r="15" spans="2:20" ht="13.5">
      <c r="B15" s="128" t="s">
        <v>145</v>
      </c>
      <c r="C15" s="128"/>
      <c r="D15" s="129">
        <v>5000</v>
      </c>
      <c r="E15" s="130"/>
      <c r="G15" s="141" t="s">
        <v>146</v>
      </c>
      <c r="H15" s="141"/>
      <c r="I15" s="129"/>
      <c r="J15" s="130"/>
      <c r="L15" s="128" t="s">
        <v>142</v>
      </c>
      <c r="M15" s="128"/>
      <c r="N15" s="129" t="s">
        <v>143</v>
      </c>
      <c r="O15" s="130"/>
      <c r="Q15" s="141" t="s">
        <v>144</v>
      </c>
      <c r="R15" s="141"/>
      <c r="S15" s="60"/>
      <c r="T15" s="61"/>
    </row>
    <row r="16" spans="2:20" ht="14.25" thickBot="1">
      <c r="B16" s="133" t="s">
        <v>147</v>
      </c>
      <c r="C16" s="133"/>
      <c r="D16" s="134" t="s">
        <v>148</v>
      </c>
      <c r="E16" s="135"/>
      <c r="G16" s="137" t="s">
        <v>149</v>
      </c>
      <c r="H16" s="137"/>
      <c r="I16" s="134"/>
      <c r="J16" s="135"/>
      <c r="L16" s="128" t="s">
        <v>145</v>
      </c>
      <c r="M16" s="128"/>
      <c r="N16" s="129">
        <v>5000</v>
      </c>
      <c r="O16" s="130"/>
      <c r="Q16" s="141" t="s">
        <v>146</v>
      </c>
      <c r="R16" s="141"/>
      <c r="S16" s="129"/>
      <c r="T16" s="130"/>
    </row>
    <row r="17" spans="2:20" ht="15" thickTop="1" thickBot="1">
      <c r="L17" s="133" t="s">
        <v>147</v>
      </c>
      <c r="M17" s="133"/>
      <c r="N17" s="134" t="s">
        <v>148</v>
      </c>
      <c r="O17" s="135"/>
      <c r="Q17" s="137" t="s">
        <v>149</v>
      </c>
      <c r="R17" s="137"/>
      <c r="S17" s="134"/>
      <c r="T17" s="135"/>
    </row>
    <row r="18" spans="2:20" ht="12" thickTop="1"/>
    <row r="19" spans="2:20" ht="13.5">
      <c r="B19" s="28" t="s">
        <v>150</v>
      </c>
    </row>
    <row r="21" spans="2:20" ht="12" thickBot="1">
      <c r="B21" s="7"/>
      <c r="C21" s="7"/>
      <c r="D21" s="7"/>
      <c r="E21" s="7"/>
    </row>
    <row r="22" spans="2:20" ht="15" thickTop="1" thickBot="1">
      <c r="B22" s="138" t="s">
        <v>121</v>
      </c>
      <c r="C22" s="138"/>
      <c r="D22" s="138"/>
      <c r="E22" s="138"/>
      <c r="G22" s="138" t="s">
        <v>121</v>
      </c>
      <c r="H22" s="138"/>
      <c r="I22" s="138"/>
      <c r="J22" s="138"/>
    </row>
    <row r="23" spans="2:20" ht="14.25" thickTop="1">
      <c r="B23" s="33" t="s">
        <v>122</v>
      </c>
      <c r="C23" s="34"/>
      <c r="D23" s="139">
        <v>43084</v>
      </c>
      <c r="E23" s="140"/>
      <c r="G23" s="33" t="s">
        <v>122</v>
      </c>
      <c r="H23" s="34"/>
      <c r="I23" s="139">
        <v>43098</v>
      </c>
      <c r="J23" s="140"/>
    </row>
    <row r="24" spans="2:20" ht="13.5">
      <c r="B24" s="128" t="s">
        <v>124</v>
      </c>
      <c r="C24" s="128"/>
      <c r="D24" s="129" t="s">
        <v>207</v>
      </c>
      <c r="E24" s="130"/>
      <c r="G24" s="128" t="s">
        <v>228</v>
      </c>
      <c r="H24" s="128"/>
      <c r="I24" s="129" t="s">
        <v>223</v>
      </c>
      <c r="J24" s="130"/>
    </row>
    <row r="25" spans="2:20" ht="13.5">
      <c r="B25" s="128" t="s">
        <v>127</v>
      </c>
      <c r="C25" s="128"/>
      <c r="D25" s="129" t="s">
        <v>208</v>
      </c>
      <c r="E25" s="130"/>
      <c r="G25" s="128" t="s">
        <v>225</v>
      </c>
      <c r="H25" s="128"/>
      <c r="I25" s="129">
        <v>9375</v>
      </c>
      <c r="J25" s="130"/>
    </row>
    <row r="26" spans="2:20" ht="13.5">
      <c r="B26" s="128" t="s">
        <v>129</v>
      </c>
      <c r="C26" s="128"/>
      <c r="D26" s="131">
        <f>D31*D33</f>
        <v>1500000</v>
      </c>
      <c r="E26" s="132"/>
      <c r="G26" s="123" t="s">
        <v>226</v>
      </c>
      <c r="H26" s="123"/>
      <c r="I26" s="129" t="s">
        <v>229</v>
      </c>
      <c r="J26" s="130" t="s">
        <v>227</v>
      </c>
    </row>
    <row r="27" spans="2:20" ht="13.5">
      <c r="B27" s="128" t="s">
        <v>131</v>
      </c>
      <c r="C27" s="128"/>
      <c r="D27" s="129" t="s">
        <v>211</v>
      </c>
      <c r="E27" s="130"/>
      <c r="G27" s="128" t="s">
        <v>131</v>
      </c>
      <c r="H27" s="128"/>
      <c r="I27" s="129" t="s">
        <v>220</v>
      </c>
      <c r="J27" s="130"/>
    </row>
    <row r="28" spans="2:20" ht="13.5">
      <c r="B28" s="128" t="s">
        <v>134</v>
      </c>
      <c r="C28" s="128"/>
      <c r="D28" s="136">
        <v>43140</v>
      </c>
      <c r="E28" s="130"/>
      <c r="G28" s="128" t="s">
        <v>134</v>
      </c>
      <c r="H28" s="128"/>
      <c r="I28" s="136">
        <v>43159</v>
      </c>
      <c r="J28" s="130"/>
    </row>
    <row r="29" spans="2:20" ht="13.5">
      <c r="B29" s="128" t="s">
        <v>136</v>
      </c>
      <c r="C29" s="128"/>
      <c r="D29" s="129">
        <v>3587</v>
      </c>
      <c r="E29" s="130"/>
      <c r="G29" s="128" t="s">
        <v>136</v>
      </c>
      <c r="H29" s="128"/>
      <c r="I29" s="129">
        <v>9770</v>
      </c>
      <c r="J29" s="130"/>
    </row>
    <row r="30" spans="2:20" ht="13.5">
      <c r="B30" s="128" t="s">
        <v>138</v>
      </c>
      <c r="C30" s="128"/>
      <c r="D30" s="129">
        <v>3650</v>
      </c>
      <c r="E30" s="130"/>
      <c r="G30" s="128" t="s">
        <v>221</v>
      </c>
      <c r="H30" s="128"/>
      <c r="I30" s="124"/>
      <c r="J30" s="125">
        <v>9500</v>
      </c>
    </row>
    <row r="31" spans="2:20" ht="13.5">
      <c r="B31" s="128" t="s">
        <v>140</v>
      </c>
      <c r="C31" s="128"/>
      <c r="D31" s="129">
        <v>150</v>
      </c>
      <c r="E31" s="130"/>
      <c r="G31" s="128" t="s">
        <v>222</v>
      </c>
      <c r="H31" s="128"/>
      <c r="I31" s="129">
        <v>10040</v>
      </c>
      <c r="J31" s="130"/>
    </row>
    <row r="32" spans="2:20" ht="13.5">
      <c r="B32" s="128" t="s">
        <v>142</v>
      </c>
      <c r="C32" s="128"/>
      <c r="D32" s="129" t="s">
        <v>209</v>
      </c>
      <c r="E32" s="130"/>
      <c r="G32" s="128" t="s">
        <v>140</v>
      </c>
      <c r="H32" s="128"/>
      <c r="I32" s="129">
        <v>15</v>
      </c>
      <c r="J32" s="130"/>
    </row>
    <row r="33" spans="2:10" ht="13.5">
      <c r="B33" s="128" t="s">
        <v>145</v>
      </c>
      <c r="C33" s="128"/>
      <c r="D33" s="131">
        <v>10000</v>
      </c>
      <c r="E33" s="132"/>
      <c r="G33" s="128" t="s">
        <v>142</v>
      </c>
      <c r="H33" s="128"/>
      <c r="I33" s="129" t="s">
        <v>224</v>
      </c>
      <c r="J33" s="130"/>
    </row>
    <row r="34" spans="2:10" ht="14.25" thickBot="1">
      <c r="B34" s="133" t="s">
        <v>147</v>
      </c>
      <c r="C34" s="133"/>
      <c r="D34" s="134" t="s">
        <v>210</v>
      </c>
      <c r="E34" s="135"/>
      <c r="G34" s="128" t="s">
        <v>145</v>
      </c>
      <c r="H34" s="128"/>
      <c r="I34" s="131">
        <v>625</v>
      </c>
      <c r="J34" s="132"/>
    </row>
    <row r="35" spans="2:10" ht="15" thickTop="1" thickBot="1">
      <c r="G35" s="133" t="s">
        <v>147</v>
      </c>
      <c r="H35" s="133"/>
      <c r="I35" s="134" t="s">
        <v>210</v>
      </c>
      <c r="J35" s="135"/>
    </row>
    <row r="36" spans="2:10" ht="12" thickTop="1"/>
  </sheetData>
  <mergeCells count="147"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G33:H33"/>
    <mergeCell ref="I33:J33"/>
    <mergeCell ref="G34:H34"/>
    <mergeCell ref="I34:J34"/>
    <mergeCell ref="G35:H35"/>
    <mergeCell ref="I35:J35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E26" sqref="E26"/>
    </sheetView>
  </sheetViews>
  <sheetFormatPr defaultRowHeight="11.2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>
      <c r="B1" s="127" t="s">
        <v>158</v>
      </c>
      <c r="C1" s="127"/>
      <c r="D1" s="127"/>
    </row>
    <row r="2" spans="1:21" ht="12" thickTop="1"/>
    <row r="3" spans="1:21"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</row>
    <row r="4" spans="1:21" ht="12" thickBot="1">
      <c r="A4" s="64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>
      <c r="B5" s="10"/>
      <c r="C5" s="10"/>
      <c r="D5" s="10"/>
      <c r="E5" s="10"/>
      <c r="F5" s="10"/>
      <c r="G5" s="10"/>
      <c r="H5" s="10"/>
      <c r="I5" s="10"/>
      <c r="J5" s="10"/>
      <c r="K5" s="68"/>
      <c r="L5" s="6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>
      <c r="B8" s="10"/>
      <c r="C8" s="10"/>
      <c r="D8" s="10"/>
      <c r="E8" s="10"/>
      <c r="F8" s="10"/>
      <c r="G8" s="10"/>
      <c r="H8" s="10"/>
      <c r="I8" s="10"/>
      <c r="J8" s="10"/>
      <c r="K8" s="68"/>
      <c r="L8" s="68"/>
      <c r="M8" s="10"/>
      <c r="N8" s="10"/>
      <c r="O8" s="10"/>
      <c r="P8" s="10"/>
      <c r="Q8" s="10"/>
      <c r="R8" s="10"/>
      <c r="S8" s="10"/>
      <c r="T8" s="13"/>
      <c r="U8" s="10"/>
    </row>
    <row r="9" spans="1:21">
      <c r="B9" s="10"/>
      <c r="C9" s="10"/>
      <c r="D9" s="10"/>
      <c r="E9" s="10"/>
      <c r="F9" s="10"/>
      <c r="G9" s="10"/>
      <c r="H9" s="10"/>
      <c r="I9" s="10"/>
      <c r="J9" s="10"/>
      <c r="K9" s="68"/>
      <c r="L9" s="68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9"/>
  <sheetViews>
    <sheetView zoomScaleNormal="100" workbookViewId="0">
      <selection activeCell="M22" sqref="M2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14.125" style="6" customWidth="1"/>
    <col min="14" max="14" width="9" style="6" customWidth="1"/>
    <col min="15" max="15" width="7.25" style="6" customWidth="1"/>
    <col min="16" max="16" width="9" style="6" customWidth="1"/>
    <col min="17" max="17" width="10.125" style="6" customWidth="1"/>
    <col min="18" max="18" width="6.5" style="6" customWidth="1"/>
    <col min="19" max="19" width="9.625" style="6" customWidth="1"/>
    <col min="20" max="21" width="9" style="6"/>
    <col min="22" max="22" width="13.75" style="6" customWidth="1"/>
    <col min="23" max="16384" width="9" style="6"/>
  </cols>
  <sheetData>
    <row r="1" spans="1:22" ht="13.5" customHeight="1" thickBot="1">
      <c r="B1" s="142" t="s">
        <v>37</v>
      </c>
      <c r="C1" s="142"/>
    </row>
    <row r="2" spans="1:22" ht="12" thickTop="1">
      <c r="B2" s="3" t="s">
        <v>0</v>
      </c>
      <c r="C2" s="4">
        <v>43061</v>
      </c>
    </row>
    <row r="3" spans="1:22">
      <c r="B3" s="3" t="s">
        <v>1</v>
      </c>
      <c r="C3" s="3">
        <v>0.02</v>
      </c>
    </row>
    <row r="4" spans="1:22" ht="12" thickBot="1">
      <c r="B4" s="5" t="s">
        <v>18</v>
      </c>
      <c r="C4" s="5">
        <v>0.01</v>
      </c>
    </row>
    <row r="5" spans="1:22" ht="12" thickTop="1"/>
    <row r="6" spans="1:22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2.75" thickTop="1" thickBot="1">
      <c r="B7" s="18" t="s">
        <v>197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47</v>
      </c>
      <c r="O7" s="17" t="s">
        <v>13</v>
      </c>
      <c r="P7" s="17" t="s">
        <v>14</v>
      </c>
      <c r="Q7" s="17" t="s">
        <v>26</v>
      </c>
      <c r="R7" s="17" t="s">
        <v>28</v>
      </c>
      <c r="S7" s="17" t="s">
        <v>15</v>
      </c>
      <c r="T7" s="18" t="s">
        <v>33</v>
      </c>
      <c r="U7" s="18" t="s">
        <v>16</v>
      </c>
      <c r="V7" s="18" t="s">
        <v>17</v>
      </c>
    </row>
    <row r="8" spans="1:22" ht="12" thickTop="1">
      <c r="A8" s="63"/>
      <c r="B8" s="24" t="s">
        <v>198</v>
      </c>
      <c r="C8" s="19" t="s">
        <v>187</v>
      </c>
      <c r="D8" s="19" t="s">
        <v>31</v>
      </c>
      <c r="E8" s="19">
        <f t="shared" ref="E8:E9" si="0">IF(D8="中金买入",1,-1)</f>
        <v>-1</v>
      </c>
      <c r="F8" s="19" t="s">
        <v>22</v>
      </c>
      <c r="G8" s="19" t="s">
        <v>27</v>
      </c>
      <c r="H8" s="20">
        <f>RTD("wdf.rtq",,F8,"LastPrice")</f>
        <v>3855</v>
      </c>
      <c r="I8" s="19">
        <v>3800</v>
      </c>
      <c r="J8" s="21">
        <f t="shared" ref="J8:J11" ca="1" si="1">TODAY()</f>
        <v>43111</v>
      </c>
      <c r="K8" s="21">
        <f t="shared" ref="K8:K9" ca="1" si="2">J8+L8</f>
        <v>43141</v>
      </c>
      <c r="L8" s="19">
        <v>30</v>
      </c>
      <c r="M8" s="22">
        <f t="shared" ref="M8:M9" si="3">L8/365</f>
        <v>8.2191780821917804E-2</v>
      </c>
      <c r="N8" s="22">
        <v>0</v>
      </c>
      <c r="O8" s="23">
        <v>0.3</v>
      </c>
      <c r="P8" s="24">
        <f>_xll.dnetGBlackScholesNGreeks("price",$G8,$H8,$I8,$M8,$C$3,$N8,$O8,$C$4)*E8</f>
        <v>-160.35179683357637</v>
      </c>
      <c r="Q8" s="25">
        <v>80</v>
      </c>
      <c r="R8" s="24">
        <f t="shared" ref="R8:R9" si="4">Q8/10000*M8*H8</f>
        <v>2.5347945205479454</v>
      </c>
      <c r="S8" s="24">
        <f t="shared" ref="S8:S9" si="5">IF(P8&lt;=0,ABS(P8)+R8,P8-R8)</f>
        <v>162.88659135412431</v>
      </c>
      <c r="T8" s="26">
        <f t="shared" ref="T8:T9" si="6">S8/H8</f>
        <v>4.225333109056402E-2</v>
      </c>
      <c r="U8" s="24">
        <f>_xll.dnetGBlackScholesNGreeks("delta",$G8,$H8,$I8,$M8,$C$3,$N8,$O8,$C$4)*E8</f>
        <v>-0.58224017429893138</v>
      </c>
      <c r="V8" s="24">
        <f>_xll.dnetGBlackScholesNGreeks("vega",$G8,$H8,$I8,$M8,$C$3,$N8,$O8,$C$4)*E8</f>
        <v>-4.3057047561533182</v>
      </c>
    </row>
    <row r="9" spans="1:22">
      <c r="A9" s="63"/>
      <c r="B9" s="13" t="s">
        <v>199</v>
      </c>
      <c r="C9" s="10" t="s">
        <v>189</v>
      </c>
      <c r="D9" s="10" t="s">
        <v>151</v>
      </c>
      <c r="E9" s="10">
        <f t="shared" si="0"/>
        <v>1</v>
      </c>
      <c r="F9" s="10" t="s">
        <v>40</v>
      </c>
      <c r="G9" s="10" t="s">
        <v>27</v>
      </c>
      <c r="H9" s="11">
        <v>100</v>
      </c>
      <c r="I9" s="10">
        <v>100</v>
      </c>
      <c r="J9" s="8">
        <f t="shared" ca="1" si="1"/>
        <v>43111</v>
      </c>
      <c r="K9" s="8">
        <f t="shared" ca="1" si="2"/>
        <v>43141</v>
      </c>
      <c r="L9" s="10">
        <v>30</v>
      </c>
      <c r="M9" s="12">
        <f t="shared" si="3"/>
        <v>8.2191780821917804E-2</v>
      </c>
      <c r="N9" s="12">
        <v>0</v>
      </c>
      <c r="O9" s="9">
        <v>0.3</v>
      </c>
      <c r="P9" s="13">
        <f>_xll.dnetGBlackScholesNGreeks("price",$G9,$H9,$I9,$M9,$C$3,$N9,$O9,$C$4)*E9</f>
        <v>3.4245046917201378</v>
      </c>
      <c r="Q9" s="15">
        <v>80</v>
      </c>
      <c r="R9" s="13">
        <f t="shared" si="4"/>
        <v>6.5753424657534254E-2</v>
      </c>
      <c r="S9" s="13">
        <f t="shared" si="5"/>
        <v>3.3587512670626034</v>
      </c>
      <c r="T9" s="14">
        <f t="shared" si="6"/>
        <v>3.3587512670626034E-2</v>
      </c>
      <c r="U9" s="13">
        <f>_xll.dnetGBlackScholesNGreeks("delta",$G9,$H9,$I9,$M9,$C$3,$N9,$O9,$C$4)*E9</f>
        <v>0.51630126926376363</v>
      </c>
      <c r="V9" s="13">
        <f>_xll.dnetGBlackScholesNGreeks("vega",$G9,$H9,$I9,$M9,$C$3,$N9,$O9,$C$4)*E9</f>
        <v>0.11407976820886745</v>
      </c>
    </row>
    <row r="10" spans="1:22">
      <c r="A10" s="63"/>
      <c r="B10" s="13" t="s">
        <v>199</v>
      </c>
      <c r="C10" s="10" t="s">
        <v>187</v>
      </c>
      <c r="D10" s="10" t="s">
        <v>20</v>
      </c>
      <c r="E10" s="10">
        <f t="shared" ref="E10" si="7">IF(D10="中金买入",1,-1)</f>
        <v>-1</v>
      </c>
      <c r="F10" s="10" t="s">
        <v>216</v>
      </c>
      <c r="G10" s="10" t="s">
        <v>39</v>
      </c>
      <c r="H10" s="11">
        <f>RTD("wdf.rtq",,F10,"LastPrice")</f>
        <v>55200</v>
      </c>
      <c r="I10" s="11">
        <f>H10</f>
        <v>55200</v>
      </c>
      <c r="J10" s="8">
        <f t="shared" ca="1" si="1"/>
        <v>43111</v>
      </c>
      <c r="K10" s="8">
        <f t="shared" ref="K10" ca="1" si="8">J10+L10</f>
        <v>43142</v>
      </c>
      <c r="L10" s="10">
        <v>31</v>
      </c>
      <c r="M10" s="12">
        <f t="shared" ref="M10" si="9">L10/365</f>
        <v>8.4931506849315067E-2</v>
      </c>
      <c r="N10" s="12">
        <v>0</v>
      </c>
      <c r="O10" s="9">
        <v>0.2</v>
      </c>
      <c r="P10" s="13">
        <f>_xll.dnetGBlackScholesNGreeks("price",$G10,$H10,$I10,$M10,$C$3,$N10,$O10,$C$4)*E10</f>
        <v>-1281.192466193279</v>
      </c>
      <c r="Q10" s="15"/>
      <c r="R10" s="13">
        <f t="shared" ref="R10" si="10">Q10/10000*M10*H10</f>
        <v>0</v>
      </c>
      <c r="S10" s="13">
        <f t="shared" ref="S10" si="11">IF(P10&lt;=0,ABS(P10)+R10,P10-R10)</f>
        <v>1281.192466193279</v>
      </c>
      <c r="T10" s="14">
        <f t="shared" ref="T10" si="12">S10/H10</f>
        <v>2.3210008445530415E-2</v>
      </c>
      <c r="U10" s="13">
        <f>_xll.dnetGBlackScholesNGreeks("delta",$G10,$H10,$I10,$M10,$C$3,$N10,$O10,$C$4)*E10</f>
        <v>-0.51075641022180207</v>
      </c>
      <c r="V10" s="13">
        <f>_xll.dnetGBlackScholesNGreeks("vega",$G10,$H10,$I10,$M10,$C$3,$N10,$O10,$C$4)*E10</f>
        <v>-64.041467118346191</v>
      </c>
    </row>
    <row r="11" spans="1:22">
      <c r="A11" s="63"/>
      <c r="B11" s="13" t="s">
        <v>199</v>
      </c>
      <c r="C11" s="10" t="s">
        <v>187</v>
      </c>
      <c r="D11" s="10" t="s">
        <v>20</v>
      </c>
      <c r="E11" s="10">
        <f t="shared" ref="E11" si="13">IF(D11="中金买入",1,-1)</f>
        <v>-1</v>
      </c>
      <c r="F11" s="10" t="s">
        <v>215</v>
      </c>
      <c r="G11" s="10" t="s">
        <v>39</v>
      </c>
      <c r="H11" s="11">
        <f>RTD("wdf.rtq",,F11,"LastPrice")</f>
        <v>55200</v>
      </c>
      <c r="I11" s="11">
        <f>H11</f>
        <v>55200</v>
      </c>
      <c r="J11" s="8">
        <f t="shared" ca="1" si="1"/>
        <v>43111</v>
      </c>
      <c r="K11" s="8">
        <f t="shared" ref="K11" ca="1" si="14">J11+L11</f>
        <v>43172</v>
      </c>
      <c r="L11" s="10">
        <v>61</v>
      </c>
      <c r="M11" s="12">
        <f t="shared" ref="M11" si="15">L11/365</f>
        <v>0.16712328767123288</v>
      </c>
      <c r="N11" s="12">
        <v>0</v>
      </c>
      <c r="O11" s="9">
        <v>0.2</v>
      </c>
      <c r="P11" s="13">
        <f>_xll.dnetGBlackScholesNGreeks("price",$G11,$H11,$I11,$M11,$C$3,$N11,$O11,$C$4)*E11</f>
        <v>-1794.0108102617487</v>
      </c>
      <c r="Q11" s="15"/>
      <c r="R11" s="13">
        <f t="shared" ref="R11" si="16">Q11/10000*M11*H11</f>
        <v>0</v>
      </c>
      <c r="S11" s="13">
        <f t="shared" ref="S11" si="17">IF(P11&lt;=0,ABS(P11)+R11,P11-R11)</f>
        <v>1794.0108102617487</v>
      </c>
      <c r="T11" s="14">
        <f t="shared" ref="T11" si="18">S11/H11</f>
        <v>3.250019583807516E-2</v>
      </c>
      <c r="U11" s="13">
        <f>_xll.dnetGBlackScholesNGreeks("delta",$G11,$H11,$I11,$M11,$C$3,$N11,$O11,$C$4)*E11</f>
        <v>-0.51458165507938247</v>
      </c>
      <c r="V11" s="13">
        <f>_xll.dnetGBlackScholesNGreeks("vega",$G11,$H11,$I11,$M11,$C$3,$N11,$O11,$C$4)*E11</f>
        <v>-89.650519159436953</v>
      </c>
    </row>
    <row r="12" spans="1:22">
      <c r="A12" s="63"/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12"/>
      <c r="O12" s="9"/>
      <c r="P12" s="13"/>
      <c r="Q12" s="15"/>
      <c r="R12" s="13"/>
      <c r="S12" s="13"/>
      <c r="T12" s="14"/>
      <c r="U12" s="13"/>
      <c r="V12" s="13"/>
    </row>
    <row r="13" spans="1:22">
      <c r="A13" s="63"/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12"/>
      <c r="O13" s="9"/>
      <c r="P13" s="13"/>
      <c r="Q13" s="15"/>
      <c r="R13" s="13"/>
      <c r="S13" s="13"/>
      <c r="T13" s="14"/>
      <c r="U13" s="13"/>
      <c r="V13" s="13"/>
    </row>
    <row r="14" spans="1:22">
      <c r="A14" s="6">
        <v>1805</v>
      </c>
      <c r="B14" s="65"/>
      <c r="C14" s="10"/>
      <c r="D14" s="10"/>
      <c r="E14" s="10"/>
      <c r="F14" s="10"/>
      <c r="G14" s="10"/>
      <c r="H14" s="11"/>
      <c r="I14" s="11"/>
      <c r="J14" s="8"/>
      <c r="K14" s="8"/>
      <c r="L14" s="10"/>
      <c r="M14" s="12"/>
      <c r="N14" s="12"/>
      <c r="O14" s="9"/>
      <c r="P14" s="13"/>
      <c r="Q14" s="15"/>
      <c r="R14" s="13"/>
      <c r="S14" s="13"/>
      <c r="T14" s="14"/>
      <c r="U14" s="13"/>
      <c r="V14" s="13"/>
    </row>
    <row r="15" spans="1:22" ht="13.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12"/>
      <c r="O15" s="9"/>
      <c r="P15" s="13"/>
      <c r="Q15" s="15"/>
      <c r="R15" s="13"/>
      <c r="S15" s="13"/>
      <c r="T15" s="14"/>
      <c r="U15" s="13"/>
      <c r="V15" s="108"/>
    </row>
    <row r="16" spans="1:22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12"/>
      <c r="O16" s="9"/>
      <c r="P16" s="13"/>
      <c r="Q16" s="15"/>
      <c r="R16" s="13"/>
      <c r="S16" s="13"/>
      <c r="T16" s="14"/>
      <c r="U16" s="13"/>
      <c r="V16" s="13"/>
    </row>
    <row r="17" spans="2:22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12"/>
      <c r="O17" s="9"/>
      <c r="P17" s="13"/>
      <c r="Q17" s="15"/>
      <c r="R17" s="13"/>
      <c r="S17" s="13"/>
      <c r="T17" s="14"/>
      <c r="U17" s="13"/>
      <c r="V17" s="13"/>
    </row>
    <row r="18" spans="2:22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12"/>
      <c r="O18" s="9"/>
      <c r="P18" s="13"/>
      <c r="Q18" s="15"/>
      <c r="R18" s="13"/>
      <c r="S18" s="13"/>
      <c r="T18" s="14"/>
      <c r="U18" s="13"/>
      <c r="V18" s="13"/>
    </row>
    <row r="19" spans="2:22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12"/>
      <c r="O19" s="9"/>
      <c r="P19" s="13"/>
      <c r="Q19" s="15"/>
      <c r="R19" s="13"/>
      <c r="S19" s="13"/>
      <c r="T19" s="14"/>
      <c r="U19" s="13"/>
      <c r="V19" s="13"/>
    </row>
    <row r="20" spans="2:22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12"/>
      <c r="O20" s="9"/>
      <c r="P20" s="13"/>
      <c r="Q20" s="15"/>
      <c r="R20" s="13"/>
      <c r="S20" s="13"/>
      <c r="T20" s="14"/>
      <c r="U20" s="13"/>
      <c r="V20" s="13"/>
    </row>
    <row r="21" spans="2:22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12"/>
      <c r="O21" s="9"/>
      <c r="P21" s="13"/>
      <c r="Q21" s="15"/>
      <c r="R21" s="13"/>
      <c r="S21" s="13"/>
      <c r="T21" s="14"/>
      <c r="U21" s="13"/>
      <c r="V21" s="13"/>
    </row>
    <row r="22" spans="2:22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12"/>
      <c r="O22" s="9"/>
      <c r="P22" s="13"/>
      <c r="Q22" s="15"/>
      <c r="R22" s="13"/>
      <c r="S22" s="13"/>
      <c r="T22" s="14"/>
      <c r="U22" s="13"/>
      <c r="V22" s="13"/>
    </row>
    <row r="23" spans="2:22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12"/>
      <c r="O23" s="9"/>
      <c r="P23" s="13"/>
      <c r="Q23" s="15"/>
      <c r="R23" s="13"/>
      <c r="S23" s="13"/>
      <c r="T23" s="14"/>
      <c r="U23" s="13"/>
      <c r="V23" s="13"/>
    </row>
    <row r="24" spans="2:22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12"/>
      <c r="O24" s="9"/>
      <c r="P24" s="13"/>
      <c r="Q24" s="15"/>
      <c r="R24" s="13"/>
      <c r="S24" s="13"/>
      <c r="T24" s="14"/>
      <c r="U24" s="13"/>
      <c r="V24" s="13"/>
    </row>
    <row r="25" spans="2:22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12"/>
      <c r="O25" s="9"/>
      <c r="P25" s="13"/>
      <c r="Q25" s="15"/>
      <c r="R25" s="13"/>
      <c r="S25" s="13"/>
      <c r="T25" s="14"/>
      <c r="U25" s="13"/>
      <c r="V25" s="13"/>
    </row>
    <row r="26" spans="2:22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12"/>
      <c r="O26" s="9"/>
      <c r="P26" s="13"/>
      <c r="Q26" s="15"/>
      <c r="R26" s="13"/>
      <c r="S26" s="13"/>
      <c r="T26" s="14"/>
      <c r="U26" s="13"/>
      <c r="V26" s="13"/>
    </row>
    <row r="27" spans="2:22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12"/>
      <c r="O27" s="9"/>
      <c r="P27" s="13"/>
      <c r="Q27" s="15"/>
      <c r="R27" s="13"/>
      <c r="S27" s="13"/>
      <c r="T27" s="14"/>
      <c r="U27" s="13"/>
      <c r="V27" s="13"/>
    </row>
    <row r="28" spans="2:22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12"/>
      <c r="O28" s="9"/>
      <c r="P28" s="13"/>
      <c r="Q28" s="15"/>
      <c r="R28" s="13"/>
      <c r="S28" s="13"/>
      <c r="T28" s="14"/>
      <c r="U28" s="13"/>
      <c r="V28" s="13"/>
    </row>
    <row r="29" spans="2:22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12"/>
      <c r="O29" s="9"/>
      <c r="P29" s="13"/>
      <c r="Q29" s="15"/>
      <c r="R29" s="13"/>
      <c r="S29" s="13"/>
      <c r="T29" s="14"/>
      <c r="U29" s="13"/>
      <c r="V29" s="13"/>
    </row>
    <row r="30" spans="2:22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12"/>
      <c r="O30" s="9"/>
      <c r="P30" s="13"/>
      <c r="Q30" s="15"/>
      <c r="R30" s="13"/>
      <c r="S30" s="13"/>
      <c r="T30" s="14"/>
      <c r="U30" s="13"/>
      <c r="V30" s="13"/>
    </row>
    <row r="31" spans="2:22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12"/>
      <c r="O31" s="9"/>
      <c r="P31" s="13"/>
      <c r="Q31" s="15"/>
      <c r="R31" s="13"/>
      <c r="S31" s="13"/>
      <c r="T31" s="14"/>
      <c r="U31" s="13"/>
      <c r="V31" s="13"/>
    </row>
    <row r="32" spans="2:22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12"/>
      <c r="O32" s="9"/>
      <c r="P32" s="13"/>
      <c r="Q32" s="15"/>
      <c r="R32" s="13"/>
      <c r="S32" s="13"/>
      <c r="T32" s="14"/>
      <c r="U32" s="13"/>
      <c r="V32" s="13"/>
    </row>
    <row r="33" spans="2:22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12"/>
      <c r="O33" s="9"/>
      <c r="P33" s="13"/>
      <c r="Q33" s="15"/>
      <c r="R33" s="13"/>
      <c r="S33" s="13"/>
      <c r="T33" s="14"/>
      <c r="U33" s="13"/>
      <c r="V33" s="13"/>
    </row>
    <row r="34" spans="2:22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12"/>
      <c r="O34" s="9"/>
      <c r="P34" s="13"/>
      <c r="Q34" s="15"/>
      <c r="R34" s="13"/>
      <c r="S34" s="13"/>
      <c r="T34" s="14"/>
      <c r="U34" s="13"/>
      <c r="V34" s="13"/>
    </row>
    <row r="35" spans="2:22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12"/>
      <c r="O35" s="9"/>
      <c r="P35" s="13"/>
      <c r="Q35" s="15"/>
      <c r="R35" s="13"/>
      <c r="S35" s="13"/>
      <c r="T35" s="14"/>
      <c r="U35" s="13"/>
      <c r="V35" s="13"/>
    </row>
    <row r="36" spans="2:22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12"/>
      <c r="O36" s="9"/>
      <c r="P36" s="13"/>
      <c r="Q36" s="15"/>
      <c r="R36" s="13"/>
      <c r="S36" s="13"/>
      <c r="T36" s="14"/>
      <c r="U36" s="13"/>
      <c r="V36" s="13"/>
    </row>
    <row r="37" spans="2:22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12"/>
      <c r="O37" s="9"/>
      <c r="P37" s="13"/>
      <c r="Q37" s="15"/>
      <c r="R37" s="13"/>
      <c r="S37" s="13"/>
      <c r="T37" s="14"/>
      <c r="U37" s="13"/>
      <c r="V37" s="13"/>
    </row>
    <row r="38" spans="2:22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12"/>
      <c r="O38" s="9"/>
      <c r="P38" s="13"/>
      <c r="Q38" s="15"/>
      <c r="R38" s="13"/>
      <c r="S38" s="13"/>
      <c r="T38" s="14"/>
      <c r="U38" s="13"/>
      <c r="V38" s="13"/>
    </row>
    <row r="39" spans="2:22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12"/>
      <c r="O39" s="9"/>
      <c r="P39" s="13"/>
      <c r="Q39" s="15"/>
      <c r="R39" s="13"/>
      <c r="S39" s="13"/>
      <c r="T39" s="14"/>
      <c r="U39" s="13"/>
      <c r="V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abSelected="1" zoomScale="85" zoomScaleNormal="85" workbookViewId="0">
      <selection activeCell="S31" sqref="S31:T31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5" width="9.25" style="6" bestFit="1" customWidth="1"/>
    <col min="6" max="7" width="9" style="6"/>
    <col min="8" max="8" width="9.5" style="6" bestFit="1" customWidth="1"/>
    <col min="9" max="9" width="11.5" style="6" customWidth="1"/>
    <col min="10" max="10" width="11.625" style="6" bestFit="1" customWidth="1"/>
    <col min="11" max="11" width="10.5" style="6" bestFit="1" customWidth="1"/>
    <col min="12" max="13" width="8.125" style="6" customWidth="1"/>
    <col min="14" max="14" width="9.25" style="6" bestFit="1" customWidth="1"/>
    <col min="15" max="15" width="7.25" style="6" customWidth="1"/>
    <col min="16" max="16" width="9.25" style="6" bestFit="1" customWidth="1"/>
    <col min="17" max="17" width="10.125" style="6" customWidth="1"/>
    <col min="18" max="18" width="6.5" style="6" customWidth="1"/>
    <col min="19" max="19" width="10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>
      <c r="B1" s="145" t="s">
        <v>37</v>
      </c>
      <c r="C1" s="142"/>
    </row>
    <row r="2" spans="1:22" ht="12" thickTop="1">
      <c r="B2" s="37" t="s">
        <v>0</v>
      </c>
      <c r="C2" s="4">
        <v>43061</v>
      </c>
    </row>
    <row r="3" spans="1:22">
      <c r="B3" s="37" t="s">
        <v>1</v>
      </c>
      <c r="C3" s="37">
        <v>0.02</v>
      </c>
    </row>
    <row r="4" spans="1:22" ht="12" thickBot="1">
      <c r="B4" s="38" t="s">
        <v>18</v>
      </c>
      <c r="C4" s="38">
        <v>0.01</v>
      </c>
    </row>
    <row r="5" spans="1:22" ht="12" thickTop="1"/>
    <row r="6" spans="1:22" ht="12" thickBot="1"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</row>
    <row r="7" spans="1:22" ht="15" thickTop="1" thickBot="1">
      <c r="A7" s="69"/>
      <c r="B7" s="70" t="s">
        <v>29</v>
      </c>
      <c r="C7" s="70" t="s">
        <v>2</v>
      </c>
      <c r="D7" s="71" t="s">
        <v>30</v>
      </c>
      <c r="E7" s="71"/>
      <c r="F7" s="71" t="s">
        <v>32</v>
      </c>
      <c r="G7" s="71" t="s">
        <v>23</v>
      </c>
      <c r="H7" s="71" t="s">
        <v>8</v>
      </c>
      <c r="I7" s="71" t="s">
        <v>7</v>
      </c>
      <c r="J7" s="71" t="s">
        <v>9</v>
      </c>
      <c r="K7" s="71" t="s">
        <v>10</v>
      </c>
      <c r="L7" s="71" t="s">
        <v>11</v>
      </c>
      <c r="M7" s="71" t="s">
        <v>12</v>
      </c>
      <c r="N7" s="71" t="s">
        <v>47</v>
      </c>
      <c r="O7" s="71" t="s">
        <v>13</v>
      </c>
      <c r="P7" s="71" t="s">
        <v>14</v>
      </c>
      <c r="Q7" s="71" t="s">
        <v>26</v>
      </c>
      <c r="R7" s="71" t="s">
        <v>28</v>
      </c>
      <c r="S7" s="71" t="s">
        <v>15</v>
      </c>
      <c r="T7" s="70" t="s">
        <v>33</v>
      </c>
      <c r="U7" s="70" t="s">
        <v>16</v>
      </c>
      <c r="V7" s="70" t="s">
        <v>17</v>
      </c>
    </row>
    <row r="8" spans="1:22" ht="14.25" thickTop="1">
      <c r="A8" s="72"/>
      <c r="B8" s="73" t="s">
        <v>200</v>
      </c>
      <c r="C8" s="74" t="s">
        <v>187</v>
      </c>
      <c r="D8" s="74" t="s">
        <v>20</v>
      </c>
      <c r="E8" s="74">
        <f>IF(D8="中金买入",1,-1)</f>
        <v>-1</v>
      </c>
      <c r="F8" s="74" t="s">
        <v>186</v>
      </c>
      <c r="G8" s="74" t="s">
        <v>39</v>
      </c>
      <c r="H8" s="75">
        <v>100</v>
      </c>
      <c r="I8" s="74">
        <v>100</v>
      </c>
      <c r="J8" s="76">
        <f ca="1">TODAY()</f>
        <v>43111</v>
      </c>
      <c r="K8" s="76">
        <f ca="1">J8+L8</f>
        <v>43141</v>
      </c>
      <c r="L8" s="74">
        <v>30</v>
      </c>
      <c r="M8" s="77">
        <f>L8/365</f>
        <v>8.2191780821917804E-2</v>
      </c>
      <c r="N8" s="77"/>
      <c r="O8" s="78">
        <v>0.32</v>
      </c>
      <c r="P8" s="73">
        <f>_xll.dnetGBlackScholesNGreeks("price",$G8,$H8,$I8,$M8,$C$3,$N8,$O8,$C$4)*E8</f>
        <v>-3.6526499295562971</v>
      </c>
      <c r="Q8" s="79"/>
      <c r="R8" s="73"/>
      <c r="S8" s="73">
        <f>P8+R8</f>
        <v>-3.6526499295562971</v>
      </c>
      <c r="T8" s="80"/>
      <c r="U8" s="73">
        <f>_xll.dnetGBlackScholesNGreeks("delta",$G8,$H8,$I8,$M8,$C$3,$N8,$O8,$C$4)*E8</f>
        <v>-0.51744199617651532</v>
      </c>
      <c r="V8" s="73">
        <f>_xll.dnetGBlackScholesNGreeks("vega",$G8,$H8,$I8,$M8,$C$3,$N8,$O8,$C$4)*E8</f>
        <v>-0.11406523569462124</v>
      </c>
    </row>
    <row r="9" spans="1:22" ht="13.5">
      <c r="A9" s="72"/>
      <c r="B9" s="81" t="s">
        <v>201</v>
      </c>
      <c r="C9" s="82" t="s">
        <v>187</v>
      </c>
      <c r="D9" s="82" t="s">
        <v>151</v>
      </c>
      <c r="E9" s="82">
        <f>IF(D9="中金买入",1,-1)</f>
        <v>1</v>
      </c>
      <c r="F9" s="82" t="s">
        <v>186</v>
      </c>
      <c r="G9" s="82" t="s">
        <v>39</v>
      </c>
      <c r="H9" s="83">
        <v>100</v>
      </c>
      <c r="I9" s="82">
        <v>100</v>
      </c>
      <c r="J9" s="84">
        <f t="shared" ref="J9:L10" ca="1" si="0">J8</f>
        <v>43111</v>
      </c>
      <c r="K9" s="84">
        <f t="shared" ca="1" si="0"/>
        <v>43141</v>
      </c>
      <c r="L9" s="82">
        <f t="shared" si="0"/>
        <v>30</v>
      </c>
      <c r="M9" s="85">
        <f>L9/365</f>
        <v>8.2191780821917804E-2</v>
      </c>
      <c r="N9" s="85"/>
      <c r="O9" s="86">
        <v>0.3</v>
      </c>
      <c r="P9" s="81">
        <f>_xll.dnetGBlackScholesNGreeks("price",$G9,$H9,$I9,$M9,$C$3,$N9,$O9,$C$4)*E9</f>
        <v>3.4245046917201378</v>
      </c>
      <c r="Q9" s="87"/>
      <c r="R9" s="81"/>
      <c r="S9" s="81">
        <f>P9+R9</f>
        <v>3.4245046917201378</v>
      </c>
      <c r="T9" s="88"/>
      <c r="U9" s="81">
        <f>_xll.dnetGBlackScholesNGreeks("delta",$G9,$H9,$I9,$M9,$C$3,$N9,$O9,$C$4)*E9</f>
        <v>0.51630126926376363</v>
      </c>
      <c r="V9" s="81">
        <f>_xll.dnetGBlackScholesNGreeks("vega",$G9,$H9,$I9,$M9,$C$3,$N9,$O9,$C$4)*E9</f>
        <v>0.11407976820886745</v>
      </c>
    </row>
    <row r="10" spans="1:22" ht="13.5">
      <c r="A10" s="72"/>
      <c r="B10" s="89" t="s">
        <v>202</v>
      </c>
      <c r="C10" s="90" t="s">
        <v>187</v>
      </c>
      <c r="D10" s="90" t="s">
        <v>151</v>
      </c>
      <c r="E10" s="90"/>
      <c r="F10" s="90" t="str">
        <f>F9</f>
        <v>RB1805</v>
      </c>
      <c r="G10" s="90"/>
      <c r="H10" s="91">
        <f>H9</f>
        <v>100</v>
      </c>
      <c r="I10" s="90" t="str">
        <f>I8 &amp; "|" &amp; I9</f>
        <v>100|100</v>
      </c>
      <c r="J10" s="92">
        <f t="shared" ca="1" si="0"/>
        <v>43111</v>
      </c>
      <c r="K10" s="92">
        <f t="shared" ca="1" si="0"/>
        <v>43141</v>
      </c>
      <c r="L10" s="90">
        <f t="shared" si="0"/>
        <v>30</v>
      </c>
      <c r="M10" s="93">
        <f>M9</f>
        <v>8.2191780821917804E-2</v>
      </c>
      <c r="N10" s="93"/>
      <c r="O10" s="90"/>
      <c r="P10" s="89">
        <f>P9+P8</f>
        <v>-0.22814523783615925</v>
      </c>
      <c r="Q10" s="90">
        <v>80</v>
      </c>
      <c r="R10" s="89">
        <f>Q10/10000*M10*H10</f>
        <v>6.5753424657534254E-2</v>
      </c>
      <c r="S10" s="89">
        <f>IF(P10&lt;=0,ABS(P10)+R10,P10-R10)</f>
        <v>0.29389866249369351</v>
      </c>
      <c r="T10" s="94">
        <f>S10/H10</f>
        <v>2.9389866249369349E-3</v>
      </c>
      <c r="U10" s="94">
        <f t="shared" ref="U10:V10" si="1">U9+U8</f>
        <v>-1.1407269127516884E-3</v>
      </c>
      <c r="V10" s="94">
        <f t="shared" si="1"/>
        <v>1.4532514246212713E-5</v>
      </c>
    </row>
    <row r="11" spans="1:22" ht="13.5">
      <c r="A11" s="95"/>
      <c r="B11" s="81" t="s">
        <v>200</v>
      </c>
      <c r="C11" s="82" t="s">
        <v>187</v>
      </c>
      <c r="D11" s="82" t="s">
        <v>20</v>
      </c>
      <c r="E11" s="82">
        <f>IF(D11="中金买入",1,-1)</f>
        <v>-1</v>
      </c>
      <c r="F11" s="82" t="s">
        <v>218</v>
      </c>
      <c r="G11" s="82" t="s">
        <v>27</v>
      </c>
      <c r="H11" s="83">
        <f>RTD("wdf.rtq",,F11,"LastPrice")</f>
        <v>3672</v>
      </c>
      <c r="I11" s="83">
        <v>3600</v>
      </c>
      <c r="J11" s="84">
        <f ca="1">TODAY()</f>
        <v>43111</v>
      </c>
      <c r="K11" s="84">
        <f ca="1">J11+L11</f>
        <v>43262</v>
      </c>
      <c r="L11" s="82">
        <v>151</v>
      </c>
      <c r="M11" s="85">
        <f>L11/365</f>
        <v>0.41369863013698632</v>
      </c>
      <c r="N11" s="85"/>
      <c r="O11" s="86">
        <v>0.14000000000000001</v>
      </c>
      <c r="P11" s="81">
        <f>_xll.dnetGBlackScholesNGreeks("price",$G11,$H11,$I11,$M11,$C$3,$N11,$O11,$C$4)*E11</f>
        <v>-168.31824945691619</v>
      </c>
      <c r="Q11" s="87"/>
      <c r="R11" s="81"/>
      <c r="S11" s="81">
        <f>P11+R11</f>
        <v>-168.31824945691619</v>
      </c>
      <c r="T11" s="88"/>
      <c r="U11" s="81">
        <f>_xll.dnetGBlackScholesNGreeks("delta",$G11,$H11,$I11,$M11,$C$3,$N11,$O11,$C$4)*E11</f>
        <v>-0.59949045637495146</v>
      </c>
      <c r="V11" s="81">
        <f>_xll.dnetGBlackScholesNGreeks("vega",$G11,$H11,$I11,$M11,$C$3,$N11,$O11,$C$4)*E11</f>
        <v>-9.0212281597795254</v>
      </c>
    </row>
    <row r="12" spans="1:22" ht="13.5">
      <c r="A12" s="95"/>
      <c r="B12" s="81" t="s">
        <v>201</v>
      </c>
      <c r="C12" s="82" t="s">
        <v>187</v>
      </c>
      <c r="D12" s="82" t="s">
        <v>151</v>
      </c>
      <c r="E12" s="82">
        <f>IF(D12="中金买入",1,-1)</f>
        <v>1</v>
      </c>
      <c r="F12" s="82" t="str">
        <f>F11</f>
        <v>rb1810</v>
      </c>
      <c r="G12" s="82" t="s">
        <v>27</v>
      </c>
      <c r="H12" s="83">
        <f>H11</f>
        <v>3672</v>
      </c>
      <c r="I12" s="83">
        <v>3750</v>
      </c>
      <c r="J12" s="84">
        <f ca="1">J11</f>
        <v>43111</v>
      </c>
      <c r="K12" s="84">
        <f ca="1">K11</f>
        <v>43262</v>
      </c>
      <c r="L12" s="82">
        <f>L11</f>
        <v>151</v>
      </c>
      <c r="M12" s="85">
        <f>L12/365</f>
        <v>0.41369863013698632</v>
      </c>
      <c r="N12" s="85"/>
      <c r="O12" s="86">
        <v>0.12</v>
      </c>
      <c r="P12" s="81">
        <f>_xll.dnetGBlackScholesNGreeks("price",$G12,$H12,$I12,$M12,$C$3,$N12,$O12,$C$4)*E12</f>
        <v>78.792879831283699</v>
      </c>
      <c r="Q12" s="87"/>
      <c r="R12" s="81"/>
      <c r="S12" s="81">
        <f>P12+R12</f>
        <v>78.792879831283699</v>
      </c>
      <c r="T12" s="88"/>
      <c r="U12" s="81">
        <f>_xll.dnetGBlackScholesNGreeks("delta",$G12,$H12,$I12,$M12,$C$3,$N12,$O12,$C$4)*E12</f>
        <v>0.40423533735065575</v>
      </c>
      <c r="V12" s="81">
        <f>_xll.dnetGBlackScholesNGreeks("vega",$G12,$H12,$I12,$M12,$C$3,$N12,$O12,$C$4)*E12</f>
        <v>9.0904878152565516</v>
      </c>
    </row>
    <row r="13" spans="1:22" ht="13.5">
      <c r="A13" s="95"/>
      <c r="B13" s="89" t="s">
        <v>202</v>
      </c>
      <c r="C13" s="90" t="s">
        <v>187</v>
      </c>
      <c r="D13" s="90" t="s">
        <v>20</v>
      </c>
      <c r="E13" s="90"/>
      <c r="F13" s="90" t="str">
        <f>F12</f>
        <v>rb1810</v>
      </c>
      <c r="G13" s="90"/>
      <c r="H13" s="91">
        <f>H12</f>
        <v>3672</v>
      </c>
      <c r="I13" s="90" t="str">
        <f>I11 &amp; "|" &amp; I12</f>
        <v>3600|3750</v>
      </c>
      <c r="J13" s="92">
        <f t="shared" ref="J13:K13" ca="1" si="2">J12</f>
        <v>43111</v>
      </c>
      <c r="K13" s="92">
        <f t="shared" ca="1" si="2"/>
        <v>43262</v>
      </c>
      <c r="L13" s="90">
        <f>L12</f>
        <v>151</v>
      </c>
      <c r="M13" s="93">
        <f>M12</f>
        <v>0.41369863013698632</v>
      </c>
      <c r="N13" s="93"/>
      <c r="O13" s="90"/>
      <c r="P13" s="89">
        <f>P12+P11</f>
        <v>-89.525369625632493</v>
      </c>
      <c r="Q13" s="90">
        <v>50</v>
      </c>
      <c r="R13" s="89">
        <f>Q13/10000*M13*H13</f>
        <v>7.5955068493150693</v>
      </c>
      <c r="S13" s="89">
        <f>IF(P13&lt;=0,ABS(P13)+R13,P13-R13)</f>
        <v>97.120876474947565</v>
      </c>
      <c r="T13" s="94">
        <f>S13/H13</f>
        <v>2.6449040434353911E-2</v>
      </c>
      <c r="U13" s="94">
        <f>U12+U11</f>
        <v>-0.19525511902429571</v>
      </c>
      <c r="V13" s="94">
        <f>V12+V11</f>
        <v>6.9259655477026172E-2</v>
      </c>
    </row>
    <row r="14" spans="1:22" ht="13.5">
      <c r="A14" s="95"/>
      <c r="B14" s="81" t="s">
        <v>200</v>
      </c>
      <c r="C14" s="82" t="s">
        <v>187</v>
      </c>
      <c r="D14" s="82" t="s">
        <v>151</v>
      </c>
      <c r="E14" s="82">
        <f>IF(D14="中金买入",1,-1)</f>
        <v>1</v>
      </c>
      <c r="F14" s="82" t="s">
        <v>217</v>
      </c>
      <c r="G14" s="82" t="s">
        <v>27</v>
      </c>
      <c r="H14" s="83">
        <f>RTD("wdf.rtq",,F14,"LastPrice")</f>
        <v>3672</v>
      </c>
      <c r="I14" s="83">
        <v>3900</v>
      </c>
      <c r="J14" s="84">
        <f ca="1">TODAY()</f>
        <v>43111</v>
      </c>
      <c r="K14" s="84">
        <f ca="1">J14+L14</f>
        <v>43262</v>
      </c>
      <c r="L14" s="82">
        <v>151</v>
      </c>
      <c r="M14" s="85">
        <f>L14/365</f>
        <v>0.41369863013698632</v>
      </c>
      <c r="N14" s="85"/>
      <c r="O14" s="86">
        <v>0.14000000000000001</v>
      </c>
      <c r="P14" s="81">
        <f>_xll.dnetGBlackScholesNGreeks("price",$G14,$H14,$I14,$M14,$C$3,$N14,$O14,$C$4)*E14</f>
        <v>50.845683942387041</v>
      </c>
      <c r="Q14" s="87"/>
      <c r="R14" s="81"/>
      <c r="S14" s="81">
        <f>P14+R14</f>
        <v>50.845683942387041</v>
      </c>
      <c r="T14" s="88"/>
      <c r="U14" s="81">
        <f>_xll.dnetGBlackScholesNGreeks("delta",$G14,$H14,$I14,$M14,$C$3,$N14,$O14,$C$4)*E14</f>
        <v>0.26413243502361183</v>
      </c>
      <c r="V14" s="81">
        <f>_xll.dnetGBlackScholesNGreeks("vega",$G14,$H14,$I14,$M14,$C$3,$N14,$O14,$C$4)*E14</f>
        <v>7.6841459258064901</v>
      </c>
    </row>
    <row r="15" spans="1:22" ht="13.5">
      <c r="A15" s="95"/>
      <c r="B15" s="81" t="s">
        <v>201</v>
      </c>
      <c r="C15" s="82" t="s">
        <v>187</v>
      </c>
      <c r="D15" s="82" t="s">
        <v>20</v>
      </c>
      <c r="E15" s="82">
        <f>IF(D15="中金买入",1,-1)</f>
        <v>-1</v>
      </c>
      <c r="F15" s="82" t="str">
        <f>F14</f>
        <v>rb1810</v>
      </c>
      <c r="G15" s="82" t="s">
        <v>27</v>
      </c>
      <c r="H15" s="83">
        <f>H14</f>
        <v>3672</v>
      </c>
      <c r="I15" s="83">
        <v>4050</v>
      </c>
      <c r="J15" s="84">
        <f ca="1">J14</f>
        <v>43111</v>
      </c>
      <c r="K15" s="84">
        <f ca="1">K14</f>
        <v>43262</v>
      </c>
      <c r="L15" s="82">
        <f>L14</f>
        <v>151</v>
      </c>
      <c r="M15" s="85">
        <f>L15/365</f>
        <v>0.41369863013698632</v>
      </c>
      <c r="N15" s="85"/>
      <c r="O15" s="86">
        <v>0.12</v>
      </c>
      <c r="P15" s="81">
        <f>_xll.dnetGBlackScholesNGreeks("price",$G15,$H15,$I15,$M15,$C$3,$N15,$O15,$C$4)*E15</f>
        <v>-14.329153119443731</v>
      </c>
      <c r="Q15" s="87"/>
      <c r="R15" s="81"/>
      <c r="S15" s="81">
        <f>P15+R15</f>
        <v>-14.329153119443731</v>
      </c>
      <c r="T15" s="88"/>
      <c r="U15" s="81">
        <f>_xll.dnetGBlackScholesNGreeks("delta",$G15,$H15,$I15,$M15,$C$3,$N15,$O15,$C$4)*E15</f>
        <v>-0.10828803812898968</v>
      </c>
      <c r="V15" s="81">
        <f>_xll.dnetGBlackScholesNGreeks("vega",$G15,$H15,$I15,$M15,$C$3,$N15,$O15,$C$4)*E15</f>
        <v>-4.3697440699403387</v>
      </c>
    </row>
    <row r="16" spans="1:22" ht="13.5">
      <c r="A16" s="95"/>
      <c r="B16" s="89" t="s">
        <v>202</v>
      </c>
      <c r="C16" s="90" t="s">
        <v>187</v>
      </c>
      <c r="D16" s="90" t="s">
        <v>20</v>
      </c>
      <c r="E16" s="90"/>
      <c r="F16" s="90" t="str">
        <f>F15</f>
        <v>rb1810</v>
      </c>
      <c r="G16" s="90"/>
      <c r="H16" s="91">
        <f>H15</f>
        <v>3672</v>
      </c>
      <c r="I16" s="90" t="str">
        <f>I14 &amp; "|" &amp; I15</f>
        <v>3900|4050</v>
      </c>
      <c r="J16" s="92">
        <f t="shared" ref="J16:K16" ca="1" si="3">J15</f>
        <v>43111</v>
      </c>
      <c r="K16" s="92">
        <f t="shared" ca="1" si="3"/>
        <v>43262</v>
      </c>
      <c r="L16" s="90">
        <f>L15</f>
        <v>151</v>
      </c>
      <c r="M16" s="93">
        <f>M15</f>
        <v>0.41369863013698632</v>
      </c>
      <c r="N16" s="93"/>
      <c r="O16" s="90"/>
      <c r="P16" s="89">
        <f>P15+P14</f>
        <v>36.516530822943309</v>
      </c>
      <c r="Q16" s="90">
        <v>50</v>
      </c>
      <c r="R16" s="89">
        <f>Q16/10000*M16*H16</f>
        <v>7.5955068493150693</v>
      </c>
      <c r="S16" s="89">
        <f>IF(P16&lt;=0,ABS(P16)+R16,P16-R16)</f>
        <v>28.921023973628241</v>
      </c>
      <c r="T16" s="94">
        <f>S16/H16</f>
        <v>7.876095853384597E-3</v>
      </c>
      <c r="U16" s="94">
        <f>U15+U14</f>
        <v>0.15584439689462215</v>
      </c>
      <c r="V16" s="94">
        <f>V15+V14</f>
        <v>3.3144018558661514</v>
      </c>
    </row>
    <row r="17" spans="1:22" ht="13.5">
      <c r="A17" s="95"/>
      <c r="B17" s="81" t="s">
        <v>200</v>
      </c>
      <c r="C17" s="82" t="s">
        <v>187</v>
      </c>
      <c r="D17" s="82" t="s">
        <v>20</v>
      </c>
      <c r="E17" s="82">
        <f>IF(D17="中金买入",1,-1)</f>
        <v>-1</v>
      </c>
      <c r="F17" s="82" t="s">
        <v>219</v>
      </c>
      <c r="G17" s="82" t="s">
        <v>85</v>
      </c>
      <c r="H17" s="83">
        <v>9760</v>
      </c>
      <c r="I17" s="83">
        <v>9500</v>
      </c>
      <c r="J17" s="84">
        <f ca="1">TODAY()</f>
        <v>43111</v>
      </c>
      <c r="K17" s="84">
        <f ca="1">J17+L17</f>
        <v>43173</v>
      </c>
      <c r="L17" s="82">
        <v>62</v>
      </c>
      <c r="M17" s="85">
        <f>L17/365</f>
        <v>0.16986301369863013</v>
      </c>
      <c r="N17" s="85">
        <v>0</v>
      </c>
      <c r="O17" s="86">
        <v>0.19</v>
      </c>
      <c r="P17" s="81">
        <f>_xll.dnetGBlackScholesNGreeks("price",$G17,$H17,$I17,$M17,$C$3,$N17,$O17,$C$4)*E17</f>
        <v>-187.82001773054617</v>
      </c>
      <c r="Q17" s="87"/>
      <c r="R17" s="81"/>
      <c r="S17" s="81">
        <f>P17+R17</f>
        <v>-187.82001773054617</v>
      </c>
      <c r="T17" s="88"/>
      <c r="U17" s="81">
        <f>_xll.dnetGBlackScholesNGreeks("delta",$G17,$H17,$I17,$M17,$C$3,$N17,$O17,$C$4)*E17</f>
        <v>0.34931670354581001</v>
      </c>
      <c r="V17" s="81">
        <f>_xll.dnetGBlackScholesNGreeks("vega",$G17,$H17,$I17,$M17,$C$3,$N17,$O17,$C$4)*E17</f>
        <v>-14.854303179959288</v>
      </c>
    </row>
    <row r="18" spans="1:22" ht="13.5">
      <c r="A18" s="95"/>
      <c r="B18" s="81" t="s">
        <v>201</v>
      </c>
      <c r="C18" s="82" t="s">
        <v>187</v>
      </c>
      <c r="D18" s="82" t="s">
        <v>151</v>
      </c>
      <c r="E18" s="82">
        <f>IF(D18="中金买入",1,-1)</f>
        <v>1</v>
      </c>
      <c r="F18" s="82" t="s">
        <v>219</v>
      </c>
      <c r="G18" s="82" t="s">
        <v>24</v>
      </c>
      <c r="H18" s="83">
        <f>9760</f>
        <v>9760</v>
      </c>
      <c r="I18" s="83">
        <v>10040</v>
      </c>
      <c r="J18" s="84">
        <f ca="1">J17</f>
        <v>43111</v>
      </c>
      <c r="K18" s="84">
        <f ca="1">K17</f>
        <v>43173</v>
      </c>
      <c r="L18" s="82">
        <v>62</v>
      </c>
      <c r="M18" s="85">
        <f>L18/365</f>
        <v>0.16986301369863013</v>
      </c>
      <c r="N18" s="85">
        <v>0</v>
      </c>
      <c r="O18" s="86">
        <v>0.18</v>
      </c>
      <c r="P18" s="81">
        <f>_xll.dnetGBlackScholesNGreeks("price",$G18,$H18,$I18,$M18,$C$3,$N18,$O18,$C$4)*E18</f>
        <v>173.36800186855407</v>
      </c>
      <c r="Q18" s="87"/>
      <c r="R18" s="81"/>
      <c r="S18" s="81">
        <f>P18+R18</f>
        <v>173.36800186855407</v>
      </c>
      <c r="T18" s="88"/>
      <c r="U18" s="81">
        <f>_xll.dnetGBlackScholesNGreeks("delta",$G18,$H18,$I18,$M18,$C$3,$N18,$O18,$C$4)*E18</f>
        <v>0.36411839130323642</v>
      </c>
      <c r="V18" s="81">
        <f>_xll.dnetGBlackScholesNGreeks("vega",$G18,$H18,$I18,$M18,$C$3,$N18,$O18,$C$4)*E18</f>
        <v>15.070168270000977</v>
      </c>
    </row>
    <row r="19" spans="1:22" ht="13.5">
      <c r="A19" s="95"/>
      <c r="B19" s="89" t="s">
        <v>202</v>
      </c>
      <c r="C19" s="90" t="s">
        <v>187</v>
      </c>
      <c r="D19" s="90" t="s">
        <v>20</v>
      </c>
      <c r="E19" s="90"/>
      <c r="F19" s="90" t="str">
        <f>F18</f>
        <v>l1805</v>
      </c>
      <c r="G19" s="90"/>
      <c r="H19" s="91">
        <f>H18</f>
        <v>9760</v>
      </c>
      <c r="I19" s="90" t="str">
        <f>I17 &amp; "|" &amp; I18</f>
        <v>9500|10040</v>
      </c>
      <c r="J19" s="92">
        <f t="shared" ref="J19:K19" ca="1" si="4">J18</f>
        <v>43111</v>
      </c>
      <c r="K19" s="92">
        <f t="shared" ca="1" si="4"/>
        <v>43173</v>
      </c>
      <c r="L19" s="90">
        <f>L18</f>
        <v>62</v>
      </c>
      <c r="M19" s="93">
        <f>M18</f>
        <v>0.16986301369863013</v>
      </c>
      <c r="N19" s="93"/>
      <c r="O19" s="90"/>
      <c r="P19" s="89">
        <f>P18+P17</f>
        <v>-14.452015861992095</v>
      </c>
      <c r="Q19" s="90">
        <v>0</v>
      </c>
      <c r="R19" s="89">
        <f>Q19/10000*M19*H19</f>
        <v>0</v>
      </c>
      <c r="S19" s="89">
        <f>IF(P19&lt;=0,ABS(P19)+R19,P19-R19)</f>
        <v>14.452015861992095</v>
      </c>
      <c r="T19" s="94">
        <f>S19/H19</f>
        <v>1.4807393301221408E-3</v>
      </c>
      <c r="U19" s="94">
        <f>U18+U17</f>
        <v>0.71343509484904644</v>
      </c>
      <c r="V19" s="94">
        <f>V18+V17</f>
        <v>0.21586509004168875</v>
      </c>
    </row>
    <row r="20" spans="1:22" ht="13.5">
      <c r="A20" s="95"/>
      <c r="B20" s="81" t="s">
        <v>200</v>
      </c>
      <c r="C20" s="82" t="s">
        <v>187</v>
      </c>
      <c r="D20" s="82" t="s">
        <v>151</v>
      </c>
      <c r="E20" s="82">
        <f>IF(D20="中金买入",1,-1)</f>
        <v>1</v>
      </c>
      <c r="F20" s="82" t="s">
        <v>219</v>
      </c>
      <c r="G20" s="82" t="s">
        <v>85</v>
      </c>
      <c r="H20" s="83">
        <v>10015</v>
      </c>
      <c r="I20" s="83">
        <v>9500</v>
      </c>
      <c r="J20" s="84">
        <f ca="1">TODAY()</f>
        <v>43111</v>
      </c>
      <c r="K20" s="84">
        <f ca="1">J20+L20</f>
        <v>43159</v>
      </c>
      <c r="L20" s="82">
        <v>48</v>
      </c>
      <c r="M20" s="85">
        <f>L20/365</f>
        <v>0.13150684931506848</v>
      </c>
      <c r="N20" s="85">
        <v>0</v>
      </c>
      <c r="O20" s="86">
        <v>0.19</v>
      </c>
      <c r="P20" s="81">
        <f>_xll.dnetGBlackScholesNGreeks("price",$G20,$H20,$I20,$M20,$C$3,$N20,$O20,$C$4)*E20</f>
        <v>85.457958845282064</v>
      </c>
      <c r="Q20" s="87"/>
      <c r="R20" s="81"/>
      <c r="S20" s="81">
        <f>P20+R20</f>
        <v>85.457958845282064</v>
      </c>
      <c r="T20" s="88"/>
      <c r="U20" s="81">
        <f>_xll.dnetGBlackScholesNGreeks("delta",$G20,$H20,$I20,$M20,$C$3,$N20,$O20,$C$4)*E20</f>
        <v>-0.21111118219323544</v>
      </c>
      <c r="V20" s="81">
        <f>_xll.dnetGBlackScholesNGreeks("vega",$G20,$H20,$I20,$M20,$C$3,$N20,$O20,$C$4)*E20</f>
        <v>10.481123035288874</v>
      </c>
    </row>
    <row r="21" spans="1:22" ht="13.5">
      <c r="A21" s="95"/>
      <c r="B21" s="81" t="s">
        <v>201</v>
      </c>
      <c r="C21" s="82" t="s">
        <v>187</v>
      </c>
      <c r="D21" s="82" t="s">
        <v>20</v>
      </c>
      <c r="E21" s="82">
        <f>IF(D21="中金买入",1,-1)</f>
        <v>-1</v>
      </c>
      <c r="F21" s="82" t="s">
        <v>219</v>
      </c>
      <c r="G21" s="82" t="s">
        <v>24</v>
      </c>
      <c r="H21" s="83">
        <f>H20</f>
        <v>10015</v>
      </c>
      <c r="I21" s="83">
        <v>10040</v>
      </c>
      <c r="J21" s="84">
        <f ca="1">J20</f>
        <v>43111</v>
      </c>
      <c r="K21" s="84">
        <f ca="1">K20</f>
        <v>43159</v>
      </c>
      <c r="L21" s="82">
        <v>48</v>
      </c>
      <c r="M21" s="85">
        <f>L21/365</f>
        <v>0.13150684931506848</v>
      </c>
      <c r="N21" s="85">
        <v>0</v>
      </c>
      <c r="O21" s="86">
        <v>0.19</v>
      </c>
      <c r="P21" s="81">
        <f>_xll.dnetGBlackScholesNGreeks("price",$G21,$H21,$I21,$M21,$C$3,$N21,$O21,$C$4)*E21</f>
        <v>-262.56687096872429</v>
      </c>
      <c r="Q21" s="87"/>
      <c r="R21" s="81"/>
      <c r="S21" s="81">
        <f>P21+R21</f>
        <v>-262.56687096872429</v>
      </c>
      <c r="T21" s="88"/>
      <c r="U21" s="81">
        <f>_xll.dnetGBlackScholesNGreeks("delta",$G21,$H21,$I21,$M21,$C$3,$N21,$O21,$C$4)*E21</f>
        <v>-0.49799687512859236</v>
      </c>
      <c r="V21" s="81">
        <f>_xll.dnetGBlackScholesNGreeks("vega",$G21,$H21,$I21,$M21,$C$3,$N21,$O21,$C$4)*E21</f>
        <v>-14.450779409996358</v>
      </c>
    </row>
    <row r="22" spans="1:22" ht="13.5">
      <c r="A22" s="95"/>
      <c r="B22" s="89" t="s">
        <v>202</v>
      </c>
      <c r="C22" s="90" t="s">
        <v>187</v>
      </c>
      <c r="D22" s="90" t="s">
        <v>20</v>
      </c>
      <c r="E22" s="90"/>
      <c r="F22" s="90" t="str">
        <f>F21</f>
        <v>l1805</v>
      </c>
      <c r="G22" s="90"/>
      <c r="H22" s="91">
        <f>H21</f>
        <v>10015</v>
      </c>
      <c r="I22" s="90" t="str">
        <f>I20 &amp; "|" &amp; I21</f>
        <v>9500|10040</v>
      </c>
      <c r="J22" s="92">
        <f t="shared" ref="J22:K22" ca="1" si="5">J21</f>
        <v>43111</v>
      </c>
      <c r="K22" s="92">
        <f t="shared" ca="1" si="5"/>
        <v>43159</v>
      </c>
      <c r="L22" s="90">
        <v>48</v>
      </c>
      <c r="M22" s="93">
        <f>M21</f>
        <v>0.13150684931506848</v>
      </c>
      <c r="N22" s="93"/>
      <c r="O22" s="90"/>
      <c r="P22" s="89">
        <f>P21+P20</f>
        <v>-177.10891212344222</v>
      </c>
      <c r="Q22" s="90">
        <v>0</v>
      </c>
      <c r="R22" s="89">
        <f>Q22/10000*M22*H22</f>
        <v>0</v>
      </c>
      <c r="S22" s="89">
        <f>IF(P22&lt;=0,ABS(P22)+R22,P22-R22)</f>
        <v>177.10891212344222</v>
      </c>
      <c r="T22" s="94">
        <f>S22/H22</f>
        <v>1.7684364665346203E-2</v>
      </c>
      <c r="U22" s="94">
        <f>U21+U20</f>
        <v>-0.7091080573218278</v>
      </c>
      <c r="V22" s="94">
        <f>V21+V20</f>
        <v>-3.9696563747074833</v>
      </c>
    </row>
    <row r="23" spans="1:22" ht="13.5">
      <c r="A23" s="95"/>
      <c r="B23" s="81"/>
      <c r="C23" s="82"/>
      <c r="D23" s="82"/>
      <c r="E23" s="82"/>
      <c r="F23" s="82"/>
      <c r="G23" s="82"/>
      <c r="H23" s="83"/>
      <c r="I23" s="82"/>
      <c r="J23" s="84"/>
      <c r="K23" s="84"/>
      <c r="L23" s="82"/>
      <c r="M23" s="85"/>
      <c r="N23" s="85"/>
      <c r="O23" s="86"/>
      <c r="P23" s="81"/>
      <c r="Q23" s="87"/>
      <c r="R23" s="81"/>
      <c r="S23" s="81"/>
      <c r="T23" s="88"/>
      <c r="U23" s="81"/>
      <c r="V23" s="81"/>
    </row>
    <row r="24" spans="1:22" ht="13.5">
      <c r="A24" s="95"/>
      <c r="B24" s="81"/>
      <c r="C24" s="82"/>
      <c r="D24" s="82"/>
      <c r="E24" s="82"/>
      <c r="F24" s="82"/>
      <c r="G24" s="82"/>
      <c r="H24" s="83"/>
      <c r="I24" s="82"/>
      <c r="J24" s="84"/>
      <c r="K24" s="84"/>
      <c r="L24" s="82"/>
      <c r="M24" s="85"/>
      <c r="N24" s="85"/>
      <c r="O24" s="86"/>
      <c r="P24" s="81"/>
      <c r="Q24" s="87"/>
      <c r="R24" s="81"/>
      <c r="S24" s="81"/>
      <c r="T24" s="88"/>
      <c r="U24" s="81"/>
      <c r="V24" s="81"/>
    </row>
    <row r="25" spans="1:22" ht="13.5">
      <c r="A25" s="95"/>
      <c r="B25" s="89"/>
      <c r="C25" s="90"/>
      <c r="D25" s="90"/>
      <c r="E25" s="90"/>
      <c r="F25" s="90"/>
      <c r="G25" s="90"/>
      <c r="H25" s="91"/>
      <c r="I25" s="90"/>
      <c r="J25" s="92"/>
      <c r="K25" s="92"/>
      <c r="L25" s="90"/>
      <c r="M25" s="93"/>
      <c r="N25" s="93"/>
      <c r="O25" s="90"/>
      <c r="P25" s="89"/>
      <c r="Q25" s="90"/>
      <c r="R25" s="89"/>
      <c r="S25" s="89"/>
      <c r="T25" s="94"/>
      <c r="U25" s="94"/>
      <c r="V25" s="94"/>
    </row>
    <row r="26" spans="1:22" ht="13.5">
      <c r="A26" s="95"/>
      <c r="B26" s="81"/>
      <c r="C26" s="82"/>
      <c r="D26" s="82"/>
      <c r="E26" s="82"/>
      <c r="F26" s="82"/>
      <c r="G26" s="82"/>
      <c r="H26" s="83"/>
      <c r="I26" s="82"/>
      <c r="J26" s="84"/>
      <c r="K26" s="84"/>
      <c r="L26" s="82"/>
      <c r="M26" s="85"/>
      <c r="N26" s="85"/>
      <c r="O26" s="86"/>
      <c r="P26" s="81"/>
      <c r="Q26" s="87"/>
      <c r="R26" s="81"/>
      <c r="S26" s="81"/>
      <c r="T26" s="88"/>
      <c r="U26" s="81"/>
      <c r="V26" s="81"/>
    </row>
    <row r="27" spans="1:22" ht="13.5">
      <c r="A27" s="95"/>
      <c r="B27" s="81"/>
      <c r="C27" s="82"/>
      <c r="D27" s="82"/>
      <c r="E27" s="82"/>
      <c r="F27" s="82"/>
      <c r="G27" s="82"/>
      <c r="H27" s="83"/>
      <c r="I27" s="82"/>
      <c r="J27" s="84"/>
      <c r="K27" s="84"/>
      <c r="L27" s="82"/>
      <c r="M27" s="85"/>
      <c r="N27" s="85"/>
      <c r="O27" s="86"/>
      <c r="P27" s="81"/>
      <c r="Q27" s="87"/>
      <c r="R27" s="81"/>
      <c r="S27" s="81"/>
      <c r="T27" s="88"/>
      <c r="U27" s="81"/>
      <c r="V27" s="81"/>
    </row>
    <row r="28" spans="1:22" ht="13.5">
      <c r="A28" s="95"/>
      <c r="B28" s="89"/>
      <c r="C28" s="90"/>
      <c r="D28" s="90"/>
      <c r="E28" s="90"/>
      <c r="F28" s="90"/>
      <c r="G28" s="90"/>
      <c r="H28" s="91"/>
      <c r="I28" s="90"/>
      <c r="J28" s="92"/>
      <c r="K28" s="92"/>
      <c r="L28" s="90"/>
      <c r="M28" s="93"/>
      <c r="N28" s="93"/>
      <c r="O28" s="90"/>
      <c r="P28" s="89"/>
      <c r="Q28" s="90"/>
      <c r="R28" s="89"/>
      <c r="S28" s="89"/>
      <c r="T28" s="94"/>
      <c r="U28" s="94"/>
      <c r="V28" s="94"/>
    </row>
    <row r="29" spans="1:22">
      <c r="B29" s="45"/>
      <c r="C29" s="40"/>
      <c r="D29" s="40"/>
      <c r="E29" s="40"/>
      <c r="F29" s="40"/>
      <c r="G29" s="40"/>
      <c r="H29" s="41"/>
      <c r="I29" s="40"/>
      <c r="J29" s="42"/>
      <c r="K29" s="42"/>
      <c r="L29" s="40"/>
      <c r="M29" s="43"/>
      <c r="N29" s="43"/>
      <c r="O29" s="44"/>
      <c r="P29" s="45"/>
      <c r="Q29" s="46"/>
      <c r="R29" s="45"/>
      <c r="S29" s="45"/>
      <c r="T29" s="47"/>
      <c r="U29" s="45"/>
      <c r="V29" s="45"/>
    </row>
    <row r="30" spans="1:22">
      <c r="B30" s="45"/>
      <c r="C30" s="40"/>
      <c r="D30" s="40"/>
      <c r="E30" s="40"/>
      <c r="F30" s="40"/>
      <c r="G30" s="40"/>
      <c r="H30" s="41"/>
      <c r="I30" s="40"/>
      <c r="J30" s="42"/>
      <c r="K30" s="42"/>
      <c r="L30" s="40"/>
      <c r="M30" s="43"/>
      <c r="N30" s="43"/>
      <c r="O30" s="44"/>
      <c r="P30" s="45"/>
      <c r="Q30" s="46"/>
      <c r="R30" s="45"/>
      <c r="S30" s="45"/>
      <c r="T30" s="47"/>
      <c r="U30" s="45"/>
      <c r="V30" s="45"/>
    </row>
    <row r="31" spans="1:22">
      <c r="B31" s="45"/>
      <c r="C31" s="40"/>
      <c r="D31" s="40"/>
      <c r="E31" s="40"/>
      <c r="F31" s="40"/>
      <c r="G31" s="40"/>
      <c r="H31" s="41"/>
      <c r="I31" s="40"/>
      <c r="J31" s="42"/>
      <c r="K31" s="42"/>
      <c r="L31" s="40"/>
      <c r="M31" s="43"/>
      <c r="N31" s="43"/>
      <c r="O31" s="44"/>
      <c r="P31" s="45"/>
      <c r="Q31" s="46"/>
      <c r="R31" s="45"/>
      <c r="S31" s="45"/>
      <c r="T31" s="47"/>
      <c r="U31" s="45"/>
      <c r="V31" s="45"/>
    </row>
    <row r="32" spans="1:22">
      <c r="B32" s="45"/>
      <c r="C32" s="40"/>
      <c r="D32" s="40"/>
      <c r="E32" s="40"/>
      <c r="F32" s="40"/>
      <c r="G32" s="40"/>
      <c r="H32" s="41"/>
      <c r="I32" s="40"/>
      <c r="J32" s="42"/>
      <c r="K32" s="42"/>
      <c r="L32" s="40"/>
      <c r="M32" s="43"/>
      <c r="N32" s="43"/>
      <c r="O32" s="44"/>
      <c r="P32" s="45"/>
      <c r="Q32" s="46"/>
      <c r="R32" s="45"/>
      <c r="S32" s="45"/>
      <c r="T32" s="47"/>
      <c r="U32" s="45"/>
      <c r="V32" s="45"/>
    </row>
    <row r="33" spans="2:22">
      <c r="B33" s="45"/>
      <c r="C33" s="40"/>
      <c r="D33" s="40"/>
      <c r="E33" s="40"/>
      <c r="F33" s="40"/>
      <c r="G33" s="40"/>
      <c r="H33" s="41"/>
      <c r="I33" s="40"/>
      <c r="J33" s="42"/>
      <c r="K33" s="42"/>
      <c r="L33" s="40"/>
      <c r="M33" s="43"/>
      <c r="N33" s="43"/>
      <c r="O33" s="44"/>
      <c r="P33" s="45"/>
      <c r="Q33" s="46"/>
      <c r="R33" s="45"/>
      <c r="S33" s="45"/>
      <c r="T33" s="47"/>
      <c r="U33" s="45"/>
      <c r="V33" s="45"/>
    </row>
    <row r="34" spans="2:22">
      <c r="B34" s="45"/>
      <c r="C34" s="40"/>
      <c r="D34" s="40"/>
      <c r="E34" s="40"/>
      <c r="F34" s="40"/>
      <c r="G34" s="40"/>
      <c r="H34" s="41"/>
      <c r="I34" s="40"/>
      <c r="J34" s="42"/>
      <c r="K34" s="42"/>
      <c r="L34" s="40"/>
      <c r="M34" s="43"/>
      <c r="N34" s="43"/>
      <c r="O34" s="44"/>
      <c r="P34" s="45"/>
      <c r="Q34" s="46"/>
      <c r="R34" s="45"/>
      <c r="S34" s="45"/>
      <c r="T34" s="47"/>
      <c r="U34" s="45"/>
      <c r="V34" s="45"/>
    </row>
    <row r="35" spans="2:22">
      <c r="B35" s="45"/>
      <c r="C35" s="40"/>
      <c r="D35" s="40"/>
      <c r="E35" s="40"/>
      <c r="F35" s="40"/>
      <c r="G35" s="40"/>
      <c r="H35" s="41"/>
      <c r="I35" s="40"/>
      <c r="J35" s="42"/>
      <c r="K35" s="42"/>
      <c r="L35" s="40"/>
      <c r="M35" s="43"/>
      <c r="N35" s="43"/>
      <c r="O35" s="44"/>
      <c r="P35" s="45"/>
      <c r="Q35" s="46"/>
      <c r="R35" s="45"/>
      <c r="S35" s="45"/>
      <c r="T35" s="47"/>
      <c r="U35" s="45"/>
      <c r="V35" s="45"/>
    </row>
    <row r="36" spans="2:22">
      <c r="B36" s="45"/>
      <c r="C36" s="40"/>
      <c r="D36" s="40"/>
      <c r="E36" s="40"/>
      <c r="F36" s="40"/>
      <c r="G36" s="40"/>
      <c r="H36" s="41"/>
      <c r="I36" s="40"/>
      <c r="J36" s="42"/>
      <c r="K36" s="42"/>
      <c r="L36" s="40"/>
      <c r="M36" s="43"/>
      <c r="N36" s="43"/>
      <c r="O36" s="44"/>
      <c r="P36" s="45"/>
      <c r="Q36" s="46"/>
      <c r="R36" s="45"/>
      <c r="S36" s="45"/>
      <c r="T36" s="47"/>
      <c r="U36" s="45"/>
      <c r="V36" s="45"/>
    </row>
    <row r="37" spans="2:22">
      <c r="B37" s="45"/>
      <c r="C37" s="40"/>
      <c r="D37" s="40"/>
      <c r="E37" s="40"/>
      <c r="F37" s="40"/>
      <c r="G37" s="40"/>
      <c r="H37" s="41"/>
      <c r="I37" s="40"/>
      <c r="J37" s="42"/>
      <c r="K37" s="42"/>
      <c r="L37" s="40"/>
      <c r="M37" s="43"/>
      <c r="N37" s="43"/>
      <c r="O37" s="44"/>
      <c r="P37" s="45"/>
      <c r="Q37" s="46"/>
      <c r="R37" s="45"/>
      <c r="S37" s="45"/>
      <c r="T37" s="47"/>
      <c r="U37" s="45"/>
      <c r="V37" s="45"/>
    </row>
    <row r="38" spans="2:22">
      <c r="B38" s="45"/>
      <c r="C38" s="40"/>
      <c r="D38" s="40"/>
      <c r="E38" s="40"/>
      <c r="F38" s="40"/>
      <c r="G38" s="40"/>
      <c r="H38" s="41"/>
      <c r="I38" s="40"/>
      <c r="J38" s="42"/>
      <c r="K38" s="42"/>
      <c r="L38" s="40"/>
      <c r="M38" s="43"/>
      <c r="N38" s="43"/>
      <c r="O38" s="44"/>
      <c r="P38" s="45"/>
      <c r="Q38" s="46"/>
      <c r="R38" s="45"/>
      <c r="S38" s="45"/>
      <c r="T38" s="47"/>
      <c r="U38" s="45"/>
      <c r="V38" s="45"/>
    </row>
    <row r="39" spans="2:22">
      <c r="B39" s="45"/>
      <c r="C39" s="40"/>
      <c r="D39" s="40"/>
      <c r="E39" s="40"/>
      <c r="F39" s="40"/>
      <c r="G39" s="40"/>
      <c r="H39" s="41"/>
      <c r="I39" s="40"/>
      <c r="J39" s="42"/>
      <c r="K39" s="42"/>
      <c r="L39" s="40"/>
      <c r="M39" s="43"/>
      <c r="N39" s="43"/>
      <c r="O39" s="44"/>
      <c r="P39" s="45"/>
      <c r="Q39" s="46"/>
      <c r="R39" s="45"/>
      <c r="S39" s="45"/>
      <c r="T39" s="47"/>
      <c r="U39" s="45"/>
      <c r="V39" s="45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O9" sqref="O9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>
      <c r="B1" s="142" t="s">
        <v>38</v>
      </c>
      <c r="C1" s="142"/>
    </row>
    <row r="2" spans="1:25" ht="12" thickTop="1">
      <c r="B2" s="3" t="s">
        <v>0</v>
      </c>
      <c r="C2" s="4">
        <v>43061</v>
      </c>
    </row>
    <row r="3" spans="1:25">
      <c r="B3" s="3" t="s">
        <v>1</v>
      </c>
      <c r="C3" s="3">
        <v>0.02</v>
      </c>
    </row>
    <row r="4" spans="1:25" ht="12" thickBot="1">
      <c r="B4" s="5" t="s">
        <v>18</v>
      </c>
      <c r="C4" s="5">
        <v>0.01</v>
      </c>
    </row>
    <row r="5" spans="1:25" ht="12" thickTop="1"/>
    <row r="6" spans="1:25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>
      <c r="A8" s="63"/>
      <c r="B8" s="24" t="s">
        <v>198</v>
      </c>
      <c r="C8" s="19" t="s">
        <v>187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3855</v>
      </c>
      <c r="I8" s="19">
        <v>3800</v>
      </c>
      <c r="J8" s="19">
        <v>3890</v>
      </c>
      <c r="K8" s="19">
        <f>_xll.dnetDiscreteAdjustedBarrier($H8,$J8,$R8,1/365)</f>
        <v>3925.7505698872742</v>
      </c>
      <c r="L8" s="66">
        <v>0.02</v>
      </c>
      <c r="M8" s="21">
        <f ca="1">TODAY()</f>
        <v>43111</v>
      </c>
      <c r="N8" s="21">
        <f ca="1">M8+O8</f>
        <v>43141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>
        <f>_xll.dnetStandardBarrierNGreeks("price",G8,H8,I8,K8,L8*H8,P8,$C$3,Q8,R8,$C$4)*E8</f>
        <v>-64.061733493536494</v>
      </c>
      <c r="T8" s="25">
        <v>80</v>
      </c>
      <c r="U8" s="24">
        <f>T8/10000*P8*H8</f>
        <v>2.5347945205479454</v>
      </c>
      <c r="V8" s="24">
        <f>IF(S8&lt;=0,ABS(S8)+U8,S8-U8)</f>
        <v>66.596528014084441</v>
      </c>
      <c r="W8" s="26">
        <f>V8/H8</f>
        <v>1.7275363946584809E-2</v>
      </c>
      <c r="X8" s="24">
        <f>_xll.dnetStandardBarrierNGreeks("delta",G8,H8,I8,K8,L8*H8,P8,$C$3,Q8,R8,$C$4)</f>
        <v>0.18181866945568004</v>
      </c>
      <c r="Y8" s="24">
        <f>_xll.dnetStandardBarrierNGreeks("vega",G8,H8,I8,K8,L8*H8,P8,$C$3,Q8,R8,$C$4)</f>
        <v>0.37384200326441785</v>
      </c>
    </row>
    <row r="9" spans="1:25">
      <c r="A9" s="63"/>
      <c r="B9" s="13" t="s">
        <v>199</v>
      </c>
      <c r="C9" s="10" t="s">
        <v>189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67">
        <v>5.0000000000000001E-3</v>
      </c>
      <c r="M9" s="8">
        <f ca="1">TODAY()</f>
        <v>43111</v>
      </c>
      <c r="N9" s="8">
        <f ca="1">M9+O9</f>
        <v>43291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6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67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67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J27" sqref="J27"/>
    </sheetView>
  </sheetViews>
  <sheetFormatPr defaultRowHeight="13.5"/>
  <cols>
    <col min="1" max="1" width="10.875" bestFit="1" customWidth="1"/>
  </cols>
  <sheetData>
    <row r="1" spans="1:6" ht="15.75" thickBot="1">
      <c r="A1" s="96">
        <v>43087</v>
      </c>
      <c r="B1" s="97"/>
      <c r="C1" s="98" t="s">
        <v>49</v>
      </c>
      <c r="D1" s="97"/>
      <c r="E1" s="98" t="s">
        <v>50</v>
      </c>
      <c r="F1" s="99"/>
    </row>
    <row r="2" spans="1:6" ht="15.75" thickBot="1">
      <c r="A2" s="100" t="s">
        <v>51</v>
      </c>
      <c r="B2" s="101" t="s">
        <v>52</v>
      </c>
      <c r="C2" s="102" t="s">
        <v>53</v>
      </c>
      <c r="D2" s="102" t="s">
        <v>54</v>
      </c>
      <c r="E2" s="102" t="s">
        <v>55</v>
      </c>
      <c r="F2" s="103" t="s">
        <v>56</v>
      </c>
    </row>
    <row r="3" spans="1:6" ht="15.75" thickBot="1">
      <c r="A3" s="104" t="s">
        <v>57</v>
      </c>
      <c r="B3" s="105" t="s">
        <v>58</v>
      </c>
      <c r="C3" s="106">
        <v>0.20499999999999999</v>
      </c>
      <c r="D3" s="106">
        <v>0.25</v>
      </c>
      <c r="E3" s="106">
        <v>0.21</v>
      </c>
      <c r="F3" s="109">
        <v>0.25</v>
      </c>
    </row>
    <row r="4" spans="1:6" ht="15.75" thickBot="1">
      <c r="A4" s="100" t="s">
        <v>59</v>
      </c>
      <c r="B4" s="101" t="s">
        <v>60</v>
      </c>
      <c r="C4" s="110">
        <v>0.13750000000000001</v>
      </c>
      <c r="D4" s="110">
        <v>0.1825</v>
      </c>
      <c r="E4" s="110">
        <v>0.14499999999999999</v>
      </c>
      <c r="F4" s="111">
        <v>0.185</v>
      </c>
    </row>
    <row r="5" spans="1:6" ht="15.75" thickBot="1">
      <c r="A5" s="104" t="s">
        <v>61</v>
      </c>
      <c r="B5" s="105" t="s">
        <v>62</v>
      </c>
      <c r="C5" s="107"/>
      <c r="D5" s="107"/>
      <c r="E5" s="107"/>
      <c r="F5" s="112"/>
    </row>
    <row r="6" spans="1:6" ht="15.75" thickBot="1">
      <c r="A6" s="100" t="s">
        <v>63</v>
      </c>
      <c r="B6" s="101" t="s">
        <v>64</v>
      </c>
      <c r="C6" s="113">
        <v>0.29499999999999998</v>
      </c>
      <c r="D6" s="113">
        <v>0.35499999999999998</v>
      </c>
      <c r="E6" s="113">
        <v>0.26500000000000001</v>
      </c>
      <c r="F6" s="114">
        <v>0.315</v>
      </c>
    </row>
    <row r="7" spans="1:6" ht="15.75" thickBot="1">
      <c r="A7" s="104" t="s">
        <v>65</v>
      </c>
      <c r="B7" s="105" t="s">
        <v>66</v>
      </c>
      <c r="C7" s="106">
        <v>0.15</v>
      </c>
      <c r="D7" s="106">
        <v>0.19</v>
      </c>
      <c r="E7" s="106">
        <v>0.155</v>
      </c>
      <c r="F7" s="109">
        <v>0.19</v>
      </c>
    </row>
    <row r="8" spans="1:6" ht="15.75" thickBot="1">
      <c r="A8" s="100" t="s">
        <v>67</v>
      </c>
      <c r="B8" s="101" t="s">
        <v>68</v>
      </c>
      <c r="C8" s="113">
        <v>0.32</v>
      </c>
      <c r="D8" s="113">
        <v>0.44</v>
      </c>
      <c r="E8" s="113">
        <v>0.32</v>
      </c>
      <c r="F8" s="114">
        <v>0.42</v>
      </c>
    </row>
    <row r="9" spans="1:6" ht="15.75" thickBot="1">
      <c r="A9" s="104" t="s">
        <v>69</v>
      </c>
      <c r="B9" s="105" t="s">
        <v>70</v>
      </c>
      <c r="C9" s="106">
        <v>0.32</v>
      </c>
      <c r="D9" s="106">
        <v>0.44</v>
      </c>
      <c r="E9" s="106">
        <v>0.32</v>
      </c>
      <c r="F9" s="109">
        <v>0.42</v>
      </c>
    </row>
    <row r="10" spans="1:6" ht="15.75" thickBot="1">
      <c r="A10" s="100" t="s">
        <v>71</v>
      </c>
      <c r="B10" s="101" t="s">
        <v>72</v>
      </c>
      <c r="C10" s="113">
        <v>0.24</v>
      </c>
      <c r="D10" s="113">
        <v>0.32</v>
      </c>
      <c r="E10" s="113">
        <v>0.27</v>
      </c>
      <c r="F10" s="114">
        <v>0.34</v>
      </c>
    </row>
    <row r="11" spans="1:6" ht="15.75" thickBot="1">
      <c r="A11" s="104" t="s">
        <v>73</v>
      </c>
      <c r="B11" s="105" t="s">
        <v>74</v>
      </c>
      <c r="C11" s="106">
        <v>0.32250000000000001</v>
      </c>
      <c r="D11" s="106">
        <v>0.39750000000000002</v>
      </c>
      <c r="E11" s="106">
        <v>0.32500000000000001</v>
      </c>
      <c r="F11" s="109">
        <v>0.39500000000000002</v>
      </c>
    </row>
    <row r="12" spans="1:6" ht="15.75" thickBot="1">
      <c r="A12" s="100" t="s">
        <v>75</v>
      </c>
      <c r="B12" s="101" t="s">
        <v>76</v>
      </c>
      <c r="C12" s="113">
        <v>0.215</v>
      </c>
      <c r="D12" s="113">
        <v>0.28499999999999998</v>
      </c>
      <c r="E12" s="113">
        <v>0.23499999999999999</v>
      </c>
      <c r="F12" s="114">
        <v>0.30499999999999999</v>
      </c>
    </row>
    <row r="13" spans="1:6" ht="15.75" thickBot="1">
      <c r="A13" s="104" t="s">
        <v>77</v>
      </c>
      <c r="B13" s="105" t="s">
        <v>78</v>
      </c>
      <c r="C13" s="106">
        <v>9.2499999999999999E-2</v>
      </c>
      <c r="D13" s="106">
        <v>0.1225</v>
      </c>
      <c r="E13" s="106">
        <v>0.1</v>
      </c>
      <c r="F13" s="109">
        <v>0.13</v>
      </c>
    </row>
    <row r="14" spans="1:6" ht="15.75" thickBot="1">
      <c r="A14" s="100" t="s">
        <v>79</v>
      </c>
      <c r="B14" s="101" t="s">
        <v>80</v>
      </c>
      <c r="C14" s="110">
        <v>0.11</v>
      </c>
      <c r="D14" s="110">
        <v>0.17</v>
      </c>
      <c r="E14" s="110">
        <v>0.14499999999999999</v>
      </c>
      <c r="F14" s="111">
        <v>0.19500000000000001</v>
      </c>
    </row>
    <row r="15" spans="1:6" ht="15.75" thickBot="1">
      <c r="A15" s="104" t="s">
        <v>81</v>
      </c>
      <c r="B15" s="105" t="s">
        <v>82</v>
      </c>
      <c r="C15" s="107"/>
      <c r="D15" s="107"/>
      <c r="E15" s="107"/>
      <c r="F15" s="112"/>
    </row>
    <row r="16" spans="1:6" ht="15.75" thickBot="1">
      <c r="A16" s="100" t="s">
        <v>83</v>
      </c>
      <c r="B16" s="101" t="s">
        <v>84</v>
      </c>
      <c r="C16" s="113">
        <v>0.13</v>
      </c>
      <c r="D16" s="113">
        <v>0.19</v>
      </c>
      <c r="E16" s="113">
        <v>0.185</v>
      </c>
      <c r="F16" s="114">
        <v>0.23499999999999999</v>
      </c>
    </row>
    <row r="17" spans="1:6" ht="15.75" thickBot="1">
      <c r="A17" s="104" t="s">
        <v>85</v>
      </c>
      <c r="B17" s="105" t="s">
        <v>86</v>
      </c>
      <c r="C17" s="115">
        <v>0.14749999999999999</v>
      </c>
      <c r="D17" s="115">
        <v>0.19750000000000001</v>
      </c>
      <c r="E17" s="115">
        <v>0.16</v>
      </c>
      <c r="F17" s="116">
        <v>0.21</v>
      </c>
    </row>
    <row r="18" spans="1:6" ht="15.75" thickBot="1">
      <c r="A18" s="100" t="s">
        <v>87</v>
      </c>
      <c r="B18" s="101" t="s">
        <v>88</v>
      </c>
      <c r="C18" s="117"/>
      <c r="D18" s="117"/>
      <c r="E18" s="117"/>
      <c r="F18" s="118"/>
    </row>
    <row r="19" spans="1:6" ht="15.75" thickBot="1">
      <c r="A19" s="104" t="s">
        <v>89</v>
      </c>
      <c r="B19" s="105" t="s">
        <v>90</v>
      </c>
      <c r="C19" s="107"/>
      <c r="D19" s="107"/>
      <c r="E19" s="107"/>
      <c r="F19" s="112"/>
    </row>
    <row r="20" spans="1:6" ht="15.75" thickBot="1">
      <c r="A20" s="100" t="s">
        <v>91</v>
      </c>
      <c r="B20" s="101" t="s">
        <v>92</v>
      </c>
      <c r="C20" s="110">
        <v>0.09</v>
      </c>
      <c r="D20" s="110">
        <v>0.17</v>
      </c>
      <c r="E20" s="110">
        <v>0.11</v>
      </c>
      <c r="F20" s="111">
        <v>0.19</v>
      </c>
    </row>
    <row r="21" spans="1:6" ht="15.75" thickBot="1">
      <c r="A21" s="104" t="s">
        <v>93</v>
      </c>
      <c r="B21" s="105" t="s">
        <v>94</v>
      </c>
      <c r="C21" s="107"/>
      <c r="D21" s="107"/>
      <c r="E21" s="107"/>
      <c r="F21" s="112"/>
    </row>
    <row r="22" spans="1:6" ht="15.75" thickBot="1">
      <c r="A22" s="100" t="s">
        <v>95</v>
      </c>
      <c r="B22" s="101" t="s">
        <v>96</v>
      </c>
      <c r="C22" s="113">
        <v>0.12</v>
      </c>
      <c r="D22" s="113">
        <v>0.16</v>
      </c>
      <c r="E22" s="113">
        <v>0.13500000000000001</v>
      </c>
      <c r="F22" s="114">
        <v>0.17</v>
      </c>
    </row>
    <row r="23" spans="1:6" ht="15.75" thickBot="1">
      <c r="A23" s="104" t="s">
        <v>97</v>
      </c>
      <c r="B23" s="105" t="s">
        <v>98</v>
      </c>
      <c r="C23" s="106">
        <v>0.12</v>
      </c>
      <c r="D23" s="106">
        <v>0.16</v>
      </c>
      <c r="E23" s="106">
        <v>0.13500000000000001</v>
      </c>
      <c r="F23" s="109">
        <v>0.17499999999999999</v>
      </c>
    </row>
    <row r="24" spans="1:6" ht="15.75" thickBot="1">
      <c r="A24" s="100" t="s">
        <v>39</v>
      </c>
      <c r="B24" s="101" t="s">
        <v>99</v>
      </c>
      <c r="C24" s="113">
        <v>7.7499999999999999E-2</v>
      </c>
      <c r="D24" s="113">
        <v>0.1225</v>
      </c>
      <c r="E24" s="113">
        <v>8.5000000000000006E-2</v>
      </c>
      <c r="F24" s="114">
        <v>0.125</v>
      </c>
    </row>
    <row r="25" spans="1:6" ht="15.75" thickBot="1">
      <c r="A25" s="104" t="s">
        <v>100</v>
      </c>
      <c r="B25" s="105" t="s">
        <v>101</v>
      </c>
      <c r="C25" s="106">
        <v>0.1</v>
      </c>
      <c r="D25" s="106">
        <v>0.15</v>
      </c>
      <c r="E25" s="106">
        <v>0.105</v>
      </c>
      <c r="F25" s="109">
        <v>0.155</v>
      </c>
    </row>
    <row r="26" spans="1:6" ht="15.75" thickBot="1">
      <c r="A26" s="100" t="s">
        <v>102</v>
      </c>
      <c r="B26" s="101" t="s">
        <v>103</v>
      </c>
      <c r="C26" s="110">
        <v>0.2</v>
      </c>
      <c r="D26" s="110">
        <v>0.28000000000000003</v>
      </c>
      <c r="E26" s="110">
        <v>0.2</v>
      </c>
      <c r="F26" s="111">
        <v>0.27</v>
      </c>
    </row>
    <row r="27" spans="1:6" ht="15.75" thickBot="1">
      <c r="A27" s="104" t="s">
        <v>104</v>
      </c>
      <c r="B27" s="105" t="s">
        <v>105</v>
      </c>
      <c r="C27" s="119"/>
      <c r="D27" s="119"/>
      <c r="E27" s="119"/>
      <c r="F27" s="120"/>
    </row>
    <row r="28" spans="1:6" ht="15.75" thickBot="1">
      <c r="A28" s="100" t="s">
        <v>106</v>
      </c>
      <c r="B28" s="101" t="s">
        <v>107</v>
      </c>
      <c r="C28" s="121"/>
      <c r="D28" s="121"/>
      <c r="E28" s="121"/>
      <c r="F28" s="122"/>
    </row>
    <row r="29" spans="1:6" ht="15.75" thickBot="1">
      <c r="A29" s="104" t="s">
        <v>108</v>
      </c>
      <c r="B29" s="105" t="s">
        <v>109</v>
      </c>
      <c r="C29" s="106">
        <v>0.23250000000000001</v>
      </c>
      <c r="D29" s="106">
        <v>0.28749999999999998</v>
      </c>
      <c r="E29" s="106">
        <v>0.22</v>
      </c>
      <c r="F29" s="109">
        <v>0.27</v>
      </c>
    </row>
    <row r="30" spans="1:6" ht="15.75" thickBot="1">
      <c r="A30" s="100" t="s">
        <v>110</v>
      </c>
      <c r="B30" s="101" t="s">
        <v>111</v>
      </c>
      <c r="C30" s="110">
        <v>0.19</v>
      </c>
      <c r="D30" s="110">
        <v>0.23</v>
      </c>
      <c r="E30" s="110">
        <v>0.2</v>
      </c>
      <c r="F30" s="111">
        <v>0.24</v>
      </c>
    </row>
    <row r="31" spans="1:6" ht="15.75" thickBot="1">
      <c r="A31" s="104" t="s">
        <v>112</v>
      </c>
      <c r="B31" s="105" t="s">
        <v>113</v>
      </c>
      <c r="C31" s="107"/>
      <c r="D31" s="107"/>
      <c r="E31" s="107"/>
      <c r="F31" s="112"/>
    </row>
    <row r="32" spans="1:6" ht="15.75" thickBot="1">
      <c r="A32" s="100" t="s">
        <v>114</v>
      </c>
      <c r="B32" s="101" t="s">
        <v>115</v>
      </c>
      <c r="C32" s="113">
        <v>0.3</v>
      </c>
      <c r="D32" s="113">
        <v>0.4</v>
      </c>
      <c r="E32" s="113">
        <v>0.30499999999999999</v>
      </c>
      <c r="F32" s="114">
        <v>0.39500000000000002</v>
      </c>
    </row>
    <row r="33" spans="1:6" ht="15.75" thickBot="1">
      <c r="A33" s="104" t="s">
        <v>116</v>
      </c>
      <c r="B33" s="105" t="s">
        <v>117</v>
      </c>
      <c r="C33" s="106">
        <v>0.1225</v>
      </c>
      <c r="D33" s="106">
        <v>0.16250000000000001</v>
      </c>
      <c r="E33" s="106">
        <v>0.13</v>
      </c>
      <c r="F33" s="109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/>
  <cols>
    <col min="1" max="1" width="9" style="1"/>
  </cols>
  <sheetData>
    <row r="1" spans="1:16">
      <c r="A1" s="16" t="s">
        <v>36</v>
      </c>
      <c r="B1" s="2" t="s">
        <v>19</v>
      </c>
      <c r="C1" s="2" t="s">
        <v>24</v>
      </c>
      <c r="K1" s="48" t="s">
        <v>155</v>
      </c>
      <c r="L1" s="48" t="s">
        <v>152</v>
      </c>
      <c r="M1" s="48"/>
      <c r="N1" s="48"/>
      <c r="O1" s="48"/>
      <c r="P1" s="48"/>
    </row>
    <row r="2" spans="1:16">
      <c r="A2" s="16" t="s">
        <v>3</v>
      </c>
      <c r="B2" s="2" t="s">
        <v>21</v>
      </c>
      <c r="C2" s="2" t="s">
        <v>25</v>
      </c>
      <c r="K2" s="48" t="s">
        <v>156</v>
      </c>
      <c r="L2" s="48" t="s">
        <v>157</v>
      </c>
      <c r="M2" s="48"/>
      <c r="N2" s="48"/>
      <c r="O2" s="48"/>
      <c r="P2" s="48"/>
    </row>
    <row r="3" spans="1:16">
      <c r="A3" s="2" t="s">
        <v>5</v>
      </c>
      <c r="C3" s="2" t="s">
        <v>153</v>
      </c>
    </row>
    <row r="4" spans="1:16">
      <c r="A4" s="2" t="s">
        <v>4</v>
      </c>
      <c r="C4" s="2" t="s">
        <v>154</v>
      </c>
    </row>
    <row r="5" spans="1:16">
      <c r="A5" s="2" t="s">
        <v>6</v>
      </c>
    </row>
    <row r="6" spans="1:16">
      <c r="A6" s="2" t="s">
        <v>35</v>
      </c>
    </row>
    <row r="7" spans="1:16">
      <c r="A7" s="2" t="s">
        <v>42</v>
      </c>
    </row>
    <row r="8" spans="1:16">
      <c r="A8" s="2" t="s">
        <v>43</v>
      </c>
    </row>
    <row r="9" spans="1:16">
      <c r="A9" s="2" t="s">
        <v>188</v>
      </c>
    </row>
    <row r="10" spans="1:16">
      <c r="A10" s="2" t="s">
        <v>196</v>
      </c>
    </row>
    <row r="11" spans="1:16">
      <c r="A11" s="2" t="s">
        <v>203</v>
      </c>
    </row>
    <row r="12" spans="1:16">
      <c r="A12" s="2" t="s">
        <v>204</v>
      </c>
    </row>
    <row r="13" spans="1:16">
      <c r="A13" s="2" t="s">
        <v>205</v>
      </c>
    </row>
    <row r="14" spans="1:16">
      <c r="A14" s="2"/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RowHeight="11.2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>
      <c r="B1" s="146" t="s">
        <v>37</v>
      </c>
      <c r="C1" s="146"/>
    </row>
    <row r="2" spans="1:21" ht="12" thickTop="1">
      <c r="B2" s="3" t="s">
        <v>0</v>
      </c>
      <c r="C2" s="4">
        <v>43061</v>
      </c>
    </row>
    <row r="3" spans="1:21">
      <c r="B3" s="3" t="s">
        <v>1</v>
      </c>
      <c r="C3" s="3">
        <v>0.02</v>
      </c>
    </row>
    <row r="4" spans="1:21" ht="12" thickBot="1">
      <c r="B4" s="5" t="s">
        <v>18</v>
      </c>
      <c r="C4" s="5">
        <v>0.01</v>
      </c>
    </row>
    <row r="5" spans="1:21" ht="12" thickTop="1"/>
    <row r="6" spans="1:21" ht="12" thickBot="1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>
      <c r="A8" s="27"/>
      <c r="B8" s="24" t="s">
        <v>198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3855</v>
      </c>
      <c r="I8" s="19">
        <v>3800</v>
      </c>
      <c r="J8" s="21">
        <f ca="1">TODAY()</f>
        <v>43111</v>
      </c>
      <c r="K8" s="21">
        <f ca="1">J8+L8</f>
        <v>43141</v>
      </c>
      <c r="L8" s="19">
        <v>30</v>
      </c>
      <c r="M8" s="22">
        <f>L8/365</f>
        <v>8.2191780821917804E-2</v>
      </c>
      <c r="N8" s="23">
        <v>0.3</v>
      </c>
      <c r="O8" s="24">
        <f>_xll.dnetGBlackScholesNGreeks("price",$G8,$H8,$I8,$M8,$C$3,$C$4,$N8)</f>
        <v>162.20327675160661</v>
      </c>
      <c r="P8" s="25">
        <v>80</v>
      </c>
      <c r="Q8" s="24">
        <f>P8/10000*M8*H8*(-E8)</f>
        <v>2.5347945205479454</v>
      </c>
      <c r="R8" s="24">
        <f>O8+Q8</f>
        <v>164.73807127215454</v>
      </c>
      <c r="S8" s="26">
        <f>R8/H8</f>
        <v>4.2733611224942812E-2</v>
      </c>
      <c r="T8" s="24">
        <f>_xll.dnetGBlackScholesNGreeks("delta",$G8,$H8,$I8,$M8,$C$3,$C$4,$N8,$C$4)</f>
        <v>0.5864412978553446</v>
      </c>
      <c r="U8" s="24">
        <f>_xll.dnetGBlackScholesNGreeks("vega",$G8,$H8,$I8,$M8,$C$3,$C$4,$N8)</f>
        <v>4.3003984219285485</v>
      </c>
    </row>
    <row r="9" spans="1:21">
      <c r="A9" s="27"/>
      <c r="B9" s="13" t="s">
        <v>199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43111</v>
      </c>
      <c r="K9" s="8">
        <f ca="1">J9+L9</f>
        <v>43141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43111</v>
      </c>
      <c r="K10" s="8">
        <f ca="1">J10+L10</f>
        <v>43141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offer_van combo</vt:lpstr>
      <vt:lpstr>recap</vt:lpstr>
      <vt:lpstr>offer_van_sf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2018-01-11T02:13:28Z</dcterms:modified>
</cp:coreProperties>
</file>