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minimized="1" xWindow="240" yWindow="105" windowWidth="14805" windowHeight="8010" tabRatio="602" activeTab="2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ref_vol_table" sheetId="4" r:id="rId6"/>
    <sheet name="pricer_sf" sheetId="8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R32" i="1" l="1"/>
  <c r="I32" i="1"/>
  <c r="E32" i="1"/>
  <c r="F32" i="1" s="1"/>
  <c r="P32" i="1"/>
  <c r="L32" i="1" l="1"/>
  <c r="V32" i="1"/>
  <c r="U32" i="1"/>
  <c r="X32" i="1" l="1"/>
  <c r="O32" i="1"/>
  <c r="T32" i="1" s="1"/>
  <c r="I30" i="1" l="1"/>
  <c r="R30" i="1"/>
  <c r="E30" i="1"/>
  <c r="F30" i="1" s="1"/>
  <c r="I28" i="1"/>
  <c r="N28" i="1" s="1"/>
  <c r="I27" i="1"/>
  <c r="N27" i="1" s="1"/>
  <c r="R28" i="1"/>
  <c r="E28" i="1"/>
  <c r="F28" i="1" s="1"/>
  <c r="R27" i="1"/>
  <c r="E27" i="1"/>
  <c r="F27" i="1" s="1"/>
  <c r="P30" i="1"/>
  <c r="V28" i="1"/>
  <c r="L27" i="1"/>
  <c r="G30" i="1" l="1"/>
  <c r="N30" i="1"/>
  <c r="O27" i="1"/>
  <c r="T27" i="1" s="1"/>
  <c r="N40" i="2"/>
  <c r="L30" i="1"/>
  <c r="V30" i="1"/>
  <c r="U30" i="1"/>
  <c r="U27" i="1"/>
  <c r="V27" i="1"/>
  <c r="L28" i="1"/>
  <c r="U28" i="1"/>
  <c r="O30" i="1" l="1"/>
  <c r="T30" i="1" s="1"/>
  <c r="X30" i="1"/>
  <c r="X28" i="1"/>
  <c r="O28" i="1"/>
  <c r="X27" i="1"/>
  <c r="D13" i="9"/>
  <c r="R12" i="9"/>
  <c r="J12" i="9"/>
  <c r="H12" i="9"/>
  <c r="H13" i="9" s="1"/>
  <c r="R11" i="9"/>
  <c r="I11" i="9"/>
  <c r="E11" i="9"/>
  <c r="E12" i="9" s="1"/>
  <c r="E13" i="9" s="1"/>
  <c r="P11" i="9"/>
  <c r="T28" i="1" l="1"/>
  <c r="N36" i="1"/>
  <c r="G11" i="9"/>
  <c r="P12" i="9"/>
  <c r="I12" i="9"/>
  <c r="I13" i="9" s="1"/>
  <c r="F11" i="9"/>
  <c r="F12" i="9" s="1"/>
  <c r="F13" i="9" s="1"/>
  <c r="R26" i="1"/>
  <c r="I26" i="1"/>
  <c r="E26" i="1"/>
  <c r="F26" i="1" s="1"/>
  <c r="R25" i="1"/>
  <c r="I25" i="1"/>
  <c r="E25" i="1"/>
  <c r="F25" i="1" s="1"/>
  <c r="R24" i="1"/>
  <c r="I24" i="1"/>
  <c r="E24" i="1"/>
  <c r="F24" i="1" s="1"/>
  <c r="R23" i="1"/>
  <c r="I23" i="1"/>
  <c r="E23" i="1"/>
  <c r="F23" i="1" s="1"/>
  <c r="P23" i="1"/>
  <c r="P24" i="1"/>
  <c r="L23" i="1"/>
  <c r="L25" i="1"/>
  <c r="P13" i="9" l="1"/>
  <c r="N13" i="9" s="1"/>
  <c r="N24" i="1"/>
  <c r="N26" i="1"/>
  <c r="N23" i="1"/>
  <c r="O23" i="1" s="1"/>
  <c r="T23" i="1" s="1"/>
  <c r="N25" i="1"/>
  <c r="O25" i="1" s="1"/>
  <c r="V26" i="1"/>
  <c r="U23" i="1"/>
  <c r="V25" i="1"/>
  <c r="U24" i="1"/>
  <c r="L24" i="1"/>
  <c r="U26" i="1"/>
  <c r="L26" i="1"/>
  <c r="V23" i="1"/>
  <c r="V24" i="1"/>
  <c r="U25" i="1"/>
  <c r="T25" i="1" l="1"/>
  <c r="N35" i="1"/>
  <c r="O26" i="1"/>
  <c r="T26" i="1" s="1"/>
  <c r="O24" i="1"/>
  <c r="T24" i="1" s="1"/>
  <c r="X26" i="1"/>
  <c r="X25" i="1"/>
  <c r="X24" i="1"/>
  <c r="X23" i="1"/>
  <c r="R21" i="1" l="1"/>
  <c r="I21" i="1"/>
  <c r="E21" i="1"/>
  <c r="F21" i="1" s="1"/>
  <c r="R20" i="1"/>
  <c r="I20" i="1"/>
  <c r="E20" i="1"/>
  <c r="F20" i="1" s="1"/>
  <c r="R19" i="1"/>
  <c r="I19" i="1"/>
  <c r="E19" i="1"/>
  <c r="F19" i="1" s="1"/>
  <c r="R18" i="1"/>
  <c r="I18" i="1"/>
  <c r="E18" i="1"/>
  <c r="F18" i="1" s="1"/>
  <c r="I17" i="1"/>
  <c r="I16" i="1"/>
  <c r="R17" i="1"/>
  <c r="E17" i="1"/>
  <c r="F17" i="1" s="1"/>
  <c r="R16" i="1"/>
  <c r="E16" i="1"/>
  <c r="F16" i="1" s="1"/>
  <c r="P17" i="1"/>
  <c r="P21" i="1"/>
  <c r="P20" i="1"/>
  <c r="L20" i="1" s="1"/>
  <c r="P16" i="1"/>
  <c r="P18" i="1"/>
  <c r="L21" i="1"/>
  <c r="P19" i="1"/>
  <c r="L16" i="1"/>
  <c r="U19" i="1"/>
  <c r="V16" i="1"/>
  <c r="U16" i="1"/>
  <c r="X16" i="1" l="1"/>
  <c r="X19" i="1"/>
  <c r="N18" i="1"/>
  <c r="N21" i="1"/>
  <c r="O21" i="1" s="1"/>
  <c r="T21" i="1" s="1"/>
  <c r="N19" i="1"/>
  <c r="N20" i="1"/>
  <c r="O20" i="1" s="1"/>
  <c r="T20" i="1" s="1"/>
  <c r="N17" i="1"/>
  <c r="N16" i="1"/>
  <c r="O16" i="1" s="1"/>
  <c r="T16" i="1" s="1"/>
  <c r="I13" i="1"/>
  <c r="R13" i="1"/>
  <c r="E13" i="1"/>
  <c r="F13" i="1" s="1"/>
  <c r="L19" i="1"/>
  <c r="U20" i="1"/>
  <c r="V17" i="1"/>
  <c r="P13" i="1"/>
  <c r="L18" i="1"/>
  <c r="U18" i="1"/>
  <c r="V21" i="1"/>
  <c r="V19" i="1"/>
  <c r="L17" i="1"/>
  <c r="U21" i="1"/>
  <c r="V20" i="1"/>
  <c r="V18" i="1"/>
  <c r="U17" i="1"/>
  <c r="V13" i="1"/>
  <c r="O19" i="1" l="1"/>
  <c r="T19" i="1" s="1"/>
  <c r="O18" i="1"/>
  <c r="T18" i="1" s="1"/>
  <c r="O17" i="1"/>
  <c r="T17" i="1" s="1"/>
  <c r="X17" i="1"/>
  <c r="X18" i="1"/>
  <c r="X21" i="1"/>
  <c r="X20" i="1"/>
  <c r="N13" i="1"/>
  <c r="I40" i="2"/>
  <c r="U13" i="1"/>
  <c r="L13" i="1"/>
  <c r="X13" i="1" l="1"/>
  <c r="O13" i="1"/>
  <c r="T13" i="1" s="1"/>
  <c r="R11" i="1" l="1"/>
  <c r="I11" i="1"/>
  <c r="N11" i="1" s="1"/>
  <c r="E11" i="1"/>
  <c r="F11" i="1" s="1"/>
  <c r="N10" i="1"/>
  <c r="L11" i="1"/>
  <c r="O11" i="1" l="1"/>
  <c r="T11" i="1" s="1"/>
  <c r="U11" i="1"/>
  <c r="V11" i="1"/>
  <c r="X11" i="1" l="1"/>
  <c r="I9" i="1" l="1"/>
  <c r="R9" i="1"/>
  <c r="E9" i="1"/>
  <c r="F9" i="1" s="1"/>
  <c r="P9" i="1"/>
  <c r="N9" i="1" l="1"/>
  <c r="U9" i="1"/>
  <c r="L9" i="1"/>
  <c r="V9" i="1"/>
  <c r="O9" i="1" l="1"/>
  <c r="T9" i="1" s="1"/>
  <c r="X9" i="1"/>
  <c r="I26" i="2" l="1"/>
  <c r="I23" i="2"/>
  <c r="X23" i="2" l="1"/>
  <c r="S23" i="2"/>
  <c r="X26" i="2"/>
  <c r="S26" i="2"/>
  <c r="N26" i="2" l="1"/>
  <c r="N23" i="2"/>
  <c r="D23" i="2" l="1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8" i="9"/>
  <c r="L9" i="9"/>
  <c r="U8" i="9"/>
  <c r="V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T10" i="7"/>
  <c r="U9" i="7"/>
  <c r="O10" i="7"/>
  <c r="H8" i="7"/>
  <c r="O9" i="7"/>
  <c r="K9" i="8"/>
  <c r="U10" i="7"/>
  <c r="T9" i="7"/>
  <c r="H8" i="8"/>
  <c r="U8" i="8" l="1"/>
  <c r="Q9" i="7"/>
  <c r="R9" i="7" s="1"/>
  <c r="S9" i="7" s="1"/>
  <c r="Q10" i="7"/>
  <c r="R10" i="7" s="1"/>
  <c r="S10" i="7" s="1"/>
  <c r="Q8" i="7"/>
  <c r="U8" i="7"/>
  <c r="X9" i="8"/>
  <c r="T8" i="7"/>
  <c r="S9" i="8"/>
  <c r="Y9" i="8"/>
  <c r="O8" i="7"/>
  <c r="K8" i="8"/>
  <c r="V9" i="8" l="1"/>
  <c r="W9" i="8" s="1"/>
  <c r="R8" i="7"/>
  <c r="S8" i="7" s="1"/>
  <c r="Y8" i="8"/>
  <c r="S8" i="8"/>
  <c r="X8" i="8"/>
  <c r="V8" i="8" l="1"/>
  <c r="W8" i="8" s="1"/>
  <c r="R8" i="1"/>
  <c r="I8" i="1" l="1"/>
  <c r="E8" i="1"/>
  <c r="F8" i="1" s="1"/>
  <c r="N8" i="1" l="1"/>
  <c r="L8" i="1"/>
  <c r="U8" i="1"/>
  <c r="V8" i="1"/>
  <c r="O8" i="1" l="1"/>
  <c r="T8" i="1" s="1"/>
  <c r="G12" i="9" l="1"/>
  <c r="G13" i="9" s="1"/>
  <c r="V12" i="9"/>
  <c r="L11" i="9"/>
  <c r="L12" i="9"/>
  <c r="U12" i="9"/>
  <c r="V11" i="9"/>
  <c r="U11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<sst xmlns="http://schemas.openxmlformats.org/spreadsheetml/2006/main" count="656" uniqueCount="219">
  <si>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</si>
  <si>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</si>
  <si>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</si>
  <si>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</si>
  <si>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</si>
  <si>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</si>
  <si>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</si>
  <si>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</si>
  <si>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</si>
  <si>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</si>
  <si>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</si>
  <si>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</si>
  <si>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</si>
  <si>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</si>
  <si>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</si>
  <si>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</si>
  <si>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</si>
  <si>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</si>
  <si>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</si>
  <si>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</si>
  <si>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</si>
  <si>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</si>
  <si>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</si>
  <si>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</si>
  <si>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</si>
  <si>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</si>
  <si>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</si>
  <si>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</si>
  <si>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</si>
  <si>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</si>
  <si>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</si>
  <si>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</si>
  <si>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</si>
  <si>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</si>
  <si>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</si>
  <si>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</si>
  <si>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</si>
  <si>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</si>
  <si>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</si>
  <si>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</si>
  <si>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</si>
  <si>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</si>
  <si>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</si>
  <si>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</si>
  <si>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</si>
  <si>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</si>
  <si>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</si>
  <si>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</si>
  <si>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</si>
  <si>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</si>
  <si>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</si>
  <si>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</si>
  <si>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</si>
  <si>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</si>
  <si>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</si>
  <si>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</si>
  <si>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</si>
  <si>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</si>
  <si>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</si>
  <si>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</si>
  <si>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</si>
  <si>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</si>
  <si>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</si>
  <si>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</si>
  <si>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</si>
  <si>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</si>
  <si>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</si>
  <si>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</si>
  <si>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</si>
  <si>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</si>
  <si>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</si>
  <si>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</si>
  <si>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</si>
  <si>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</si>
  <si>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</si>
  <si>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</si>
  <si>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</si>
  <si>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</si>
  <si>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</si>
  <si>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</si>
  <si>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</si>
  <si>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</si>
  <si>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</si>
  <si>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</si>
  <si>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</si>
  <si>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</si>
  <si>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</si>
  <si>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</si>
  <si>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</si>
  <si>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</si>
  <si>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</si>
  <si>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</si>
  <si>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</si>
  <si>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</si>
  <si>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</si>
  <si>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</si>
  <si>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</si>
  <si>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</si>
  <si>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</si>
  <si>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</si>
  <si>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</si>
  <si>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</si>
  <si>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</si>
  <si>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</si>
  <si>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</si>
  <si>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</si>
  <si>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</si>
  <si>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</si>
  <si>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</si>
  <si>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</si>
  <si>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</si>
  <si>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</si>
  <si>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</si>
  <si>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</si>
  <si>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</si>
  <si>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</si>
  <si>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</si>
  <si>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</si>
  <si>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</si>
  <si>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</si>
  <si>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</si>
  <si>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</si>
  <si>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</si>
  <si>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</si>
  <si>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</si>
  <si>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</si>
  <si>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</si>
  <si>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</si>
  <si>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</si>
  <si>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</si>
  <si>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</si>
  <si>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</si>
  <si>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</si>
  <si>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</si>
  <si>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</si>
  <si>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</si>
  <si>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</si>
  <si>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</si>
  <si>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</si>
  <si>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</si>
  <si>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</si>
  <si>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</si>
  <si>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</si>
  <si>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</si>
  <si>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</si>
  <si>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</si>
  <si>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</si>
  <si>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</si>
  <si>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</si>
  <si>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</si>
  <si>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</si>
  <si>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</si>
  <si>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</si>
  <si>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</si>
  <si>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</si>
  <si>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</si>
  <si>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</si>
  <si>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</si>
  <si>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</si>
  <si>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</si>
  <si>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</si>
  <si>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</si>
  <si>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</si>
  <si>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</si>
  <si>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</si>
  <si>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</si>
  <si>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</si>
  <si>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</si>
  <si>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</si>
  <si>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</si>
  <si>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</si>
  <si>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</si>
  <si>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</si>
  <si>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</si>
  <si>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</si>
  <si>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</si>
  <si>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</si>
  <si>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</si>
  <si>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</si>
  <si>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</si>
  <si>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</si>
  <si>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</si>
  <si>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</si>
  <si>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</si>
  <si>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</si>
  <si>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</si>
  <si>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</si>
  <si>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</si>
  <si>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</si>
  <si>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</si>
  <si>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</si>
  <si>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</si>
  <si>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</si>
  <si>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</si>
  <si>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</si>
  <si>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</si>
  <si>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</si>
  <si>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</si>
  <si>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</si>
  <si>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</si>
  <si>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</si>
  <si>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last_trd_date</t>
    <phoneticPr fontId="7" type="noConversion"/>
  </si>
  <si>
    <t>i1809</t>
    <phoneticPr fontId="1" type="noConversion"/>
  </si>
  <si>
    <t>al1808</t>
    <phoneticPr fontId="1" type="noConversion"/>
  </si>
  <si>
    <t>成交回报 - rr1</t>
    <phoneticPr fontId="1" type="noConversion"/>
  </si>
  <si>
    <t>rb1810</t>
    <phoneticPr fontId="1" type="noConversion"/>
  </si>
  <si>
    <t>中金公司</t>
  </si>
  <si>
    <t>RMB</t>
    <phoneticPr fontId="1" type="noConversion"/>
  </si>
  <si>
    <t>成交回报(平仓交易)</t>
    <phoneticPr fontId="1" type="noConversion"/>
  </si>
  <si>
    <t>RMB</t>
  </si>
  <si>
    <t>al1809</t>
    <phoneticPr fontId="1" type="noConversion"/>
  </si>
  <si>
    <t xml:space="preserve"> </t>
    <phoneticPr fontId="1" type="noConversion"/>
  </si>
  <si>
    <t>rb1810</t>
    <phoneticPr fontId="1" type="noConversion"/>
  </si>
  <si>
    <t xml:space="preserve">   看跌期权 </t>
    <phoneticPr fontId="1" type="noConversion"/>
  </si>
  <si>
    <t>天物国际</t>
  </si>
  <si>
    <t xml:space="preserve">    看跌期权 </t>
    <phoneticPr fontId="1" type="noConversion"/>
  </si>
  <si>
    <t>ta807</t>
    <phoneticPr fontId="1" type="noConversion"/>
  </si>
  <si>
    <t>ni1809</t>
    <phoneticPr fontId="1" type="noConversion"/>
  </si>
  <si>
    <t>江铜国贸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</si>
</sst>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"/>
    <numFmt numFmtId="177" formatCode="0.0000"/>
    <numFmt numFmtId="178" formatCode="###,###,##0"/>
    <numFmt numFmtId="179" formatCode="###,###,##0.0"/>
    <numFmt numFmtId="180" formatCode="#,##0.0_ 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1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14" fontId="5" fillId="6" borderId="0" xfId="0" applyNumberFormat="1" applyFont="1" applyFill="1"/>
    <xf numFmtId="180" fontId="12" fillId="9" borderId="6" xfId="0" applyNumberFormat="1" applyFont="1" applyFill="1" applyBorder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1" fillId="10" borderId="16" xfId="0" applyFont="1" applyFill="1" applyBorder="1" applyAlignment="1">
      <alignment horizontal="lef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5" fillId="10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4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14840</v>
        <stp/>
        <stp>al1809</stp>
        <stp>LastPrice</stp>
        <tr r="P13" s="1"/>
      </tp>
      <tp>
        <v>14725</v>
        <stp/>
        <stp>al1808</stp>
        <stp>LastPrice</stp>
        <tr r="P9" s="1"/>
      </tp>
      <tp>
        <v>453.5</v>
        <stp/>
        <stp>i1809</stp>
        <stp>LastPrice</stp>
        <tr r="P11" s="9"/>
      </tp>
      <tp>
        <v>104180</v>
        <stp/>
        <stp>ni1809</stp>
        <stp>LastPrice</stp>
        <tr r="P32" s="1"/>
      </tp>
      <tp>
        <v>3452</v>
        <stp/>
        <stp>rb1810</stp>
        <stp>LastPrice</stp>
        <tr r="P19" s="1"/>
        <tr r="P18" s="1"/>
        <tr r="P16" s="1"/>
        <tr r="P20" s="1"/>
        <tr r="P21" s="1"/>
        <tr r="P17" s="1"/>
        <tr r="P24" s="1"/>
        <tr r="P23" s="1"/>
        <tr r="P30" s="1"/>
      </tp>
      <tp>
        <v>3715</v>
        <stp/>
        <stp>RB1805</stp>
        <stp>LastPrice</stp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14"/>
  <sheetViews>
    <sheetView zoomScaleNormal="100" workbookViewId="0">
      <selection activeCell="L32" sqref="L32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15" t="s">
        <v>158</v>
      </c>
      <c r="C1" s="115"/>
      <c r="D1" s="115"/>
    </row>
    <row r="2" spans="2:18" ht="12" thickTop="1" x14ac:dyDescent="0.15"/>
    <row r="3" spans="2:18" ht="13.5" x14ac:dyDescent="0.15">
      <c r="I3" s="112" t="s">
        <v>201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2" t="s">
        <v>160</v>
      </c>
      <c r="C9" s="92" t="s">
        <v>185</v>
      </c>
      <c r="D9" s="93">
        <v>43119</v>
      </c>
      <c r="E9" s="93">
        <v>43189</v>
      </c>
      <c r="F9" s="92">
        <v>3650</v>
      </c>
      <c r="G9" s="92">
        <v>70</v>
      </c>
      <c r="H9" s="92">
        <v>0.17808219178082191</v>
      </c>
      <c r="I9" s="92">
        <v>0</v>
      </c>
      <c r="J9" s="92">
        <v>0.19</v>
      </c>
      <c r="K9" s="92">
        <v>82.749480015912013</v>
      </c>
      <c r="L9" s="92"/>
      <c r="M9" s="92">
        <v>0</v>
      </c>
      <c r="N9" s="99">
        <v>82.749480015912013</v>
      </c>
      <c r="O9" s="92">
        <v>3728</v>
      </c>
      <c r="P9" s="92" t="s">
        <v>85</v>
      </c>
      <c r="Q9" s="92">
        <v>1</v>
      </c>
      <c r="R9" s="92" t="s">
        <v>151</v>
      </c>
    </row>
    <row r="10" spans="2:18" x14ac:dyDescent="0.15">
      <c r="B10" s="92" t="s">
        <v>160</v>
      </c>
      <c r="C10" s="92" t="s">
        <v>185</v>
      </c>
      <c r="D10" s="93">
        <v>43119</v>
      </c>
      <c r="E10" s="93">
        <v>43189</v>
      </c>
      <c r="F10" s="92">
        <v>3700</v>
      </c>
      <c r="G10" s="92">
        <v>70</v>
      </c>
      <c r="H10" s="92">
        <v>0.17808219178082191</v>
      </c>
      <c r="I10" s="92">
        <v>0</v>
      </c>
      <c r="J10" s="92">
        <v>0.19</v>
      </c>
      <c r="K10" s="92">
        <v>104.91801880194794</v>
      </c>
      <c r="L10" s="92"/>
      <c r="M10" s="92">
        <v>0</v>
      </c>
      <c r="N10" s="99">
        <v>104.91801880194794</v>
      </c>
      <c r="O10" s="92">
        <v>3728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185</v>
      </c>
      <c r="D11" s="93">
        <v>43119</v>
      </c>
      <c r="E11" s="93">
        <v>43189</v>
      </c>
      <c r="F11" s="92">
        <v>3750</v>
      </c>
      <c r="G11" s="92">
        <v>70</v>
      </c>
      <c r="H11" s="92">
        <v>0.17808219178082191</v>
      </c>
      <c r="I11" s="92">
        <v>0</v>
      </c>
      <c r="J11" s="92">
        <v>0.19</v>
      </c>
      <c r="K11" s="92">
        <v>130.42375876594815</v>
      </c>
      <c r="L11" s="92"/>
      <c r="M11" s="92">
        <v>0</v>
      </c>
      <c r="N11" s="99">
        <v>130.42375876594815</v>
      </c>
      <c r="O11" s="92">
        <v>3728</v>
      </c>
      <c r="P11" s="92" t="s">
        <v>85</v>
      </c>
      <c r="Q11" s="92">
        <v>1</v>
      </c>
      <c r="R11" s="92" t="s">
        <v>151</v>
      </c>
    </row>
    <row r="12" spans="2:18" x14ac:dyDescent="0.15">
      <c r="B12" s="92"/>
      <c r="C12" s="92"/>
      <c r="D12" s="93"/>
      <c r="E12" s="93"/>
      <c r="F12" s="92"/>
      <c r="G12" s="92"/>
      <c r="H12" s="92"/>
      <c r="I12" s="92"/>
      <c r="J12" s="92"/>
      <c r="K12" s="92"/>
      <c r="L12" s="92"/>
      <c r="M12" s="92"/>
      <c r="N12" s="99"/>
      <c r="O12" s="92"/>
      <c r="P12" s="92"/>
      <c r="Q12" s="92"/>
      <c r="R12" s="92"/>
    </row>
    <row r="13" spans="2:18" x14ac:dyDescent="0.15">
      <c r="B13" s="91" t="s">
        <v>2</v>
      </c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92" t="s">
        <v>160</v>
      </c>
      <c r="C14" s="92" t="s">
        <v>185</v>
      </c>
      <c r="D14" s="93">
        <v>43203</v>
      </c>
      <c r="E14" s="93">
        <v>43248</v>
      </c>
      <c r="F14" s="92">
        <v>3138</v>
      </c>
      <c r="G14" s="92">
        <v>45</v>
      </c>
      <c r="H14" s="92">
        <v>0.12328767123287671</v>
      </c>
      <c r="I14" s="92">
        <v>0</v>
      </c>
      <c r="J14" s="92">
        <v>0.27</v>
      </c>
      <c r="K14" s="92">
        <v>-27.730831337650329</v>
      </c>
      <c r="L14" s="92">
        <v>70</v>
      </c>
      <c r="M14" s="92">
        <v>2.9670410958904108</v>
      </c>
      <c r="N14" s="99">
        <v>30.697872433540741</v>
      </c>
      <c r="O14" s="92">
        <v>3438</v>
      </c>
      <c r="P14" s="92" t="s">
        <v>85</v>
      </c>
      <c r="Q14" s="92">
        <v>-1</v>
      </c>
      <c r="R14" s="92" t="s">
        <v>20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12" sqref="B12:Q14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15" t="s">
        <v>158</v>
      </c>
      <c r="C1" s="115"/>
      <c r="D1" s="115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38"/>
      <c r="L9" s="38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tabSelected="1" zoomScale="115" zoomScaleNormal="115" workbookViewId="0">
      <pane ySplit="17" topLeftCell="A21" activePane="bottomLeft" state="frozen"/>
      <selection pane="bottomLeft" activeCell="D38" sqref="D38:E38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35" t="s">
        <v>118</v>
      </c>
      <c r="C1" s="135"/>
    </row>
    <row r="2" spans="2:20" ht="11.25" thickTop="1" x14ac:dyDescent="0.15"/>
    <row r="3" spans="2:20" ht="11.25" thickBot="1" x14ac:dyDescent="0.2">
      <c r="B3" s="134" t="s">
        <v>119</v>
      </c>
      <c r="C3" s="134"/>
      <c r="D3" s="134"/>
      <c r="E3" s="134"/>
      <c r="G3" s="133" t="s">
        <v>120</v>
      </c>
      <c r="H3" s="133"/>
      <c r="I3" s="133"/>
      <c r="J3" s="133"/>
      <c r="L3" s="134" t="s">
        <v>165</v>
      </c>
      <c r="M3" s="134"/>
      <c r="N3" s="134"/>
      <c r="O3" s="134"/>
      <c r="Q3" s="133" t="s">
        <v>166</v>
      </c>
      <c r="R3" s="133"/>
      <c r="S3" s="133"/>
      <c r="T3" s="133"/>
    </row>
    <row r="4" spans="2:20" ht="12" thickTop="1" thickBot="1" x14ac:dyDescent="0.2">
      <c r="B4" s="126" t="s">
        <v>121</v>
      </c>
      <c r="C4" s="126"/>
      <c r="D4" s="126"/>
      <c r="E4" s="126"/>
      <c r="G4" s="126" t="s">
        <v>34</v>
      </c>
      <c r="H4" s="126"/>
      <c r="I4" s="126"/>
      <c r="J4" s="126"/>
      <c r="L4" s="126" t="s">
        <v>121</v>
      </c>
      <c r="M4" s="126"/>
      <c r="N4" s="126"/>
      <c r="O4" s="126"/>
      <c r="Q4" s="126" t="s">
        <v>34</v>
      </c>
      <c r="R4" s="126"/>
      <c r="S4" s="126"/>
      <c r="T4" s="126"/>
    </row>
    <row r="5" spans="2:20" ht="15" customHeight="1" thickTop="1" x14ac:dyDescent="0.15">
      <c r="B5" s="130" t="s">
        <v>122</v>
      </c>
      <c r="C5" s="130"/>
      <c r="D5" s="136"/>
      <c r="E5" s="137"/>
      <c r="G5" s="130" t="s">
        <v>123</v>
      </c>
      <c r="H5" s="130"/>
      <c r="I5" s="103"/>
      <c r="J5" s="104"/>
      <c r="L5" s="101" t="s">
        <v>122</v>
      </c>
      <c r="M5" s="102"/>
      <c r="N5" s="103"/>
      <c r="O5" s="104"/>
      <c r="Q5" s="130" t="s">
        <v>123</v>
      </c>
      <c r="R5" s="130"/>
      <c r="S5" s="103"/>
      <c r="T5" s="104"/>
    </row>
    <row r="6" spans="2:20" x14ac:dyDescent="0.15">
      <c r="B6" s="130" t="s">
        <v>124</v>
      </c>
      <c r="C6" s="130"/>
      <c r="D6" s="131" t="s">
        <v>125</v>
      </c>
      <c r="E6" s="132"/>
      <c r="G6" s="130" t="s">
        <v>126</v>
      </c>
      <c r="H6" s="130"/>
      <c r="I6" s="131"/>
      <c r="J6" s="132"/>
      <c r="L6" s="130" t="s">
        <v>124</v>
      </c>
      <c r="M6" s="130"/>
      <c r="N6" s="131" t="s">
        <v>125</v>
      </c>
      <c r="O6" s="132"/>
      <c r="Q6" s="130" t="s">
        <v>126</v>
      </c>
      <c r="R6" s="130"/>
      <c r="S6" s="131"/>
      <c r="T6" s="132"/>
    </row>
    <row r="7" spans="2:20" ht="2.25" customHeight="1" x14ac:dyDescent="0.15">
      <c r="B7" s="130" t="s">
        <v>127</v>
      </c>
      <c r="C7" s="130"/>
      <c r="D7" s="131" t="s">
        <v>125</v>
      </c>
      <c r="E7" s="132"/>
      <c r="G7" s="130" t="s">
        <v>128</v>
      </c>
      <c r="H7" s="130"/>
      <c r="I7" s="131"/>
      <c r="J7" s="132"/>
      <c r="L7" s="130" t="s">
        <v>127</v>
      </c>
      <c r="M7" s="130"/>
      <c r="N7" s="131" t="s">
        <v>125</v>
      </c>
      <c r="O7" s="132"/>
      <c r="Q7" s="130" t="s">
        <v>128</v>
      </c>
      <c r="R7" s="130"/>
      <c r="S7" s="131"/>
      <c r="T7" s="132"/>
    </row>
    <row r="8" spans="2:20" hidden="1" x14ac:dyDescent="0.15">
      <c r="B8" s="130" t="s">
        <v>129</v>
      </c>
      <c r="C8" s="130"/>
      <c r="D8" s="131">
        <f>D13*D15</f>
        <v>305000</v>
      </c>
      <c r="E8" s="132"/>
      <c r="G8" s="130" t="s">
        <v>130</v>
      </c>
      <c r="H8" s="130"/>
      <c r="I8" s="131"/>
      <c r="J8" s="132"/>
      <c r="L8" s="130" t="s">
        <v>129</v>
      </c>
      <c r="M8" s="130"/>
      <c r="N8" s="131">
        <f>N14*N16</f>
        <v>305000</v>
      </c>
      <c r="O8" s="132"/>
      <c r="Q8" s="130" t="s">
        <v>130</v>
      </c>
      <c r="R8" s="130"/>
      <c r="S8" s="131"/>
      <c r="T8" s="132"/>
    </row>
    <row r="9" spans="2:20" hidden="1" x14ac:dyDescent="0.15">
      <c r="B9" s="130" t="s">
        <v>131</v>
      </c>
      <c r="C9" s="130"/>
      <c r="D9" s="131" t="s">
        <v>132</v>
      </c>
      <c r="E9" s="132"/>
      <c r="G9" s="130" t="s">
        <v>133</v>
      </c>
      <c r="H9" s="130"/>
      <c r="I9" s="131"/>
      <c r="J9" s="132"/>
      <c r="L9" s="130" t="s">
        <v>131</v>
      </c>
      <c r="M9" s="130"/>
      <c r="N9" s="131" t="s">
        <v>132</v>
      </c>
      <c r="O9" s="132"/>
      <c r="Q9" s="130" t="s">
        <v>133</v>
      </c>
      <c r="R9" s="130"/>
      <c r="S9" s="131"/>
      <c r="T9" s="132"/>
    </row>
    <row r="10" spans="2:20" hidden="1" x14ac:dyDescent="0.15">
      <c r="B10" s="130" t="s">
        <v>134</v>
      </c>
      <c r="C10" s="130"/>
      <c r="D10" s="131">
        <v>43084</v>
      </c>
      <c r="E10" s="132"/>
      <c r="G10" s="105" t="s">
        <v>135</v>
      </c>
      <c r="H10" s="105"/>
      <c r="I10" s="131"/>
      <c r="J10" s="132"/>
      <c r="L10" s="130" t="s">
        <v>134</v>
      </c>
      <c r="M10" s="130"/>
      <c r="N10" s="131">
        <v>43084</v>
      </c>
      <c r="O10" s="132"/>
      <c r="Q10" s="105" t="s">
        <v>135</v>
      </c>
      <c r="R10" s="105"/>
      <c r="S10" s="131"/>
      <c r="T10" s="132"/>
    </row>
    <row r="11" spans="2:20" hidden="1" x14ac:dyDescent="0.15">
      <c r="B11" s="130" t="s">
        <v>136</v>
      </c>
      <c r="C11" s="130"/>
      <c r="D11" s="131">
        <v>3935</v>
      </c>
      <c r="E11" s="132"/>
      <c r="G11" s="130" t="s">
        <v>137</v>
      </c>
      <c r="H11" s="130"/>
      <c r="I11" s="131"/>
      <c r="J11" s="132"/>
      <c r="L11" s="130" t="s">
        <v>136</v>
      </c>
      <c r="M11" s="130"/>
      <c r="N11" s="131">
        <v>3935</v>
      </c>
      <c r="O11" s="132"/>
      <c r="Q11" s="130" t="s">
        <v>137</v>
      </c>
      <c r="R11" s="130"/>
      <c r="S11" s="131"/>
      <c r="T11" s="132"/>
    </row>
    <row r="12" spans="2:20" hidden="1" x14ac:dyDescent="0.15">
      <c r="B12" s="130" t="s">
        <v>138</v>
      </c>
      <c r="C12" s="130"/>
      <c r="D12" s="131">
        <v>3800</v>
      </c>
      <c r="E12" s="132"/>
      <c r="G12" s="130" t="s">
        <v>139</v>
      </c>
      <c r="H12" s="130"/>
      <c r="I12" s="131"/>
      <c r="J12" s="132"/>
      <c r="L12" s="130" t="s">
        <v>163</v>
      </c>
      <c r="M12" s="130"/>
      <c r="N12" s="131">
        <v>3800</v>
      </c>
      <c r="O12" s="132"/>
      <c r="Q12" s="130" t="s">
        <v>167</v>
      </c>
      <c r="R12" s="130"/>
      <c r="S12" s="131"/>
      <c r="T12" s="132"/>
    </row>
    <row r="13" spans="2:20" hidden="1" x14ac:dyDescent="0.15">
      <c r="B13" s="130" t="s">
        <v>140</v>
      </c>
      <c r="C13" s="130"/>
      <c r="D13" s="131">
        <v>61</v>
      </c>
      <c r="E13" s="132"/>
      <c r="G13" s="130" t="s">
        <v>141</v>
      </c>
      <c r="H13" s="130"/>
      <c r="I13" s="131"/>
      <c r="J13" s="132"/>
      <c r="L13" s="130" t="s">
        <v>164</v>
      </c>
      <c r="M13" s="130"/>
      <c r="N13" s="131">
        <v>3800</v>
      </c>
      <c r="O13" s="132"/>
      <c r="Q13" s="130" t="s">
        <v>168</v>
      </c>
      <c r="R13" s="130"/>
      <c r="S13" s="131"/>
      <c r="T13" s="132"/>
    </row>
    <row r="14" spans="2:20" hidden="1" x14ac:dyDescent="0.15">
      <c r="B14" s="130" t="s">
        <v>142</v>
      </c>
      <c r="C14" s="130"/>
      <c r="D14" s="131" t="s">
        <v>143</v>
      </c>
      <c r="E14" s="132"/>
      <c r="G14" s="130" t="s">
        <v>144</v>
      </c>
      <c r="H14" s="130"/>
      <c r="I14" s="106"/>
      <c r="J14" s="107"/>
      <c r="L14" s="130" t="s">
        <v>140</v>
      </c>
      <c r="M14" s="130"/>
      <c r="N14" s="131">
        <v>61</v>
      </c>
      <c r="O14" s="132"/>
      <c r="Q14" s="130" t="s">
        <v>141</v>
      </c>
      <c r="R14" s="130"/>
      <c r="S14" s="131"/>
      <c r="T14" s="132"/>
    </row>
    <row r="15" spans="2:20" hidden="1" x14ac:dyDescent="0.15">
      <c r="B15" s="130" t="s">
        <v>145</v>
      </c>
      <c r="C15" s="130"/>
      <c r="D15" s="131">
        <v>5000</v>
      </c>
      <c r="E15" s="132"/>
      <c r="G15" s="130" t="s">
        <v>146</v>
      </c>
      <c r="H15" s="130"/>
      <c r="I15" s="131"/>
      <c r="J15" s="132"/>
      <c r="L15" s="130" t="s">
        <v>142</v>
      </c>
      <c r="M15" s="130"/>
      <c r="N15" s="131" t="s">
        <v>143</v>
      </c>
      <c r="O15" s="132"/>
      <c r="Q15" s="130" t="s">
        <v>144</v>
      </c>
      <c r="R15" s="130"/>
      <c r="S15" s="106"/>
      <c r="T15" s="107"/>
    </row>
    <row r="16" spans="2:20" ht="11.25" hidden="1" thickBot="1" x14ac:dyDescent="0.2">
      <c r="B16" s="127" t="s">
        <v>147</v>
      </c>
      <c r="C16" s="127"/>
      <c r="D16" s="128" t="s">
        <v>148</v>
      </c>
      <c r="E16" s="129"/>
      <c r="G16" s="127" t="s">
        <v>149</v>
      </c>
      <c r="H16" s="127"/>
      <c r="I16" s="128"/>
      <c r="J16" s="129"/>
      <c r="L16" s="130" t="s">
        <v>145</v>
      </c>
      <c r="M16" s="130"/>
      <c r="N16" s="131">
        <v>5000</v>
      </c>
      <c r="O16" s="132"/>
      <c r="Q16" s="130" t="s">
        <v>146</v>
      </c>
      <c r="R16" s="130"/>
      <c r="S16" s="131"/>
      <c r="T16" s="132"/>
    </row>
    <row r="17" spans="2:25" ht="12" hidden="1" thickTop="1" thickBot="1" x14ac:dyDescent="0.2">
      <c r="L17" s="127" t="s">
        <v>147</v>
      </c>
      <c r="M17" s="127"/>
      <c r="N17" s="128" t="s">
        <v>148</v>
      </c>
      <c r="O17" s="129"/>
      <c r="Q17" s="127" t="s">
        <v>149</v>
      </c>
      <c r="R17" s="127"/>
      <c r="S17" s="128"/>
      <c r="T17" s="129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24" t="s">
        <v>121</v>
      </c>
      <c r="C22" s="124"/>
      <c r="D22" s="124"/>
      <c r="E22" s="124"/>
      <c r="G22" s="124" t="s">
        <v>189</v>
      </c>
      <c r="H22" s="124"/>
      <c r="I22" s="124"/>
      <c r="J22" s="124"/>
      <c r="L22" s="126" t="s">
        <v>189</v>
      </c>
      <c r="M22" s="126"/>
      <c r="N22" s="126"/>
      <c r="O22" s="126"/>
      <c r="Q22" s="124" t="s">
        <v>188</v>
      </c>
      <c r="R22" s="124"/>
      <c r="S22" s="124"/>
      <c r="T22" s="124"/>
      <c r="V22" s="126" t="s">
        <v>189</v>
      </c>
      <c r="W22" s="126"/>
      <c r="X22" s="126"/>
      <c r="Y22" s="126"/>
    </row>
    <row r="23" spans="2:25" ht="12" thickTop="1" x14ac:dyDescent="0.15">
      <c r="B23" s="116" t="s">
        <v>122</v>
      </c>
      <c r="C23" s="116"/>
      <c r="D23" s="122">
        <f ca="1">TODAY()</f>
        <v>43203</v>
      </c>
      <c r="E23" s="125"/>
      <c r="G23" s="116" t="s">
        <v>122</v>
      </c>
      <c r="H23" s="116"/>
      <c r="I23" s="122">
        <f ca="1">TODAY()</f>
        <v>43203</v>
      </c>
      <c r="J23" s="125"/>
      <c r="L23" s="116" t="s">
        <v>122</v>
      </c>
      <c r="M23" s="116"/>
      <c r="N23" s="122">
        <f ca="1">TODAY()</f>
        <v>43203</v>
      </c>
      <c r="O23" s="125"/>
      <c r="Q23" s="116" t="s">
        <v>122</v>
      </c>
      <c r="R23" s="116"/>
      <c r="S23" s="122">
        <f ca="1">TODAY()-1</f>
        <v>43202</v>
      </c>
      <c r="T23" s="125"/>
      <c r="V23" s="116" t="s">
        <v>122</v>
      </c>
      <c r="W23" s="116"/>
      <c r="X23" s="122">
        <f ca="1">TODAY()-1</f>
        <v>43202</v>
      </c>
      <c r="Y23" s="125"/>
    </row>
    <row r="24" spans="2:25" ht="11.25" x14ac:dyDescent="0.15">
      <c r="B24" s="116" t="s">
        <v>124</v>
      </c>
      <c r="C24" s="116"/>
      <c r="D24" s="117" t="s">
        <v>218</v>
      </c>
      <c r="E24" s="118"/>
      <c r="G24" s="116" t="s">
        <v>124</v>
      </c>
      <c r="H24" s="116"/>
      <c r="I24" s="117" t="s">
        <v>186</v>
      </c>
      <c r="J24" s="118"/>
      <c r="L24" s="116" t="s">
        <v>124</v>
      </c>
      <c r="M24" s="116"/>
      <c r="N24" s="117" t="s">
        <v>36</v>
      </c>
      <c r="O24" s="118"/>
      <c r="Q24" s="116" t="s">
        <v>124</v>
      </c>
      <c r="R24" s="116"/>
      <c r="S24" s="117" t="s">
        <v>36</v>
      </c>
      <c r="T24" s="118"/>
      <c r="V24" s="116" t="s">
        <v>124</v>
      </c>
      <c r="W24" s="116"/>
      <c r="X24" s="117" t="s">
        <v>36</v>
      </c>
      <c r="Y24" s="118"/>
    </row>
    <row r="25" spans="2:25" ht="11.25" x14ac:dyDescent="0.15">
      <c r="B25" s="116" t="s">
        <v>127</v>
      </c>
      <c r="C25" s="116"/>
      <c r="D25" s="117" t="s">
        <v>186</v>
      </c>
      <c r="E25" s="118"/>
      <c r="G25" s="116" t="s">
        <v>127</v>
      </c>
      <c r="H25" s="116"/>
      <c r="I25" s="117" t="s">
        <v>5</v>
      </c>
      <c r="J25" s="118"/>
      <c r="L25" s="116" t="s">
        <v>127</v>
      </c>
      <c r="M25" s="116"/>
      <c r="N25" s="117" t="s">
        <v>195</v>
      </c>
      <c r="O25" s="118"/>
      <c r="Q25" s="116" t="s">
        <v>127</v>
      </c>
      <c r="R25" s="116"/>
      <c r="S25" s="117" t="s">
        <v>187</v>
      </c>
      <c r="T25" s="118"/>
      <c r="V25" s="116" t="s">
        <v>127</v>
      </c>
      <c r="W25" s="116"/>
      <c r="X25" s="117" t="s">
        <v>187</v>
      </c>
      <c r="Y25" s="118"/>
    </row>
    <row r="26" spans="2:25" ht="11.25" x14ac:dyDescent="0.15">
      <c r="B26" s="116" t="s">
        <v>129</v>
      </c>
      <c r="C26" s="116"/>
      <c r="D26" s="117">
        <f>D31*D33</f>
        <v>177500</v>
      </c>
      <c r="E26" s="118"/>
      <c r="G26" s="116" t="s">
        <v>179</v>
      </c>
      <c r="H26" s="116"/>
      <c r="I26" s="117">
        <f>I31*I33</f>
        <v>271800</v>
      </c>
      <c r="J26" s="118"/>
      <c r="L26" s="116" t="s">
        <v>129</v>
      </c>
      <c r="M26" s="116"/>
      <c r="N26" s="117">
        <f>N31*N33</f>
        <v>275000</v>
      </c>
      <c r="O26" s="118"/>
      <c r="Q26" s="116" t="s">
        <v>129</v>
      </c>
      <c r="R26" s="116"/>
      <c r="S26" s="117">
        <f>S31*S33</f>
        <v>235799.99999999997</v>
      </c>
      <c r="T26" s="118"/>
      <c r="V26" s="116" t="s">
        <v>129</v>
      </c>
      <c r="W26" s="116"/>
      <c r="X26" s="117">
        <f>X31*X33</f>
        <v>235799.99999999997</v>
      </c>
      <c r="Y26" s="118"/>
    </row>
    <row r="27" spans="2:25" ht="11.25" x14ac:dyDescent="0.15">
      <c r="B27" s="116" t="s">
        <v>131</v>
      </c>
      <c r="C27" s="116"/>
      <c r="D27" s="117" t="s">
        <v>191</v>
      </c>
      <c r="E27" s="118"/>
      <c r="G27" s="116" t="s">
        <v>131</v>
      </c>
      <c r="H27" s="116"/>
      <c r="I27" s="117" t="s">
        <v>197</v>
      </c>
      <c r="J27" s="118"/>
      <c r="L27" s="116" t="s">
        <v>131</v>
      </c>
      <c r="M27" s="116"/>
      <c r="N27" s="117" t="s">
        <v>190</v>
      </c>
      <c r="O27" s="118"/>
      <c r="Q27" s="116" t="s">
        <v>131</v>
      </c>
      <c r="R27" s="116"/>
      <c r="S27" s="117" t="s">
        <v>191</v>
      </c>
      <c r="T27" s="118"/>
      <c r="V27" s="116" t="s">
        <v>131</v>
      </c>
      <c r="W27" s="116"/>
      <c r="X27" s="117" t="s">
        <v>190</v>
      </c>
      <c r="Y27" s="118"/>
    </row>
    <row r="28" spans="2:25" ht="11.25" x14ac:dyDescent="0.15">
      <c r="B28" s="116" t="s">
        <v>134</v>
      </c>
      <c r="C28" s="116"/>
      <c r="D28" s="122">
        <v>43222</v>
      </c>
      <c r="E28" s="118"/>
      <c r="G28" s="116" t="s">
        <v>134</v>
      </c>
      <c r="H28" s="116"/>
      <c r="I28" s="122">
        <v>43182</v>
      </c>
      <c r="J28" s="118"/>
      <c r="L28" s="116" t="s">
        <v>134</v>
      </c>
      <c r="M28" s="116"/>
      <c r="N28" s="122">
        <v>43219</v>
      </c>
      <c r="O28" s="118"/>
      <c r="Q28" s="116" t="s">
        <v>134</v>
      </c>
      <c r="R28" s="116"/>
      <c r="S28" s="122">
        <v>43201</v>
      </c>
      <c r="T28" s="118"/>
      <c r="V28" s="116" t="s">
        <v>134</v>
      </c>
      <c r="W28" s="116"/>
      <c r="X28" s="122">
        <v>43201</v>
      </c>
      <c r="Y28" s="118"/>
    </row>
    <row r="29" spans="2:25" ht="11.25" x14ac:dyDescent="0.15">
      <c r="B29" s="116" t="s">
        <v>136</v>
      </c>
      <c r="C29" s="116"/>
      <c r="D29" s="117">
        <v>104200</v>
      </c>
      <c r="E29" s="118"/>
      <c r="G29" s="116" t="s">
        <v>136</v>
      </c>
      <c r="H29" s="116"/>
      <c r="I29" s="117">
        <v>3856</v>
      </c>
      <c r="J29" s="118"/>
      <c r="L29" s="116" t="s">
        <v>136</v>
      </c>
      <c r="M29" s="116"/>
      <c r="N29" s="117">
        <v>3760</v>
      </c>
      <c r="O29" s="118"/>
      <c r="Q29" s="116" t="s">
        <v>136</v>
      </c>
      <c r="R29" s="116"/>
      <c r="S29" s="117">
        <v>524</v>
      </c>
      <c r="T29" s="118"/>
      <c r="V29" s="116" t="s">
        <v>136</v>
      </c>
      <c r="W29" s="116"/>
      <c r="X29" s="117">
        <v>524</v>
      </c>
      <c r="Y29" s="118"/>
    </row>
    <row r="30" spans="2:25" ht="11.25" x14ac:dyDescent="0.15">
      <c r="B30" s="116" t="s">
        <v>138</v>
      </c>
      <c r="C30" s="116"/>
      <c r="D30" s="117">
        <v>110000</v>
      </c>
      <c r="E30" s="118"/>
      <c r="G30" s="116" t="s">
        <v>138</v>
      </c>
      <c r="H30" s="116"/>
      <c r="I30" s="117">
        <v>3930</v>
      </c>
      <c r="J30" s="118"/>
      <c r="L30" s="116" t="s">
        <v>138</v>
      </c>
      <c r="M30" s="116"/>
      <c r="N30" s="117">
        <v>3700</v>
      </c>
      <c r="O30" s="118"/>
      <c r="Q30" s="116" t="s">
        <v>138</v>
      </c>
      <c r="R30" s="116"/>
      <c r="S30" s="117">
        <v>524</v>
      </c>
      <c r="T30" s="118"/>
      <c r="V30" s="116" t="s">
        <v>138</v>
      </c>
      <c r="W30" s="116"/>
      <c r="X30" s="117">
        <v>524</v>
      </c>
      <c r="Y30" s="118"/>
    </row>
    <row r="31" spans="2:25" ht="11.25" x14ac:dyDescent="0.15">
      <c r="B31" s="116" t="s">
        <v>140</v>
      </c>
      <c r="C31" s="116"/>
      <c r="D31" s="117">
        <v>710</v>
      </c>
      <c r="E31" s="118"/>
      <c r="G31" s="116" t="s">
        <v>198</v>
      </c>
      <c r="H31" s="116"/>
      <c r="I31" s="117">
        <v>27.18</v>
      </c>
      <c r="J31" s="118"/>
      <c r="L31" s="116" t="s">
        <v>140</v>
      </c>
      <c r="M31" s="116"/>
      <c r="N31" s="117">
        <v>55</v>
      </c>
      <c r="O31" s="118"/>
      <c r="Q31" s="116" t="s">
        <v>140</v>
      </c>
      <c r="R31" s="116"/>
      <c r="S31" s="117">
        <v>23.58</v>
      </c>
      <c r="T31" s="118"/>
      <c r="V31" s="116" t="s">
        <v>140</v>
      </c>
      <c r="W31" s="116"/>
      <c r="X31" s="117">
        <v>23.58</v>
      </c>
      <c r="Y31" s="118"/>
    </row>
    <row r="32" spans="2:25" ht="11.25" x14ac:dyDescent="0.15">
      <c r="B32" s="116" t="s">
        <v>142</v>
      </c>
      <c r="C32" s="116"/>
      <c r="D32" s="117" t="s">
        <v>217</v>
      </c>
      <c r="E32" s="118"/>
      <c r="G32" s="116" t="s">
        <v>199</v>
      </c>
      <c r="H32" s="116"/>
      <c r="I32" s="117" t="s">
        <v>196</v>
      </c>
      <c r="J32" s="118"/>
      <c r="L32" s="116" t="s">
        <v>142</v>
      </c>
      <c r="M32" s="116"/>
      <c r="N32" s="117" t="s">
        <v>194</v>
      </c>
      <c r="O32" s="118"/>
      <c r="Q32" s="116" t="s">
        <v>142</v>
      </c>
      <c r="R32" s="116"/>
      <c r="S32" s="117" t="s">
        <v>192</v>
      </c>
      <c r="T32" s="118"/>
      <c r="V32" s="116" t="s">
        <v>142</v>
      </c>
      <c r="W32" s="116"/>
      <c r="X32" s="117" t="s">
        <v>192</v>
      </c>
      <c r="Y32" s="118"/>
    </row>
    <row r="33" spans="2:25" ht="11.25" x14ac:dyDescent="0.15">
      <c r="B33" s="116" t="s">
        <v>145</v>
      </c>
      <c r="C33" s="116"/>
      <c r="D33" s="117">
        <v>250</v>
      </c>
      <c r="E33" s="118"/>
      <c r="G33" s="116" t="s">
        <v>200</v>
      </c>
      <c r="H33" s="116"/>
      <c r="I33" s="117">
        <v>10000</v>
      </c>
      <c r="J33" s="118"/>
      <c r="L33" s="116" t="s">
        <v>145</v>
      </c>
      <c r="M33" s="116"/>
      <c r="N33" s="117">
        <v>5000</v>
      </c>
      <c r="O33" s="118"/>
      <c r="Q33" s="116" t="s">
        <v>145</v>
      </c>
      <c r="R33" s="116"/>
      <c r="S33" s="117">
        <v>10000</v>
      </c>
      <c r="T33" s="118"/>
      <c r="V33" s="116" t="s">
        <v>145</v>
      </c>
      <c r="W33" s="116"/>
      <c r="X33" s="117">
        <v>10000</v>
      </c>
      <c r="Y33" s="118"/>
    </row>
    <row r="34" spans="2:25" ht="12" thickBot="1" x14ac:dyDescent="0.2">
      <c r="B34" s="119" t="s">
        <v>147</v>
      </c>
      <c r="C34" s="119"/>
      <c r="D34" s="120" t="s">
        <v>148</v>
      </c>
      <c r="E34" s="121"/>
      <c r="G34" s="119" t="s">
        <v>147</v>
      </c>
      <c r="H34" s="119"/>
      <c r="I34" s="120" t="s">
        <v>148</v>
      </c>
      <c r="J34" s="121"/>
      <c r="L34" s="119" t="s">
        <v>147</v>
      </c>
      <c r="M34" s="119"/>
      <c r="N34" s="120" t="s">
        <v>148</v>
      </c>
      <c r="O34" s="121"/>
      <c r="Q34" s="119" t="s">
        <v>147</v>
      </c>
      <c r="R34" s="119"/>
      <c r="S34" s="120" t="s">
        <v>148</v>
      </c>
      <c r="T34" s="121"/>
      <c r="V34" s="119" t="s">
        <v>147</v>
      </c>
      <c r="W34" s="119"/>
      <c r="X34" s="120" t="s">
        <v>148</v>
      </c>
      <c r="Y34" s="121"/>
    </row>
    <row r="35" spans="2:25" ht="11.25" thickTop="1" x14ac:dyDescent="0.15"/>
    <row r="36" spans="2:25" ht="12" thickBot="1" x14ac:dyDescent="0.2">
      <c r="B36" s="124" t="s">
        <v>204</v>
      </c>
      <c r="C36" s="124"/>
      <c r="D36" s="124"/>
      <c r="E36" s="124"/>
      <c r="G36" s="124" t="s">
        <v>121</v>
      </c>
      <c r="H36" s="124"/>
      <c r="I36" s="124"/>
      <c r="J36" s="124"/>
      <c r="L36" s="124" t="s">
        <v>208</v>
      </c>
      <c r="M36" s="124"/>
      <c r="N36" s="124"/>
      <c r="O36" s="124"/>
    </row>
    <row r="37" spans="2:25" ht="12" thickTop="1" x14ac:dyDescent="0.15">
      <c r="B37" s="116" t="s">
        <v>122</v>
      </c>
      <c r="C37" s="116"/>
      <c r="D37" s="122"/>
      <c r="E37" s="125"/>
      <c r="G37" s="116" t="s">
        <v>122</v>
      </c>
      <c r="H37" s="116"/>
      <c r="I37" s="122">
        <v>43202</v>
      </c>
      <c r="J37" s="125"/>
      <c r="L37" s="116" t="s">
        <v>122</v>
      </c>
      <c r="M37" s="116"/>
      <c r="N37" s="122">
        <v>43202</v>
      </c>
      <c r="O37" s="125"/>
    </row>
    <row r="38" spans="2:25" ht="11.25" x14ac:dyDescent="0.15">
      <c r="B38" s="116" t="s">
        <v>124</v>
      </c>
      <c r="C38" s="116"/>
      <c r="D38" s="117"/>
      <c r="E38" s="118"/>
      <c r="G38" s="116" t="s">
        <v>124</v>
      </c>
      <c r="H38" s="116"/>
      <c r="I38" s="117" t="s">
        <v>4</v>
      </c>
      <c r="J38" s="118"/>
      <c r="L38" s="116" t="s">
        <v>124</v>
      </c>
      <c r="M38" s="116"/>
      <c r="N38" s="117" t="s">
        <v>214</v>
      </c>
      <c r="O38" s="118"/>
    </row>
    <row r="39" spans="2:25" ht="11.25" x14ac:dyDescent="0.15">
      <c r="B39" s="116" t="s">
        <v>127</v>
      </c>
      <c r="C39" s="116"/>
      <c r="D39" s="117"/>
      <c r="E39" s="118"/>
      <c r="G39" s="116" t="s">
        <v>127</v>
      </c>
      <c r="H39" s="116"/>
      <c r="I39" s="117" t="s">
        <v>206</v>
      </c>
      <c r="J39" s="118"/>
      <c r="L39" s="116" t="s">
        <v>127</v>
      </c>
      <c r="M39" s="116"/>
      <c r="N39" s="117" t="s">
        <v>206</v>
      </c>
      <c r="O39" s="118"/>
    </row>
    <row r="40" spans="2:25" ht="11.25" x14ac:dyDescent="0.15">
      <c r="B40" s="116" t="s">
        <v>179</v>
      </c>
      <c r="C40" s="116"/>
      <c r="D40" s="117"/>
      <c r="E40" s="118"/>
      <c r="G40" s="116" t="s">
        <v>179</v>
      </c>
      <c r="H40" s="116"/>
      <c r="I40" s="117">
        <f>I45*I47</f>
        <v>170000</v>
      </c>
      <c r="J40" s="118"/>
      <c r="L40" s="116" t="s">
        <v>129</v>
      </c>
      <c r="M40" s="116"/>
      <c r="N40" s="117">
        <f>N45*N47</f>
        <v>3150000</v>
      </c>
      <c r="O40" s="118"/>
    </row>
    <row r="41" spans="2:25" ht="11.25" x14ac:dyDescent="0.15">
      <c r="B41" s="116" t="s">
        <v>131</v>
      </c>
      <c r="C41" s="116"/>
      <c r="D41" s="117"/>
      <c r="E41" s="118"/>
      <c r="G41" s="116" t="s">
        <v>131</v>
      </c>
      <c r="H41" s="116"/>
      <c r="I41" s="117" t="s">
        <v>213</v>
      </c>
      <c r="J41" s="118"/>
      <c r="L41" s="116" t="s">
        <v>131</v>
      </c>
      <c r="M41" s="116"/>
      <c r="N41" s="117" t="s">
        <v>215</v>
      </c>
      <c r="O41" s="118"/>
    </row>
    <row r="42" spans="2:25" ht="11.25" x14ac:dyDescent="0.15">
      <c r="B42" s="116" t="s">
        <v>134</v>
      </c>
      <c r="C42" s="116"/>
      <c r="D42" s="122"/>
      <c r="E42" s="118"/>
      <c r="G42" s="116" t="s">
        <v>134</v>
      </c>
      <c r="H42" s="116"/>
      <c r="I42" s="122">
        <v>43301</v>
      </c>
      <c r="J42" s="118"/>
      <c r="L42" s="116" t="s">
        <v>134</v>
      </c>
      <c r="M42" s="116"/>
      <c r="N42" s="122">
        <v>43203</v>
      </c>
      <c r="O42" s="118"/>
    </row>
    <row r="43" spans="2:25" ht="11.25" x14ac:dyDescent="0.15">
      <c r="B43" s="116" t="s">
        <v>136</v>
      </c>
      <c r="C43" s="116"/>
      <c r="D43" s="117"/>
      <c r="E43" s="118"/>
      <c r="G43" s="116" t="s">
        <v>136</v>
      </c>
      <c r="H43" s="116"/>
      <c r="I43" s="117">
        <v>14520</v>
      </c>
      <c r="J43" s="118"/>
      <c r="L43" s="116" t="s">
        <v>136</v>
      </c>
      <c r="M43" s="123"/>
      <c r="N43" s="117">
        <v>3405</v>
      </c>
      <c r="O43" s="118"/>
    </row>
    <row r="44" spans="2:25" ht="11.25" x14ac:dyDescent="0.15">
      <c r="B44" s="116" t="s">
        <v>138</v>
      </c>
      <c r="C44" s="116"/>
      <c r="D44" s="117"/>
      <c r="E44" s="118"/>
      <c r="G44" s="116" t="s">
        <v>138</v>
      </c>
      <c r="H44" s="116"/>
      <c r="I44" s="117">
        <v>11500</v>
      </c>
      <c r="J44" s="118"/>
      <c r="L44" s="116" t="s">
        <v>138</v>
      </c>
      <c r="M44" s="116"/>
      <c r="N44" s="117">
        <v>3720</v>
      </c>
      <c r="O44" s="118"/>
    </row>
    <row r="45" spans="2:25" ht="11.25" x14ac:dyDescent="0.15">
      <c r="B45" s="116" t="s">
        <v>198</v>
      </c>
      <c r="C45" s="116"/>
      <c r="D45" s="117"/>
      <c r="E45" s="118"/>
      <c r="G45" s="116" t="s">
        <v>198</v>
      </c>
      <c r="H45" s="116"/>
      <c r="I45" s="117">
        <v>17</v>
      </c>
      <c r="J45" s="118"/>
      <c r="L45" s="116" t="s">
        <v>140</v>
      </c>
      <c r="M45" s="116"/>
      <c r="N45" s="117">
        <v>315</v>
      </c>
      <c r="O45" s="118"/>
    </row>
    <row r="46" spans="2:25" ht="11.25" x14ac:dyDescent="0.15">
      <c r="B46" s="116" t="s">
        <v>199</v>
      </c>
      <c r="C46" s="116"/>
      <c r="D46" s="117"/>
      <c r="E46" s="118"/>
      <c r="G46" s="116" t="s">
        <v>142</v>
      </c>
      <c r="H46" s="116"/>
      <c r="I46" s="117" t="s">
        <v>210</v>
      </c>
      <c r="J46" s="118"/>
      <c r="L46" s="116" t="s">
        <v>142</v>
      </c>
      <c r="M46" s="116"/>
      <c r="N46" s="117" t="s">
        <v>194</v>
      </c>
      <c r="O46" s="118"/>
    </row>
    <row r="47" spans="2:25" ht="11.25" x14ac:dyDescent="0.15">
      <c r="B47" s="116" t="s">
        <v>200</v>
      </c>
      <c r="C47" s="116"/>
      <c r="D47" s="117"/>
      <c r="E47" s="118"/>
      <c r="G47" s="116" t="s">
        <v>145</v>
      </c>
      <c r="H47" s="116"/>
      <c r="I47" s="117">
        <v>10000</v>
      </c>
      <c r="J47" s="118"/>
      <c r="L47" s="116" t="s">
        <v>145</v>
      </c>
      <c r="M47" s="116"/>
      <c r="N47" s="117">
        <v>10000</v>
      </c>
      <c r="O47" s="118"/>
    </row>
    <row r="48" spans="2:25" ht="12" thickBot="1" x14ac:dyDescent="0.2">
      <c r="B48" s="119" t="s">
        <v>147</v>
      </c>
      <c r="C48" s="119"/>
      <c r="D48" s="120"/>
      <c r="E48" s="121"/>
      <c r="G48" s="119" t="s">
        <v>147</v>
      </c>
      <c r="H48" s="119"/>
      <c r="I48" s="120" t="s">
        <v>209</v>
      </c>
      <c r="J48" s="121"/>
      <c r="L48" s="119" t="s">
        <v>147</v>
      </c>
      <c r="M48" s="119"/>
      <c r="N48" s="120" t="s">
        <v>207</v>
      </c>
      <c r="O48" s="121"/>
    </row>
    <row r="49" ht="11.25" thickTop="1" x14ac:dyDescent="0.15"/>
  </sheetData>
  <mergeCells count="301"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6"/>
  <sheetViews>
    <sheetView topLeftCell="E4" zoomScaleNormal="100" workbookViewId="0">
      <selection activeCell="I32" sqref="I32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38" t="s">
        <v>37</v>
      </c>
      <c r="C1" s="138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193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22</v>
      </c>
      <c r="E8" s="21">
        <f t="shared" ref="E8:E9" ca="1" si="0">TODAY()</f>
        <v>43203</v>
      </c>
      <c r="F8" s="21">
        <f ca="1">E8+H8</f>
        <v>43383</v>
      </c>
      <c r="G8" s="19">
        <v>100</v>
      </c>
      <c r="H8" s="19">
        <v>180</v>
      </c>
      <c r="I8" s="22">
        <f>H8/365</f>
        <v>0.49315068493150682</v>
      </c>
      <c r="J8" s="22">
        <v>0</v>
      </c>
      <c r="K8" s="23">
        <v>0.26</v>
      </c>
      <c r="L8" s="24">
        <f>_xll.dnetGBlackScholesNGreeks("price",$Q8,$P8,$G8,$I8,$C$3,$J8,$K8,$C$4)*R8</f>
        <v>-7.2025596532922975</v>
      </c>
      <c r="M8" s="25"/>
      <c r="N8" s="24">
        <f>M8/10000*I8*P8</f>
        <v>0</v>
      </c>
      <c r="O8" s="24">
        <f>IF(L8&lt;=0,ABS(L8)+N8,L8-N8)</f>
        <v>7.2025596532922975</v>
      </c>
      <c r="P8" s="20">
        <v>100</v>
      </c>
      <c r="Q8" s="19" t="s">
        <v>27</v>
      </c>
      <c r="R8" s="19">
        <f>IF(S8="中金买入",1,-1)</f>
        <v>-1</v>
      </c>
      <c r="S8" s="19" t="s">
        <v>31</v>
      </c>
      <c r="T8" s="26">
        <f>O8/P8</f>
        <v>7.2025596532922981E-2</v>
      </c>
      <c r="U8" s="24">
        <f>_xll.dnetGBlackScholesNGreeks("delta",$Q8,$P8,$G8,$I8,$C$3,$J8,$K8,$C$4)*R8</f>
        <v>-0.53110552603214956</v>
      </c>
      <c r="V8" s="24">
        <f>_xll.dnetGBlackScholesNGreeks("vega",$Q8,$P8,$G8,$I8,$C$3,$J8,$K8,$C$4)*R8</f>
        <v>-0.27625222850264208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203</v>
      </c>
      <c r="E9" s="8">
        <f t="shared" ca="1" si="0"/>
        <v>43203</v>
      </c>
      <c r="F9" s="8">
        <f t="shared" ref="F9" ca="1" si="1">E9+H9</f>
        <v>43294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>
        <f>_xll.dnetGBlackScholesNGreeks("price",$Q9,$P9,$G9,$I9,$C$3,$J9,$K9,$C$4)*R9</f>
        <v>-4.1900759258347762</v>
      </c>
      <c r="M9" s="15"/>
      <c r="N9" s="13">
        <f t="shared" ref="N9:N10" si="2">M9/10000*I9*P9</f>
        <v>0</v>
      </c>
      <c r="O9" s="13">
        <f>IF(L9&lt;=0,ABS(L9)+N9,L9-N9)</f>
        <v>4.1900759258347762</v>
      </c>
      <c r="P9" s="11">
        <f>RTD("wdf.rtq",,D9,"LastPrice")</f>
        <v>14725</v>
      </c>
      <c r="Q9" s="10" t="s">
        <v>85</v>
      </c>
      <c r="R9" s="10">
        <f t="shared" ref="R9" si="3">IF(S9="中金买入",1,-1)</f>
        <v>-1</v>
      </c>
      <c r="S9" s="10" t="s">
        <v>20</v>
      </c>
      <c r="T9" s="14">
        <f t="shared" ref="T9" si="4">O9/P9</f>
        <v>2.845552411432785E-4</v>
      </c>
      <c r="U9" s="13">
        <f>_xll.dnetGBlackScholesNGreeks("delta",$Q9,$P9,$G9,$I9,$C$3,$J9,$K9,$C$4)*R9</f>
        <v>7.9378376796057637E-3</v>
      </c>
      <c r="V9" s="13">
        <f>_xll.dnetGBlackScholesNGreeks("vega",$Q9,$P9,$G9,$I9,$C$3,$J9,$K9,$C$4)*R9</f>
        <v>-1.6082006319503321</v>
      </c>
      <c r="X9" s="6">
        <f>2000*U9</f>
        <v>15.875675359211527</v>
      </c>
    </row>
    <row r="10" spans="1:25" x14ac:dyDescent="0.15">
      <c r="N10" s="6">
        <f t="shared" si="2"/>
        <v>0</v>
      </c>
    </row>
    <row r="11" spans="1:25" ht="10.5" customHeight="1" x14ac:dyDescent="0.15">
      <c r="A11" s="34"/>
      <c r="B11" s="13" t="s">
        <v>172</v>
      </c>
      <c r="C11" s="10" t="s">
        <v>161</v>
      </c>
      <c r="D11" s="10" t="s">
        <v>205</v>
      </c>
      <c r="E11" s="8">
        <f t="shared" ref="E11:E13" ca="1" si="5">TODAY()</f>
        <v>43203</v>
      </c>
      <c r="F11" s="8">
        <f t="shared" ref="F11" ca="1" si="6">E11+H11</f>
        <v>43261</v>
      </c>
      <c r="G11" s="10">
        <v>3500</v>
      </c>
      <c r="H11" s="10">
        <v>58</v>
      </c>
      <c r="I11" s="12">
        <f>(H11-4)/365</f>
        <v>0.14794520547945206</v>
      </c>
      <c r="J11" s="12">
        <v>0</v>
      </c>
      <c r="K11" s="9">
        <v>0.2</v>
      </c>
      <c r="L11" s="13">
        <f>_xll.dnetGBlackScholesNGreeks("price",$Q11,$P11,$G11,$I11,$C$3,$J11,$K11,$C$4)*R11</f>
        <v>210.35168222820812</v>
      </c>
      <c r="M11" s="15"/>
      <c r="N11" s="13">
        <f t="shared" ref="N11" si="7">M11/10000*I11*P11</f>
        <v>0</v>
      </c>
      <c r="O11" s="13">
        <f>IF(L11&lt;=0,ABS(L11)+N11,L11-N11)</f>
        <v>210.35168222820812</v>
      </c>
      <c r="P11" s="11">
        <v>3330</v>
      </c>
      <c r="Q11" s="10" t="s">
        <v>85</v>
      </c>
      <c r="R11" s="10">
        <f t="shared" ref="R11" si="8">IF(S11="中金买入",1,-1)</f>
        <v>1</v>
      </c>
      <c r="S11" s="10" t="s">
        <v>151</v>
      </c>
      <c r="T11" s="14">
        <f t="shared" ref="T11" si="9">O11/P11</f>
        <v>6.3168673341804246E-2</v>
      </c>
      <c r="U11" s="13">
        <f>_xll.dnetGBlackScholesNGreeks("delta",$Q11,$P11,$G11,$I11,$C$3,$J11,$K11,$C$4)*R11</f>
        <v>-0.72651184525511781</v>
      </c>
      <c r="V11" s="13">
        <f>_xll.dnetGBlackScholesNGreeks("vega",$Q11,$P11,$G11,$I11,$C$3,$J11,$K11,$C$4)*R11</f>
        <v>4.2310263173901603</v>
      </c>
      <c r="X11" s="6">
        <f>2000*U11</f>
        <v>-1453.0236905102356</v>
      </c>
    </row>
    <row r="12" spans="1:25" ht="11.25" customHeight="1" x14ac:dyDescent="0.15"/>
    <row r="13" spans="1:25" ht="10.5" customHeight="1" x14ac:dyDescent="0.15">
      <c r="A13" s="34"/>
      <c r="B13" s="13" t="s">
        <v>172</v>
      </c>
      <c r="C13" s="10" t="s">
        <v>161</v>
      </c>
      <c r="D13" s="10" t="s">
        <v>210</v>
      </c>
      <c r="E13" s="8">
        <f t="shared" ca="1" si="5"/>
        <v>43203</v>
      </c>
      <c r="F13" s="8">
        <f t="shared" ref="F13" ca="1" si="10">E13+H13</f>
        <v>43302</v>
      </c>
      <c r="G13" s="10">
        <v>11500</v>
      </c>
      <c r="H13" s="10">
        <v>99</v>
      </c>
      <c r="I13" s="12">
        <f>(H13)/365</f>
        <v>0.27123287671232876</v>
      </c>
      <c r="J13" s="12">
        <v>0</v>
      </c>
      <c r="K13" s="9">
        <v>0.23499999999999999</v>
      </c>
      <c r="L13" s="13">
        <f>_xll.dnetGBlackScholesNGreeks("price",$Q13,$P13,$G13,$I13,$C$3,$J13,$K13,$C$4)*R13</f>
        <v>-10.752133525187588</v>
      </c>
      <c r="M13" s="15">
        <v>0</v>
      </c>
      <c r="N13" s="13">
        <f t="shared" ref="N13" si="11">M13/10000*I13*P13</f>
        <v>0</v>
      </c>
      <c r="O13" s="13">
        <f>IF(L13&lt;=0,ABS(L13)+N13,L13-N13)</f>
        <v>10.752133525187588</v>
      </c>
      <c r="P13" s="11">
        <f>RTD("wdf.rtq",,D13,"LastPrice")</f>
        <v>14840</v>
      </c>
      <c r="Q13" s="10" t="s">
        <v>85</v>
      </c>
      <c r="R13" s="10">
        <f t="shared" ref="R13" si="12">IF(S13="中金买入",1,-1)</f>
        <v>-1</v>
      </c>
      <c r="S13" s="10" t="s">
        <v>20</v>
      </c>
      <c r="T13" s="14">
        <f t="shared" ref="T13" si="13">O13/P13</f>
        <v>7.2453729954094265E-4</v>
      </c>
      <c r="U13" s="13">
        <f>_xll.dnetGBlackScholesNGreeks("delta",$Q13,$P13,$G13,$I13,$C$3,$J13,$K13,$C$4)*R13</f>
        <v>1.5907463139797073E-2</v>
      </c>
      <c r="V13" s="13">
        <f>_xll.dnetGBlackScholesNGreeks("vega",$Q13,$P13,$G13,$I13,$C$3,$J13,$K13,$C$4)*R13</f>
        <v>-3.0812435151558333</v>
      </c>
      <c r="X13" s="6">
        <f>2000*U13</f>
        <v>31.814926279594147</v>
      </c>
    </row>
    <row r="14" spans="1:25" ht="10.5" customHeight="1" x14ac:dyDescent="0.15">
      <c r="A14" s="34"/>
      <c r="B14" s="13"/>
      <c r="C14" s="10"/>
      <c r="D14" s="10"/>
      <c r="E14" s="8"/>
      <c r="F14" s="8"/>
      <c r="G14" s="10"/>
      <c r="H14" s="10"/>
      <c r="I14" s="12"/>
      <c r="J14" s="12"/>
      <c r="K14" s="9"/>
      <c r="L14" s="13"/>
      <c r="M14" s="15"/>
      <c r="N14" s="13"/>
      <c r="O14" s="13"/>
      <c r="P14" s="11"/>
      <c r="Q14" s="10"/>
      <c r="R14" s="10"/>
      <c r="S14" s="10"/>
      <c r="T14" s="14"/>
      <c r="U14" s="13"/>
      <c r="V14" s="13"/>
    </row>
    <row r="15" spans="1:25" x14ac:dyDescent="0.15">
      <c r="A15" s="34"/>
      <c r="B15" s="13"/>
      <c r="C15" s="10"/>
      <c r="D15" s="10"/>
      <c r="E15" s="8"/>
      <c r="F15" s="8"/>
      <c r="G15" s="10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</row>
    <row r="16" spans="1:25" ht="10.5" customHeight="1" x14ac:dyDescent="0.15">
      <c r="A16" s="34"/>
      <c r="B16" s="13" t="s">
        <v>172</v>
      </c>
      <c r="C16" s="10" t="s">
        <v>161</v>
      </c>
      <c r="D16" s="10" t="s">
        <v>212</v>
      </c>
      <c r="E16" s="8">
        <f t="shared" ref="E16:E32" ca="1" si="14">TODAY()</f>
        <v>43203</v>
      </c>
      <c r="F16" s="8">
        <f t="shared" ref="F16:F17" ca="1" si="15">E16+H16</f>
        <v>43234</v>
      </c>
      <c r="G16" s="10">
        <v>3300</v>
      </c>
      <c r="H16" s="10">
        <v>31</v>
      </c>
      <c r="I16" s="12">
        <f t="shared" ref="I16:I21" si="16">(H16-2)/365</f>
        <v>7.9452054794520555E-2</v>
      </c>
      <c r="J16" s="12">
        <v>0</v>
      </c>
      <c r="K16" s="9">
        <v>0.185</v>
      </c>
      <c r="L16" s="13">
        <f>_xll.dnetGBlackScholesNGreeks("price",$Q16,$P16,$G16,$I16,$C$3,$J16,$K16,$C$4)*R16</f>
        <v>18.854232190346011</v>
      </c>
      <c r="M16" s="15">
        <v>0</v>
      </c>
      <c r="N16" s="13">
        <f t="shared" ref="N16:N17" si="17">M16/10000*I16*P16</f>
        <v>0</v>
      </c>
      <c r="O16" s="13">
        <f t="shared" ref="O16:O21" si="18">IF(L16&lt;=0,ABS(L16)+N16,L16-N16)</f>
        <v>18.854232190346011</v>
      </c>
      <c r="P16" s="11">
        <f>RTD("wdf.rtq",,D16,"LastPrice")</f>
        <v>3452</v>
      </c>
      <c r="Q16" s="10" t="s">
        <v>85</v>
      </c>
      <c r="R16" s="10">
        <f t="shared" ref="R16:R17" si="19">IF(S16="中金买入",1,-1)</f>
        <v>1</v>
      </c>
      <c r="S16" s="10" t="s">
        <v>151</v>
      </c>
      <c r="T16" s="14">
        <f t="shared" ref="T16:T17" si="20">O16/P16</f>
        <v>5.4618285603551591E-3</v>
      </c>
      <c r="U16" s="13">
        <f>_xll.dnetGBlackScholesNGreeks("delta",$Q16,$P16,$G16,$I16,$C$3,$J16,$K16,$C$4)*R16</f>
        <v>-0.18653600711786567</v>
      </c>
      <c r="V16" s="13">
        <f>_xll.dnetGBlackScholesNGreeks("vega",$Q16,$P16,$G16,$I16,$C$3,$J16,$K16,$C$4)*R16</f>
        <v>2.6069225632526809</v>
      </c>
      <c r="X16" s="6">
        <f>1000*U16</f>
        <v>-186.53600711786567</v>
      </c>
    </row>
    <row r="17" spans="1:24" ht="10.5" customHeight="1" x14ac:dyDescent="0.15">
      <c r="A17" s="34"/>
      <c r="B17" s="13" t="s">
        <v>172</v>
      </c>
      <c r="C17" s="10" t="s">
        <v>161</v>
      </c>
      <c r="D17" s="10" t="s">
        <v>212</v>
      </c>
      <c r="E17" s="8">
        <f t="shared" ca="1" si="14"/>
        <v>43203</v>
      </c>
      <c r="F17" s="8">
        <f t="shared" ca="1" si="15"/>
        <v>43265</v>
      </c>
      <c r="G17" s="10">
        <v>3300</v>
      </c>
      <c r="H17" s="10">
        <v>62</v>
      </c>
      <c r="I17" s="12">
        <f t="shared" si="16"/>
        <v>0.16438356164383561</v>
      </c>
      <c r="J17" s="12">
        <v>0</v>
      </c>
      <c r="K17" s="9">
        <v>0.185</v>
      </c>
      <c r="L17" s="13">
        <f>_xll.dnetGBlackScholesNGreeks("price",$Q17,$P17,$G17,$I17,$C$3,$J17,$K17,$C$4)*R17</f>
        <v>42.519661968949549</v>
      </c>
      <c r="M17" s="15">
        <v>0</v>
      </c>
      <c r="N17" s="13">
        <f t="shared" si="17"/>
        <v>0</v>
      </c>
      <c r="O17" s="13">
        <f t="shared" si="18"/>
        <v>42.519661968949549</v>
      </c>
      <c r="P17" s="11">
        <f>RTD("wdf.rtq",,D17,"LastPrice")</f>
        <v>3452</v>
      </c>
      <c r="Q17" s="10" t="s">
        <v>85</v>
      </c>
      <c r="R17" s="10">
        <f t="shared" si="19"/>
        <v>1</v>
      </c>
      <c r="S17" s="10" t="s">
        <v>151</v>
      </c>
      <c r="T17" s="14">
        <f t="shared" si="20"/>
        <v>1.2317399179881098E-2</v>
      </c>
      <c r="U17" s="13">
        <f>_xll.dnetGBlackScholesNGreeks("delta",$Q17,$P17,$G17,$I17,$C$3,$J17,$K17,$C$4)*R17</f>
        <v>-0.26092122244563143</v>
      </c>
      <c r="V17" s="13">
        <f>_xll.dnetGBlackScholesNGreeks("vega",$Q17,$P17,$G17,$I17,$C$3,$J17,$K17,$C$4)*R17</f>
        <v>4.538671086038903</v>
      </c>
      <c r="X17" s="6">
        <f t="shared" ref="X17:X21" si="21">1000*U17</f>
        <v>-260.92122244563143</v>
      </c>
    </row>
    <row r="18" spans="1:24" x14ac:dyDescent="0.15">
      <c r="B18" s="13" t="s">
        <v>172</v>
      </c>
      <c r="C18" s="10" t="s">
        <v>161</v>
      </c>
      <c r="D18" s="10" t="s">
        <v>212</v>
      </c>
      <c r="E18" s="8">
        <f t="shared" ca="1" si="14"/>
        <v>43203</v>
      </c>
      <c r="F18" s="8">
        <f t="shared" ref="F18:F21" ca="1" si="22">E18+H18</f>
        <v>43234</v>
      </c>
      <c r="G18" s="10">
        <v>3250</v>
      </c>
      <c r="H18" s="10">
        <v>31</v>
      </c>
      <c r="I18" s="12">
        <f t="shared" si="16"/>
        <v>7.9452054794520555E-2</v>
      </c>
      <c r="J18" s="12">
        <v>0</v>
      </c>
      <c r="K18" s="9">
        <v>0.185</v>
      </c>
      <c r="L18" s="13">
        <f>_xll.dnetGBlackScholesNGreeks("price",$Q18,$P18,$G18,$I18,$C$3,$J18,$K18,$C$4)*R18</f>
        <v>10.690077091512819</v>
      </c>
      <c r="M18" s="15">
        <v>0</v>
      </c>
      <c r="N18" s="13">
        <f t="shared" ref="N18:N21" si="23">M18/10000*I18*P18</f>
        <v>0</v>
      </c>
      <c r="O18" s="13">
        <f t="shared" si="18"/>
        <v>10.690077091512819</v>
      </c>
      <c r="P18" s="11">
        <f>RTD("wdf.rtq",,D18,"LastPrice")</f>
        <v>3452</v>
      </c>
      <c r="Q18" s="10" t="s">
        <v>85</v>
      </c>
      <c r="R18" s="10">
        <f t="shared" ref="R18:R21" si="24">IF(S18="中金买入",1,-1)</f>
        <v>1</v>
      </c>
      <c r="S18" s="10" t="s">
        <v>151</v>
      </c>
      <c r="T18" s="14">
        <f t="shared" ref="T18:T21" si="25">O18/P18</f>
        <v>3.0967778364753241E-3</v>
      </c>
      <c r="U18" s="13">
        <f>_xll.dnetGBlackScholesNGreeks("delta",$Q18,$P18,$G18,$I18,$C$3,$J18,$K18,$C$4)*R18</f>
        <v>-0.11833341663987085</v>
      </c>
      <c r="V18" s="13">
        <f>_xll.dnetGBlackScholesNGreeks("vega",$Q18,$P18,$G18,$I18,$C$3,$J18,$K18,$C$4)*R18</f>
        <v>1.9243354747712829</v>
      </c>
      <c r="X18" s="6">
        <f t="shared" si="21"/>
        <v>-118.33341663987085</v>
      </c>
    </row>
    <row r="19" spans="1:24" ht="10.5" customHeight="1" x14ac:dyDescent="0.15">
      <c r="A19" s="34"/>
      <c r="B19" s="13" t="s">
        <v>172</v>
      </c>
      <c r="C19" s="10" t="s">
        <v>161</v>
      </c>
      <c r="D19" s="10" t="s">
        <v>212</v>
      </c>
      <c r="E19" s="8">
        <f t="shared" ca="1" si="14"/>
        <v>43203</v>
      </c>
      <c r="F19" s="8">
        <f t="shared" ca="1" si="22"/>
        <v>43265</v>
      </c>
      <c r="G19" s="10">
        <v>3250</v>
      </c>
      <c r="H19" s="10">
        <v>62</v>
      </c>
      <c r="I19" s="12">
        <f t="shared" si="16"/>
        <v>0.16438356164383561</v>
      </c>
      <c r="J19" s="12">
        <v>0</v>
      </c>
      <c r="K19" s="9">
        <v>0.185</v>
      </c>
      <c r="L19" s="13">
        <f>_xll.dnetGBlackScholesNGreeks("price",$Q19,$P19,$G19,$I19,$C$3,$J19,$K19,$C$4)*R19</f>
        <v>29.88168194859054</v>
      </c>
      <c r="M19" s="15">
        <v>0</v>
      </c>
      <c r="N19" s="13">
        <f t="shared" si="23"/>
        <v>0</v>
      </c>
      <c r="O19" s="13">
        <f t="shared" si="18"/>
        <v>29.88168194859054</v>
      </c>
      <c r="P19" s="11">
        <f>RTD("wdf.rtq",,D19,"LastPrice")</f>
        <v>3452</v>
      </c>
      <c r="Q19" s="10" t="s">
        <v>85</v>
      </c>
      <c r="R19" s="10">
        <f t="shared" si="24"/>
        <v>1</v>
      </c>
      <c r="S19" s="10" t="s">
        <v>151</v>
      </c>
      <c r="T19" s="14">
        <f t="shared" si="25"/>
        <v>8.6563389190586724E-3</v>
      </c>
      <c r="U19" s="13">
        <f>_xll.dnetGBlackScholesNGreeks("delta",$Q19,$P19,$G19,$I19,$C$3,$J19,$K19,$C$4)*R19</f>
        <v>-0.19940146049748364</v>
      </c>
      <c r="V19" s="13">
        <f>_xll.dnetGBlackScholesNGreeks("vega",$Q19,$P19,$G19,$I19,$C$3,$J19,$K19,$C$4)*R19</f>
        <v>3.9032295048006631</v>
      </c>
      <c r="X19" s="6">
        <f t="shared" si="21"/>
        <v>-199.40146049748364</v>
      </c>
    </row>
    <row r="20" spans="1:24" ht="10.5" customHeight="1" x14ac:dyDescent="0.15">
      <c r="A20" s="34"/>
      <c r="B20" s="13" t="s">
        <v>172</v>
      </c>
      <c r="C20" s="10" t="s">
        <v>161</v>
      </c>
      <c r="D20" s="10" t="s">
        <v>212</v>
      </c>
      <c r="E20" s="8">
        <f t="shared" ca="1" si="14"/>
        <v>43203</v>
      </c>
      <c r="F20" s="8">
        <f t="shared" ca="1" si="22"/>
        <v>43234</v>
      </c>
      <c r="G20" s="10">
        <v>3200</v>
      </c>
      <c r="H20" s="10">
        <v>31</v>
      </c>
      <c r="I20" s="12">
        <f t="shared" si="16"/>
        <v>7.9452054794520555E-2</v>
      </c>
      <c r="J20" s="12">
        <v>0</v>
      </c>
      <c r="K20" s="9">
        <v>0.185</v>
      </c>
      <c r="L20" s="13">
        <f>_xll.dnetGBlackScholesNGreeks("price",$Q20,$P20,$G20,$I20,$C$3,$J20,$K20,$C$4)*R20</f>
        <v>5.6302234482341191</v>
      </c>
      <c r="M20" s="15">
        <v>0</v>
      </c>
      <c r="N20" s="13">
        <f t="shared" si="23"/>
        <v>0</v>
      </c>
      <c r="O20" s="13">
        <f t="shared" si="18"/>
        <v>5.6302234482341191</v>
      </c>
      <c r="P20" s="11">
        <f>RTD("wdf.rtq",,D20,"LastPrice")</f>
        <v>3452</v>
      </c>
      <c r="Q20" s="10" t="s">
        <v>85</v>
      </c>
      <c r="R20" s="10">
        <f t="shared" si="24"/>
        <v>1</v>
      </c>
      <c r="S20" s="10" t="s">
        <v>151</v>
      </c>
      <c r="T20" s="14">
        <f t="shared" si="25"/>
        <v>1.6310033164061758E-3</v>
      </c>
      <c r="U20" s="13">
        <f>_xll.dnetGBlackScholesNGreeks("delta",$Q20,$P20,$G20,$I20,$C$3,$J20,$K20,$C$4)*R20</f>
        <v>-6.9362349078971874E-2</v>
      </c>
      <c r="V20" s="13">
        <f>_xll.dnetGBlackScholesNGreeks("vega",$Q20,$P20,$G20,$I20,$C$3,$J20,$K20,$C$4)*R20</f>
        <v>1.2956330879563751</v>
      </c>
      <c r="X20" s="6">
        <f t="shared" si="21"/>
        <v>-69.362349078971874</v>
      </c>
    </row>
    <row r="21" spans="1:24" ht="10.5" customHeight="1" x14ac:dyDescent="0.15">
      <c r="A21" s="34"/>
      <c r="B21" s="13" t="s">
        <v>172</v>
      </c>
      <c r="C21" s="10" t="s">
        <v>161</v>
      </c>
      <c r="D21" s="10" t="s">
        <v>212</v>
      </c>
      <c r="E21" s="8">
        <f t="shared" ca="1" si="14"/>
        <v>43203</v>
      </c>
      <c r="F21" s="8">
        <f t="shared" ca="1" si="22"/>
        <v>43265</v>
      </c>
      <c r="G21" s="10">
        <v>3200</v>
      </c>
      <c r="H21" s="10">
        <v>62</v>
      </c>
      <c r="I21" s="12">
        <f t="shared" si="16"/>
        <v>0.16438356164383561</v>
      </c>
      <c r="J21" s="12">
        <v>0</v>
      </c>
      <c r="K21" s="9">
        <v>0.185</v>
      </c>
      <c r="L21" s="13">
        <f>_xll.dnetGBlackScholesNGreeks("price",$Q21,$P21,$G21,$I21,$C$3,$J21,$K21,$C$4)*R21</f>
        <v>20.277718505868904</v>
      </c>
      <c r="M21" s="15">
        <v>0</v>
      </c>
      <c r="N21" s="13">
        <f t="shared" si="23"/>
        <v>0</v>
      </c>
      <c r="O21" s="13">
        <f t="shared" si="18"/>
        <v>20.277718505868904</v>
      </c>
      <c r="P21" s="11">
        <f>RTD("wdf.rtq",,D21,"LastPrice")</f>
        <v>3452</v>
      </c>
      <c r="Q21" s="10" t="s">
        <v>85</v>
      </c>
      <c r="R21" s="10">
        <f t="shared" si="24"/>
        <v>1</v>
      </c>
      <c r="S21" s="10" t="s">
        <v>151</v>
      </c>
      <c r="T21" s="14">
        <f t="shared" si="25"/>
        <v>5.8741942369261021E-3</v>
      </c>
      <c r="U21" s="13">
        <f>_xll.dnetGBlackScholesNGreeks("delta",$Q21,$P21,$G21,$I21,$C$3,$J21,$K21,$C$4)*R21</f>
        <v>-0.14680882667903461</v>
      </c>
      <c r="V21" s="13">
        <f>_xll.dnetGBlackScholesNGreeks("vega",$Q21,$P21,$G21,$I21,$C$3,$J21,$K21,$C$4)*R21</f>
        <v>3.2100115993685279</v>
      </c>
      <c r="X21" s="6">
        <f t="shared" si="21"/>
        <v>-146.80882667903461</v>
      </c>
    </row>
    <row r="22" spans="1:24" ht="10.5" customHeight="1" x14ac:dyDescent="0.15">
      <c r="A22" s="34"/>
      <c r="B22" s="13"/>
      <c r="C22" s="10"/>
      <c r="D22" s="10"/>
      <c r="E22" s="8"/>
      <c r="F22" s="8"/>
      <c r="G22" s="10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</row>
    <row r="23" spans="1:24" ht="10.5" customHeight="1" x14ac:dyDescent="0.15">
      <c r="A23" s="34"/>
      <c r="B23" s="13" t="s">
        <v>172</v>
      </c>
      <c r="C23" s="10" t="s">
        <v>161</v>
      </c>
      <c r="D23" s="10" t="s">
        <v>212</v>
      </c>
      <c r="E23" s="8">
        <f t="shared" ca="1" si="14"/>
        <v>43203</v>
      </c>
      <c r="F23" s="8">
        <f t="shared" ref="F23:F26" ca="1" si="26">E23+H23</f>
        <v>43234</v>
      </c>
      <c r="G23" s="10">
        <v>3400</v>
      </c>
      <c r="H23" s="10">
        <v>31</v>
      </c>
      <c r="I23" s="12">
        <f>(H23-2)/365</f>
        <v>7.9452054794520555E-2</v>
      </c>
      <c r="J23" s="12">
        <v>0</v>
      </c>
      <c r="K23" s="9">
        <v>0.19</v>
      </c>
      <c r="L23" s="13">
        <f>_xll.dnetGBlackScholesNGreeks("price",$Q23,$P23,$G23,$I23,$C$3,$J23,$K23,$C$4)*R23</f>
        <v>50.029538116642016</v>
      </c>
      <c r="M23" s="15">
        <v>0</v>
      </c>
      <c r="N23" s="13">
        <f t="shared" ref="N23:N26" si="27">M23/10000*I23*P23</f>
        <v>0</v>
      </c>
      <c r="O23" s="13">
        <f>IF(L23&lt;=0,ABS(L23)+N23,L23-N23)</f>
        <v>50.029538116642016</v>
      </c>
      <c r="P23" s="11">
        <f>RTD("wdf.rtq",,D23,"LastPrice")</f>
        <v>3452</v>
      </c>
      <c r="Q23" s="10" t="s">
        <v>85</v>
      </c>
      <c r="R23" s="10">
        <f t="shared" ref="R23:R26" si="28">IF(S23="中金买入",1,-1)</f>
        <v>1</v>
      </c>
      <c r="S23" s="10" t="s">
        <v>151</v>
      </c>
      <c r="T23" s="14">
        <f t="shared" ref="T23:T26" si="29">O23/P23</f>
        <v>1.44929137070226E-2</v>
      </c>
      <c r="U23" s="13">
        <f>_xll.dnetGBlackScholesNGreeks("delta",$Q23,$P23,$G23,$I23,$C$3,$J23,$K23,$C$4)*R23</f>
        <v>-0.37760779196105432</v>
      </c>
      <c r="V23" s="13">
        <f>_xll.dnetGBlackScholesNGreeks("vega",$Q23,$P23,$G23,$I23,$C$3,$J23,$K23,$C$4)*R23</f>
        <v>3.6931979140639442</v>
      </c>
      <c r="X23" s="6">
        <f>1000*U23</f>
        <v>-377.60779196105432</v>
      </c>
    </row>
    <row r="24" spans="1:24" ht="10.5" customHeight="1" x14ac:dyDescent="0.15">
      <c r="A24" s="34"/>
      <c r="B24" s="13" t="s">
        <v>172</v>
      </c>
      <c r="C24" s="10" t="s">
        <v>161</v>
      </c>
      <c r="D24" s="10" t="s">
        <v>212</v>
      </c>
      <c r="E24" s="8">
        <f t="shared" ca="1" si="14"/>
        <v>43203</v>
      </c>
      <c r="F24" s="8">
        <f t="shared" ca="1" si="26"/>
        <v>43265</v>
      </c>
      <c r="G24" s="10">
        <v>3400</v>
      </c>
      <c r="H24" s="10">
        <v>62</v>
      </c>
      <c r="I24" s="12">
        <f>(H24-2)/365</f>
        <v>0.16438356164383561</v>
      </c>
      <c r="J24" s="12">
        <v>0</v>
      </c>
      <c r="K24" s="9">
        <v>0.19</v>
      </c>
      <c r="L24" s="13">
        <f>_xll.dnetGBlackScholesNGreeks("price",$Q24,$P24,$G24,$I24,$C$3,$J24,$K24,$C$4)*R24</f>
        <v>81.031085664663578</v>
      </c>
      <c r="M24" s="15">
        <v>0</v>
      </c>
      <c r="N24" s="13">
        <f t="shared" si="27"/>
        <v>0</v>
      </c>
      <c r="O24" s="13">
        <f>IF(L24&lt;=0,ABS(L24)+N24,L24-N24)</f>
        <v>81.031085664663578</v>
      </c>
      <c r="P24" s="11">
        <f>RTD("wdf.rtq",,D24,"LastPrice")</f>
        <v>3452</v>
      </c>
      <c r="Q24" s="10" t="s">
        <v>85</v>
      </c>
      <c r="R24" s="10">
        <f t="shared" si="28"/>
        <v>1</v>
      </c>
      <c r="S24" s="10" t="s">
        <v>151</v>
      </c>
      <c r="T24" s="14">
        <f t="shared" si="29"/>
        <v>2.3473663286403122E-2</v>
      </c>
      <c r="U24" s="13">
        <f>_xll.dnetGBlackScholesNGreeks("delta",$Q24,$P24,$G24,$I24,$C$3,$J24,$K24,$C$4)*R24</f>
        <v>-0.40555495013450127</v>
      </c>
      <c r="V24" s="13">
        <f>_xll.dnetGBlackScholesNGreeks("vega",$Q24,$P24,$G24,$I24,$C$3,$J24,$K24,$C$4)*R24</f>
        <v>5.4126571550646077</v>
      </c>
      <c r="X24" s="6">
        <f t="shared" ref="X24:X26" si="30">1000*U24</f>
        <v>-405.55495013450127</v>
      </c>
    </row>
    <row r="25" spans="1:24" x14ac:dyDescent="0.15">
      <c r="B25" s="13" t="s">
        <v>172</v>
      </c>
      <c r="C25" s="10" t="s">
        <v>161</v>
      </c>
      <c r="D25" s="10" t="s">
        <v>216</v>
      </c>
      <c r="E25" s="8">
        <f t="shared" ca="1" si="14"/>
        <v>43203</v>
      </c>
      <c r="F25" s="8">
        <f t="shared" ca="1" si="26"/>
        <v>43266</v>
      </c>
      <c r="G25" s="10">
        <v>100</v>
      </c>
      <c r="H25" s="10">
        <v>63</v>
      </c>
      <c r="I25" s="12">
        <f>(H25-2)/365</f>
        <v>0.16712328767123288</v>
      </c>
      <c r="J25" s="12">
        <v>0</v>
      </c>
      <c r="K25" s="9">
        <v>0.1</v>
      </c>
      <c r="L25" s="13">
        <f>_xll.dnetGBlackScholesNGreeks("price",$Q25,$P25,$G25,$I25,$C$3,$J25,$K25,$C$4)*R25</f>
        <v>1.6253492513031418</v>
      </c>
      <c r="M25" s="15">
        <v>0</v>
      </c>
      <c r="N25" s="13">
        <f t="shared" si="27"/>
        <v>0</v>
      </c>
      <c r="O25" s="13">
        <f>IF(L25&lt;=0,ABS(L25)+N25,L25-N25)</f>
        <v>1.6253492513031418</v>
      </c>
      <c r="P25" s="11">
        <v>100</v>
      </c>
      <c r="Q25" s="10" t="s">
        <v>39</v>
      </c>
      <c r="R25" s="10">
        <f t="shared" si="28"/>
        <v>1</v>
      </c>
      <c r="S25" s="10" t="s">
        <v>151</v>
      </c>
      <c r="T25" s="14">
        <f t="shared" si="29"/>
        <v>1.6253492513031417E-2</v>
      </c>
      <c r="U25" s="13">
        <f>_xll.dnetGBlackScholesNGreeks("delta",$Q25,$P25,$G25,$I25,$C$3,$J25,$K25,$C$4)*R25</f>
        <v>0.50645827898030404</v>
      </c>
      <c r="V25" s="13">
        <f>_xll.dnetGBlackScholesNGreeks("vega",$Q25,$P25,$G25,$I25,$C$3,$J25,$K25,$C$4)*R25</f>
        <v>0.16251217713115906</v>
      </c>
      <c r="X25" s="6">
        <f t="shared" si="30"/>
        <v>506.45827898030404</v>
      </c>
    </row>
    <row r="26" spans="1:24" ht="10.5" customHeight="1" x14ac:dyDescent="0.15">
      <c r="A26" s="34"/>
      <c r="B26" s="13" t="s">
        <v>172</v>
      </c>
      <c r="C26" s="10" t="s">
        <v>161</v>
      </c>
      <c r="D26" s="10" t="s">
        <v>216</v>
      </c>
      <c r="E26" s="8">
        <f t="shared" ca="1" si="14"/>
        <v>43203</v>
      </c>
      <c r="F26" s="8">
        <f t="shared" ca="1" si="26"/>
        <v>43266</v>
      </c>
      <c r="G26" s="10">
        <v>100</v>
      </c>
      <c r="H26" s="10">
        <v>63</v>
      </c>
      <c r="I26" s="12">
        <f>(H26-2)/365</f>
        <v>0.16712328767123288</v>
      </c>
      <c r="J26" s="12">
        <v>0</v>
      </c>
      <c r="K26" s="9">
        <v>0.1</v>
      </c>
      <c r="L26" s="13">
        <f>_xll.dnetGBlackScholesNGreeks("price",$Q26,$P26,$G26,$I26,$C$3,$J26,$K26,$C$4)*R26</f>
        <v>1.6253492513031418</v>
      </c>
      <c r="M26" s="15">
        <v>0</v>
      </c>
      <c r="N26" s="13">
        <f t="shared" si="27"/>
        <v>0</v>
      </c>
      <c r="O26" s="13">
        <f>IF(L26&lt;=0,ABS(L26)+N26,L26-N26)</f>
        <v>1.6253492513031418</v>
      </c>
      <c r="P26" s="11">
        <v>100</v>
      </c>
      <c r="Q26" s="10" t="s">
        <v>85</v>
      </c>
      <c r="R26" s="10">
        <f t="shared" si="28"/>
        <v>1</v>
      </c>
      <c r="S26" s="10" t="s">
        <v>151</v>
      </c>
      <c r="T26" s="14">
        <f t="shared" si="29"/>
        <v>1.6253492513031417E-2</v>
      </c>
      <c r="U26" s="13">
        <f>_xll.dnetGBlackScholesNGreeks("delta",$Q26,$P26,$G26,$I26,$C$3,$J26,$K26,$C$4)*R26</f>
        <v>-0.49020483508712687</v>
      </c>
      <c r="V26" s="13">
        <f>_xll.dnetGBlackScholesNGreeks("vega",$Q26,$P26,$G26,$I26,$C$3,$J26,$K26,$C$4)*R26</f>
        <v>0.16251217713115906</v>
      </c>
      <c r="X26" s="6">
        <f t="shared" si="30"/>
        <v>-490.20483508712687</v>
      </c>
    </row>
    <row r="27" spans="1:24" ht="12" customHeight="1" x14ac:dyDescent="0.15">
      <c r="B27" s="13" t="s">
        <v>172</v>
      </c>
      <c r="C27" s="10" t="s">
        <v>161</v>
      </c>
      <c r="D27" s="10" t="s">
        <v>216</v>
      </c>
      <c r="E27" s="8">
        <f t="shared" ca="1" si="14"/>
        <v>43203</v>
      </c>
      <c r="F27" s="8">
        <f t="shared" ref="F27:F28" ca="1" si="31">E27+H27</f>
        <v>43266</v>
      </c>
      <c r="G27" s="10">
        <v>100</v>
      </c>
      <c r="H27" s="10">
        <v>63</v>
      </c>
      <c r="I27" s="12">
        <f>(H27)/365</f>
        <v>0.17260273972602741</v>
      </c>
      <c r="J27" s="12">
        <v>0</v>
      </c>
      <c r="K27" s="9">
        <v>0.15</v>
      </c>
      <c r="L27" s="13">
        <f>_xll.dnetGBlackScholesNGreeks("price",$Q27,$P27,$G27,$I27,$C$3,$J27,$K27,$C$4)*R27</f>
        <v>-2.4771692948766528</v>
      </c>
      <c r="M27" s="15">
        <v>0</v>
      </c>
      <c r="N27" s="13">
        <f t="shared" ref="N27:N28" si="32">M27/10000*I27*P27</f>
        <v>0</v>
      </c>
      <c r="O27" s="13">
        <f>IF(L27&lt;=0,ABS(L27)+N27,L27-N27)</f>
        <v>2.4771692948766528</v>
      </c>
      <c r="P27" s="11">
        <v>100</v>
      </c>
      <c r="Q27" s="10" t="s">
        <v>39</v>
      </c>
      <c r="R27" s="10">
        <f t="shared" ref="R27:R28" si="33">IF(S27="中金买入",1,-1)</f>
        <v>-1</v>
      </c>
      <c r="S27" s="10" t="s">
        <v>20</v>
      </c>
      <c r="T27" s="14">
        <f t="shared" ref="T27:T28" si="34">O27/P27</f>
        <v>2.4771692948766529E-2</v>
      </c>
      <c r="U27" s="13">
        <f>_xll.dnetGBlackScholesNGreeks("delta",$Q27,$P27,$G27,$I27,$C$3,$J27,$K27,$C$4)*R27</f>
        <v>-0.5106627788819651</v>
      </c>
      <c r="V27" s="13">
        <f>_xll.dnetGBlackScholesNGreeks("vega",$Q27,$P27,$G27,$I27,$C$3,$J27,$K27,$C$4)*R27</f>
        <v>-0.1650910621862991</v>
      </c>
      <c r="X27" s="6">
        <f t="shared" ref="X27:X28" si="35">1000*U27</f>
        <v>-510.6627788819651</v>
      </c>
    </row>
    <row r="28" spans="1:24" ht="10.5" customHeight="1" x14ac:dyDescent="0.15">
      <c r="A28" s="34"/>
      <c r="B28" s="13" t="s">
        <v>172</v>
      </c>
      <c r="C28" s="10" t="s">
        <v>161</v>
      </c>
      <c r="D28" s="10" t="s">
        <v>216</v>
      </c>
      <c r="E28" s="8">
        <f t="shared" ca="1" si="14"/>
        <v>43203</v>
      </c>
      <c r="F28" s="8">
        <f t="shared" ca="1" si="31"/>
        <v>43266</v>
      </c>
      <c r="G28" s="10">
        <v>100</v>
      </c>
      <c r="H28" s="10">
        <v>63</v>
      </c>
      <c r="I28" s="12">
        <f>(H28)/365</f>
        <v>0.17260273972602741</v>
      </c>
      <c r="J28" s="12">
        <v>0</v>
      </c>
      <c r="K28" s="9">
        <v>0.15</v>
      </c>
      <c r="L28" s="13">
        <f>_xll.dnetGBlackScholesNGreeks("price",$Q28,$P28,$G28,$I28,$C$3,$J28,$K28,$C$4)*R28</f>
        <v>-2.4771692948766528</v>
      </c>
      <c r="M28" s="15">
        <v>0</v>
      </c>
      <c r="N28" s="13">
        <f t="shared" si="32"/>
        <v>0</v>
      </c>
      <c r="O28" s="13">
        <f>IF(L28&lt;=0,ABS(L28)+N28,L28-N28)</f>
        <v>2.4771692948766528</v>
      </c>
      <c r="P28" s="11">
        <v>100</v>
      </c>
      <c r="Q28" s="10" t="s">
        <v>85</v>
      </c>
      <c r="R28" s="10">
        <f t="shared" si="33"/>
        <v>-1</v>
      </c>
      <c r="S28" s="10" t="s">
        <v>20</v>
      </c>
      <c r="T28" s="14">
        <f t="shared" si="34"/>
        <v>2.4771692948766529E-2</v>
      </c>
      <c r="U28" s="13">
        <f>_xll.dnetGBlackScholesNGreeks("delta",$Q28,$P28,$G28,$I28,$C$3,$J28,$K28,$C$4)*R28</f>
        <v>0.48589111781502936</v>
      </c>
      <c r="V28" s="13">
        <f>_xll.dnetGBlackScholesNGreeks("vega",$Q28,$P28,$G28,$I28,$C$3,$J28,$K28,$C$4)*R28</f>
        <v>-0.1650910621862991</v>
      </c>
      <c r="X28" s="6">
        <f t="shared" si="35"/>
        <v>485.89111781502936</v>
      </c>
    </row>
    <row r="29" spans="1:24" ht="10.5" customHeight="1" x14ac:dyDescent="0.15">
      <c r="A29" s="34"/>
      <c r="B29" s="13"/>
      <c r="C29" s="10"/>
      <c r="D29" s="10"/>
      <c r="E29" s="8"/>
      <c r="F29" s="8"/>
      <c r="G29" s="10"/>
      <c r="H29" s="10"/>
      <c r="I29" s="12"/>
      <c r="J29" s="12"/>
      <c r="K29" s="9"/>
      <c r="L29" s="13"/>
      <c r="M29" s="15"/>
      <c r="N29" s="13" t="s">
        <v>211</v>
      </c>
      <c r="O29" s="13"/>
      <c r="P29" s="11"/>
      <c r="Q29" s="10"/>
      <c r="R29" s="10"/>
      <c r="S29" s="10"/>
      <c r="T29" s="14"/>
      <c r="U29" s="13"/>
      <c r="V29" s="13"/>
    </row>
    <row r="30" spans="1:24" ht="10.5" customHeight="1" x14ac:dyDescent="0.15">
      <c r="A30" s="34"/>
      <c r="B30" s="13" t="s">
        <v>172</v>
      </c>
      <c r="C30" s="10" t="s">
        <v>161</v>
      </c>
      <c r="D30" s="10" t="s">
        <v>194</v>
      </c>
      <c r="E30" s="8">
        <f t="shared" ca="1" si="14"/>
        <v>43203</v>
      </c>
      <c r="F30" s="8">
        <f t="shared" ref="F30" ca="1" si="36">E30+H30</f>
        <v>43248</v>
      </c>
      <c r="G30" s="11">
        <f>P30-300</f>
        <v>3152</v>
      </c>
      <c r="H30" s="10">
        <v>45</v>
      </c>
      <c r="I30" s="12">
        <f>(H30)/365</f>
        <v>0.12328767123287671</v>
      </c>
      <c r="J30" s="12">
        <v>0</v>
      </c>
      <c r="K30" s="9">
        <v>0.27</v>
      </c>
      <c r="L30" s="13">
        <f>_xll.dnetGBlackScholesNGreeks("price",$Q30,$P30,$G30,$I30,$C$3,$J30,$K30,$C$4)*R30</f>
        <v>-28.063659471644883</v>
      </c>
      <c r="M30" s="15">
        <v>70</v>
      </c>
      <c r="N30" s="13">
        <f t="shared" ref="N30" si="37">M30/10000*I30*P30</f>
        <v>2.9791232876712326</v>
      </c>
      <c r="O30" s="13">
        <f>IF(L30&lt;=0,ABS(L30)+N30,L30-N30)</f>
        <v>31.042782759316115</v>
      </c>
      <c r="P30" s="11">
        <f>RTD("wdf.rtq",,D30,"LastPrice")</f>
        <v>3452</v>
      </c>
      <c r="Q30" s="10" t="s">
        <v>85</v>
      </c>
      <c r="R30" s="10">
        <f t="shared" ref="R30" si="38">IF(S30="中金买入",1,-1)</f>
        <v>-1</v>
      </c>
      <c r="S30" s="10" t="s">
        <v>20</v>
      </c>
      <c r="T30" s="14">
        <f t="shared" ref="T30" si="39">O30/P30</f>
        <v>8.9926948897207752E-3</v>
      </c>
      <c r="U30" s="13">
        <f>_xll.dnetGBlackScholesNGreeks("delta",$Q30,$P30,$G30,$I30,$C$3,$J30,$K30,$C$4)*R30</f>
        <v>0.15672374896098518</v>
      </c>
      <c r="V30" s="13">
        <f>_xll.dnetGBlackScholesNGreeks("vega",$Q30,$P30,$G30,$I30,$C$3,$J30,$K30,$C$4)*R30</f>
        <v>-2.9056401742645903</v>
      </c>
      <c r="X30" s="6">
        <f t="shared" ref="X30" si="40">1000*U30</f>
        <v>156.72374896098518</v>
      </c>
    </row>
    <row r="31" spans="1:24" ht="10.5" customHeight="1" x14ac:dyDescent="0.15">
      <c r="A31" s="34"/>
      <c r="B31" s="13"/>
      <c r="C31" s="10"/>
      <c r="D31" s="10"/>
      <c r="E31" s="8"/>
      <c r="F31" s="8"/>
      <c r="G31" s="11"/>
      <c r="H31" s="10"/>
      <c r="I31" s="12"/>
      <c r="J31" s="12"/>
      <c r="K31" s="9"/>
      <c r="L31" s="13"/>
      <c r="M31" s="15"/>
      <c r="N31" s="13"/>
      <c r="O31" s="13"/>
      <c r="P31" s="11"/>
      <c r="Q31" s="10"/>
      <c r="R31" s="10"/>
      <c r="S31" s="10"/>
      <c r="T31" s="14"/>
      <c r="U31" s="13"/>
      <c r="V31" s="13"/>
    </row>
    <row r="32" spans="1:24" ht="10.5" customHeight="1" x14ac:dyDescent="0.15">
      <c r="A32" s="34"/>
      <c r="B32" s="13" t="s">
        <v>172</v>
      </c>
      <c r="C32" s="10" t="s">
        <v>161</v>
      </c>
      <c r="D32" s="10" t="s">
        <v>217</v>
      </c>
      <c r="E32" s="8">
        <f t="shared" ca="1" si="14"/>
        <v>43203</v>
      </c>
      <c r="F32" s="8">
        <f t="shared" ref="F32" ca="1" si="41">E32+H32</f>
        <v>43222</v>
      </c>
      <c r="G32" s="11">
        <v>110000</v>
      </c>
      <c r="H32" s="10">
        <v>19</v>
      </c>
      <c r="I32" s="12">
        <f>(H32)/365</f>
        <v>5.2054794520547946E-2</v>
      </c>
      <c r="J32" s="12">
        <v>0</v>
      </c>
      <c r="K32" s="9">
        <v>0.27500000000000002</v>
      </c>
      <c r="L32" s="13">
        <f>_xll.dnetGBlackScholesNGreeks("price",$Q32,$P32,$G32,$I32,$C$3,$J32,$K32,$C$4)*R32</f>
        <v>-716.15819670335986</v>
      </c>
      <c r="M32" s="15">
        <v>70</v>
      </c>
      <c r="N32" s="13">
        <v>0</v>
      </c>
      <c r="O32" s="13">
        <f>IF(L32&lt;=0,ABS(L32)+N32,L32-N32)</f>
        <v>716.15819670335986</v>
      </c>
      <c r="P32" s="11">
        <f>RTD("wdf.rtq",,D32,"LastPrice")</f>
        <v>104180</v>
      </c>
      <c r="Q32" s="10" t="s">
        <v>39</v>
      </c>
      <c r="R32" s="10">
        <f t="shared" ref="R32" si="42">IF(S32="中金买入",1,-1)</f>
        <v>-1</v>
      </c>
      <c r="S32" s="10" t="s">
        <v>20</v>
      </c>
      <c r="T32" s="14">
        <f t="shared" ref="T32" si="43">O32/P32</f>
        <v>6.874238785787674E-3</v>
      </c>
      <c r="U32" s="13">
        <f>_xll.dnetGBlackScholesNGreeks("delta",$Q32,$P32,$G32,$I32,$C$3,$J32,$K32,$C$4)*R32</f>
        <v>-0.20164103625575081</v>
      </c>
      <c r="V32" s="13">
        <f>_xll.dnetGBlackScholesNGreeks("vega",$Q32,$P32,$G32,$I32,$C$3,$J32,$K32,$C$4)*R32</f>
        <v>-66.81903512208919</v>
      </c>
      <c r="X32" s="6">
        <f>250*U32</f>
        <v>-50.410259063937701</v>
      </c>
    </row>
    <row r="35" spans="6:24" x14ac:dyDescent="0.15">
      <c r="F35" s="113"/>
      <c r="N35" s="6">
        <f>O25*2</f>
        <v>3.2506985026062836</v>
      </c>
      <c r="X35" s="6">
        <v>100</v>
      </c>
    </row>
    <row r="36" spans="6:24" x14ac:dyDescent="0.15">
      <c r="N36" s="6">
        <f>O28*2</f>
        <v>4.9543385897533057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S11 S13:S32</xm:sqref>
        </x14:dataValidation>
        <x14:dataValidation type="list" allowBlank="1" showInputMessage="1" showErrorMessage="1">
          <x14:formula1>
            <xm:f>configs!$C$1:$C$2</xm:f>
          </x14:formula1>
          <xm:sqref>Q8:Q9 Q11 Q13:Q32</xm:sqref>
        </x14:dataValidation>
        <x14:dataValidation type="list" allowBlank="1" showInputMessage="1">
          <x14:formula1>
            <xm:f>configs!$A$1:$A$36</xm:f>
          </x14:formula1>
          <xm:sqref>C8:C9 C11 C13:C32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13"/>
  <sheetViews>
    <sheetView zoomScale="85" zoomScaleNormal="85" workbookViewId="0">
      <selection activeCell="G21" sqref="G21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39" t="s">
        <v>37</v>
      </c>
      <c r="C1" s="138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43203</v>
      </c>
      <c r="F8" s="46">
        <f ca="1">E8+H8</f>
        <v>43233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43203</v>
      </c>
      <c r="F9" s="54">
        <f ca="1">F8</f>
        <v>43233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43203</v>
      </c>
      <c r="F10" s="62">
        <f ca="1">F9</f>
        <v>43233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202</v>
      </c>
      <c r="E11" s="46">
        <f ca="1">TODAY()</f>
        <v>43203</v>
      </c>
      <c r="F11" s="46">
        <f ca="1">E11+H11</f>
        <v>43218</v>
      </c>
      <c r="G11" s="114">
        <f>P11-20</f>
        <v>433.5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-3.5844507732676618</v>
      </c>
      <c r="M11" s="49"/>
      <c r="N11" s="43"/>
      <c r="O11" s="43">
        <f t="shared" ref="O11:O13" si="1">IF(L11&lt;=0,ABS(L11)+N11,L11-N11)</f>
        <v>3.5844507732676618</v>
      </c>
      <c r="P11" s="110">
        <f>RTD("wdf.rtq",,D11,"LastPrice")</f>
        <v>453.5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0.21986399197047035</v>
      </c>
      <c r="V11" s="43">
        <f>_xll.dnetGBlackScholesNGreeks("vega",$Q11,$P11,$G11,$I11,$C$3,$J11,$K11,$C$4)*R11</f>
        <v>-0.27195097900852971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202</v>
      </c>
      <c r="E12" s="54">
        <f t="shared" ref="E12:F12" ca="1" si="2">E11</f>
        <v>43203</v>
      </c>
      <c r="F12" s="54">
        <f t="shared" ca="1" si="2"/>
        <v>43218</v>
      </c>
      <c r="G12" s="52">
        <f>G11+50</f>
        <v>483.5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1.9260774330889703</v>
      </c>
      <c r="M12" s="57"/>
      <c r="N12" s="51"/>
      <c r="O12" s="51">
        <f t="shared" si="1"/>
        <v>1.9260774330889703</v>
      </c>
      <c r="P12" s="94">
        <f>P11</f>
        <v>453.5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0.14440921857499234</v>
      </c>
      <c r="V12" s="51">
        <f>_xll.dnetGBlackScholesNGreeks("vega",$Q12,$P12,$G12,$I12,$C$3,$J12,$K12,$C$4)*R12</f>
        <v>0.20881789295373565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43203</v>
      </c>
      <c r="F13" s="62">
        <f t="shared" ca="1" si="3"/>
        <v>43218</v>
      </c>
      <c r="G13" s="60" t="str">
        <f>G11 &amp; "|" &amp; G12</f>
        <v>433.5|483.5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-1.6583733401786915</v>
      </c>
      <c r="M13" s="60">
        <v>0</v>
      </c>
      <c r="N13" s="59">
        <f>M13/10000*I13*P13</f>
        <v>0</v>
      </c>
      <c r="O13" s="59">
        <f t="shared" si="1"/>
        <v>1.6583733401786915</v>
      </c>
      <c r="P13" s="111">
        <f>P12</f>
        <v>453.5</v>
      </c>
      <c r="Q13" s="60"/>
      <c r="R13" s="60"/>
      <c r="S13" s="56" t="s">
        <v>151</v>
      </c>
      <c r="T13" s="64">
        <f>O13/P13</f>
        <v>3.6568320621360342E-3</v>
      </c>
      <c r="U13" s="64">
        <f>U12+U11</f>
        <v>0.36427321054546269</v>
      </c>
      <c r="V13" s="64">
        <f>V12+V11</f>
        <v>-6.3133086054794063E-2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C8:C13</xm:sqref>
        </x14:dataValidation>
        <x14:dataValidation type="list" allowBlank="1" showInputMessage="1" showErrorMessage="1">
          <x14:formula1>
            <xm:f>configs!$C$1:$C$2</xm:f>
          </x14:formula1>
          <xm:sqref>Q8:Q13</xm:sqref>
        </x14:dataValidation>
        <x14:dataValidation type="list" allowBlank="1" showInputMessage="1" showErrorMessage="1">
          <x14:formula1>
            <xm:f>configs!$B$1:$B$2</xm:f>
          </x14:formula1>
          <xm:sqref>S8:S13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3" workbookViewId="0">
      <selection activeCell="I24" sqref="I2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K23" sqref="K23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38" t="s">
        <v>38</v>
      </c>
      <c r="C1" s="138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3715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36">
        <v>0.02</v>
      </c>
      <c r="M8" s="21">
        <f ca="1">TODAY()</f>
        <v>43203</v>
      </c>
      <c r="N8" s="21">
        <f ca="1">M8+O8</f>
        <v>43233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-38.822774342202905</v>
      </c>
      <c r="T8" s="25">
        <v>80</v>
      </c>
      <c r="U8" s="24">
        <f>T8/10000*P8*H8</f>
        <v>2.4427397260273973</v>
      </c>
      <c r="V8" s="24">
        <f>IF(S8&lt;=0,ABS(S8)+U8,S8-U8)</f>
        <v>41.265514068230303</v>
      </c>
      <c r="W8" s="26">
        <f>V8/H8</f>
        <v>1.1107809977989314E-2</v>
      </c>
      <c r="X8" s="24">
        <f>_xll.dnetStandardBarrierNGreeks("delta",G8,H8,I8,K8,L8*H8,P8,$C$3,Q8,R8,$C$4)</f>
        <v>0.14867682504480229</v>
      </c>
      <c r="Y8" s="24">
        <f>_xll.dnetStandardBarrierNGreeks("vega",G8,H8,I8,K8,L8*H8,P8,$C$3,Q8,R8,$C$4)</f>
        <v>0.90161275520799933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43203</v>
      </c>
      <c r="N9" s="8">
        <f ca="1">M9+O9</f>
        <v>43383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37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37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N9" sqref="N9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0" t="s">
        <v>37</v>
      </c>
      <c r="C1" s="140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3715</v>
      </c>
      <c r="I8" s="19">
        <v>3800</v>
      </c>
      <c r="J8" s="21">
        <f ca="1">TODAY()</f>
        <v>43203</v>
      </c>
      <c r="K8" s="21">
        <f ca="1">J8+L8</f>
        <v>43233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91.933239494241434</v>
      </c>
      <c r="P8" s="25">
        <v>80</v>
      </c>
      <c r="Q8" s="24">
        <f>P8/10000*M8*H8*(-E8)</f>
        <v>2.4427397260273973</v>
      </c>
      <c r="R8" s="24">
        <f>O8+Q8</f>
        <v>94.375979220268832</v>
      </c>
      <c r="S8" s="26">
        <f>R8/H8</f>
        <v>2.5404032091593226E-2</v>
      </c>
      <c r="T8" s="24">
        <f>_xll.dnetGBlackScholesNGreeks("delta",$G8,$H8,$I8,$M8,$C$3,$C$4,$N8,$C$4)</f>
        <v>0.41630867082176337</v>
      </c>
      <c r="U8" s="24">
        <f>_xll.dnetGBlackScholesNGreeks("vega",$G8,$H8,$I8,$M8,$C$3,$C$4,$N8)</f>
        <v>4.1523293623303061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43203</v>
      </c>
      <c r="K9" s="8">
        <f ca="1">J9+L9</f>
        <v>43233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43203</v>
      </c>
      <c r="K10" s="8">
        <f ca="1">J10+L10</f>
        <v>43233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2018-04-13T07:28:18Z</dcterms:modified>
</cp:coreProperties>
</file>