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firstSheet="1" activeTab="1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D28" i="2" l="1"/>
  <c r="F12" i="9" l="1"/>
  <c r="F13" i="9" s="1"/>
  <c r="G31" i="6" l="1"/>
  <c r="I13" i="9"/>
  <c r="L12" i="9"/>
  <c r="L13" i="9" s="1"/>
  <c r="H13" i="9"/>
  <c r="E12" i="9"/>
  <c r="M11" i="9"/>
  <c r="J11" i="9"/>
  <c r="J12" i="9" s="1"/>
  <c r="J13" i="9" s="1"/>
  <c r="E11" i="9"/>
  <c r="V11" i="9"/>
  <c r="M12" i="9" l="1"/>
  <c r="K11" i="9"/>
  <c r="K12" i="9" s="1"/>
  <c r="K13" i="9" s="1"/>
  <c r="M15" i="1"/>
  <c r="R15" i="1" s="1"/>
  <c r="M14" i="1"/>
  <c r="R14" i="1" s="1"/>
  <c r="J15" i="1"/>
  <c r="K15" i="1" s="1"/>
  <c r="E15" i="1"/>
  <c r="J14" i="1"/>
  <c r="K14" i="1" s="1"/>
  <c r="E14" i="1"/>
  <c r="U12" i="9"/>
  <c r="U11" i="9"/>
  <c r="V12" i="9"/>
  <c r="U15" i="1"/>
  <c r="V14" i="1"/>
  <c r="P11" i="9"/>
  <c r="P12" i="9"/>
  <c r="S12" i="9" l="1"/>
  <c r="M13" i="9"/>
  <c r="R13" i="9" s="1"/>
  <c r="U13" i="9"/>
  <c r="V13" i="9"/>
  <c r="S11" i="9"/>
  <c r="P13" i="9"/>
  <c r="M13" i="1"/>
  <c r="M12" i="1"/>
  <c r="M11" i="1"/>
  <c r="M10" i="1"/>
  <c r="J13" i="1"/>
  <c r="K13" i="1" s="1"/>
  <c r="E13" i="1"/>
  <c r="J12" i="1"/>
  <c r="K12" i="1" s="1"/>
  <c r="E12" i="1"/>
  <c r="V15" i="1"/>
  <c r="U14" i="1"/>
  <c r="H13" i="1"/>
  <c r="P15" i="1"/>
  <c r="P14" i="1"/>
  <c r="H10" i="1"/>
  <c r="H12" i="1"/>
  <c r="H11" i="1"/>
  <c r="P12" i="1"/>
  <c r="S13" i="9" l="1"/>
  <c r="T13" i="9" s="1"/>
  <c r="S15" i="1"/>
  <c r="T15" i="1" s="1"/>
  <c r="S14" i="1"/>
  <c r="T14" i="1" s="1"/>
  <c r="R12" i="1"/>
  <c r="S12" i="1" s="1"/>
  <c r="T12" i="1" s="1"/>
  <c r="R13" i="1"/>
  <c r="J11" i="1"/>
  <c r="K11" i="1" s="1"/>
  <c r="E11" i="1"/>
  <c r="J10" i="1"/>
  <c r="K10" i="1" s="1"/>
  <c r="E10" i="1"/>
  <c r="U12" i="1"/>
  <c r="V13" i="1"/>
  <c r="P13" i="1"/>
  <c r="U13" i="1"/>
  <c r="V12" i="1"/>
  <c r="V11" i="1"/>
  <c r="V10" i="1"/>
  <c r="S13" i="1" l="1"/>
  <c r="T13" i="1" s="1"/>
  <c r="R11" i="1"/>
  <c r="R10" i="1"/>
  <c r="U11" i="1"/>
  <c r="P11" i="1"/>
  <c r="P10" i="1"/>
  <c r="U10" i="1"/>
  <c r="S11" i="1" l="1"/>
  <c r="T11" i="1" s="1"/>
  <c r="S10" i="1"/>
  <c r="T10" i="1" s="1"/>
  <c r="N9" i="9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U8" i="9"/>
  <c r="V9" i="9"/>
  <c r="P8" i="9"/>
  <c r="P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H8" i="7"/>
  <c r="H8" i="8"/>
  <c r="O9" i="7"/>
  <c r="O10" i="7"/>
  <c r="T9" i="7"/>
  <c r="K9" i="8"/>
  <c r="U10" i="7"/>
  <c r="T10" i="7"/>
  <c r="U8" i="8" l="1"/>
  <c r="Q9" i="7"/>
  <c r="R9" i="7" s="1"/>
  <c r="S9" i="7" s="1"/>
  <c r="Q10" i="7"/>
  <c r="R10" i="7" s="1"/>
  <c r="S10" i="7" s="1"/>
  <c r="Q8" i="7"/>
  <c r="U8" i="7"/>
  <c r="X9" i="8"/>
  <c r="Y9" i="8"/>
  <c r="T8" i="7"/>
  <c r="O8" i="7"/>
  <c r="K8" i="8"/>
  <c r="S9" i="8"/>
  <c r="V9" i="8" l="1"/>
  <c r="W9" i="8" s="1"/>
  <c r="R8" i="7"/>
  <c r="S8" i="7" s="1"/>
  <c r="Y8" i="8"/>
  <c r="X8" i="8"/>
  <c r="S8" i="8"/>
  <c r="V8" i="8" l="1"/>
  <c r="W8" i="8" s="1"/>
  <c r="E9" i="1"/>
  <c r="E8" i="1"/>
  <c r="M9" i="1" l="1"/>
  <c r="J9" i="1"/>
  <c r="K9" i="1" s="1"/>
  <c r="M8" i="1"/>
  <c r="J8" i="1"/>
  <c r="K8" i="1" s="1"/>
  <c r="U9" i="1"/>
  <c r="P9" i="1"/>
  <c r="H8" i="1"/>
  <c r="V9" i="1"/>
  <c r="R8" i="1" l="1"/>
  <c r="R9" i="1"/>
  <c r="S9" i="1" s="1"/>
  <c r="T9" i="1" s="1"/>
  <c r="V8" i="1"/>
  <c r="U8" i="1"/>
  <c r="P8" i="1"/>
  <c r="S8" i="1" l="1"/>
  <c r="T8" i="1" s="1"/>
</calcChain>
</file>

<file path=xl/sharedStrings.xml><?xml version="1.0" encoding="utf-8"?>
<sst xmlns="http://schemas.openxmlformats.org/spreadsheetml/2006/main" count="519" uniqueCount="232">
  <si>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</si>
  <si>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</si>
  <si>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</si>
  <si>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</si>
  <si>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</si>
  <si>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</si>
  <si>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</si>
  <si>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</si>
  <si>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</si>
  <si>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</si>
  <si>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</si>
  <si>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</si>
  <si>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</si>
  <si>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</si>
  <si>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</si>
  <si>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</si>
  <si>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</si>
  <si>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</si>
  <si>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</si>
  <si>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</si>
  <si>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</si>
  <si>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</si>
  <si>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</si>
  <si>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</si>
  <si>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</si>
  <si>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</si>
  <si>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</si>
  <si>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</si>
  <si>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</si>
  <si>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</si>
  <si>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</si>
  <si>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</si>
  <si>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</si>
  <si>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</si>
  <si>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</si>
  <si>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</si>
  <si>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</si>
  <si>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</si>
  <si>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</si>
  <si>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</si>
  <si>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</si>
  <si>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</si>
  <si>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</si>
  <si>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</si>
  <si>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</si>
  <si>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</si>
  <si>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</si>
  <si>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</si>
  <si>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</si>
  <si>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</si>
  <si>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</si>
  <si>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</si>
  <si>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</si>
  <si>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</si>
  <si>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</si>
  <si>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</si>
  <si>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</si>
  <si>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</si>
  <si>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</si>
  <si>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</si>
  <si>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</si>
  <si>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</si>
  <si>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</si>
  <si>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</si>
  <si>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</si>
  <si>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</si>
  <si>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</si>
  <si>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</si>
  <si>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</si>
  <si>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</si>
  <si>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</si>
  <si>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</si>
  <si>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</si>
  <si>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</si>
  <si>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</si>
  <si>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</si>
  <si>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</si>
  <si>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</si>
  <si>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</si>
  <si>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</si>
  <si>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</si>
  <si>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</si>
  <si>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</si>
  <si>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</si>
  <si>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</si>
  <si>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</si>
  <si>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</si>
  <si>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</si>
  <si>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</si>
  <si>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</si>
  <si>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</si>
  <si>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</si>
  <si>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</si>
  <si>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</si>
  <si>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</si>
  <si>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</si>
  <si>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</si>
  <si>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</si>
  <si>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</si>
  <si>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</si>
  <si>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</si>
  <si>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</si>
  <si>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</si>
  <si>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</si>
  <si>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</si>
  <si>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</si>
  <si>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</si>
  <si>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</si>
  <si>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</si>
  <si>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</si>
  <si>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</si>
  <si>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</si>
  <si>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</si>
  <si>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</si>
  <si>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</si>
  <si>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</si>
  <si>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</si>
  <si>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</si>
  <si>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</si>
  <si>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</si>
  <si>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</si>
  <si>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</si>
  <si>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</si>
  <si>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</si>
  <si>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</si>
  <si>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</si>
  <si>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</si>
  <si>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</si>
  <si>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</si>
  <si>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</si>
  <si>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</si>
  <si>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</si>
  <si>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</si>
  <si>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</si>
  <si>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</si>
  <si>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</si>
  <si>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</si>
  <si>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</si>
  <si>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</si>
  <si>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</si>
  <si>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</si>
  <si>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</si>
  <si>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</si>
  <si>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</si>
  <si>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</si>
  <si>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</si>
  <si>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</si>
  <si>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</si>
  <si>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</si>
  <si>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</si>
  <si>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</si>
  <si>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</si>
  <si>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</si>
  <si>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</si>
  <si>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</si>
  <si>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</si>
  <si>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</si>
  <si>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</si>
  <si>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</si>
  <si>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</si>
  <si>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</si>
  <si>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</si>
  <si>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</si>
  <si>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</si>
  <si>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</si>
  <si>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</si>
  <si>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</si>
  <si>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</si>
  <si>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</si>
  <si>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</si>
  <si>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</si>
  <si>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</si>
  <si>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</si>
  <si>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</si>
  <si>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</si>
  <si>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</si>
  <si>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</si>
  <si>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</si>
  <si>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</si>
  <si>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</si>
  <si>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</si>
  <si>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</si>
  <si>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</si>
  <si>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</si>
  <si>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</si>
  <si>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</si>
  <si>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</si>
  <si>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</si>
  <si>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</si>
  <si>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</si>
  <si>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</si>
  <si>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</si>
  <si>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</si>
  <si>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</si>
  <si>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</si>
  <si>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</si>
  <si>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</si>
  <si>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</si>
  <si>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</si>
  <si>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</si>
  <si>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</si>
  <si>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</si>
  <si>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</si>
  <si>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</si>
  <si>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</si>
  <si>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</si>
  <si>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RB1810</t>
    <phoneticPr fontId="1" type="noConversion"/>
  </si>
  <si>
    <t>TWGJ</t>
    <phoneticPr fontId="1" type="noConversion"/>
  </si>
  <si>
    <t>TWGJ</t>
  </si>
  <si>
    <t>cf1805</t>
  </si>
  <si>
    <t>cf1805</t>
    <phoneticPr fontId="1" type="noConversion"/>
  </si>
  <si>
    <t>3791|3291</t>
  </si>
  <si>
    <t>put sprd</t>
    <phoneticPr fontId="1" type="noConversion"/>
  </si>
  <si>
    <t>au9999</t>
    <phoneticPr fontId="1" type="noConversion"/>
  </si>
  <si>
    <t xml:space="preserve">行权确认 </t>
  </si>
  <si>
    <t>成交回报（行权 ）</t>
  </si>
  <si>
    <t>买方：</t>
  </si>
  <si>
    <t>买方行权日：</t>
  </si>
  <si>
    <t>20170927-CICC-ZKHM-TA805-VAN-C-91</t>
  </si>
  <si>
    <t>期权合约编码：</t>
  </si>
  <si>
    <t>标的：</t>
  </si>
  <si>
    <t>交易量（吨）：</t>
  </si>
  <si>
    <t>结算货币：</t>
  </si>
  <si>
    <t>期初价格：</t>
  </si>
  <si>
    <t>行权价：</t>
  </si>
  <si>
    <t>到期日：</t>
  </si>
  <si>
    <t>结构：</t>
  </si>
  <si>
    <t>卖方：</t>
  </si>
  <si>
    <t>中凯鸿鸣</t>
  </si>
  <si>
    <t>中金公司</t>
  </si>
  <si>
    <t>TA805</t>
  </si>
  <si>
    <t>买方行权价：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</si>
</sst>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0.0000"/>
    <numFmt numFmtId="165" formatCode="0.0000"/>
    <numFmt numFmtId="166" formatCode="###,###,##0"/>
  </numFmts>
  <fonts count="3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b/>
      <sz val="11"/>
      <color theme="3" tint="0.39997558519241921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Calibri"/>
      <family val="3"/>
      <charset val="134"/>
      <scheme val="minor"/>
    </font>
    <font>
      <b/>
      <sz val="10"/>
      <color theme="4" tint="-0.249977111117893"/>
      <name val="Calibri"/>
      <family val="3"/>
      <charset val="134"/>
      <scheme val="minor"/>
    </font>
    <font>
      <b/>
      <sz val="10"/>
      <color theme="5" tint="-0.249977111117893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Calibri"/>
      <family val="3"/>
      <charset val="134"/>
      <scheme val="minor"/>
    </font>
    <font>
      <b/>
      <sz val="11"/>
      <color theme="4" tint="-0.499984740745262"/>
      <name val="Calibri"/>
      <family val="2"/>
      <scheme val="minor"/>
    </font>
    <font>
      <sz val="9"/>
      <color rgb="FFC00000"/>
      <name val="Calibri"/>
      <family val="3"/>
      <charset val="134"/>
      <scheme val="minor"/>
    </font>
    <font>
      <sz val="9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Calibri"/>
      <family val="2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sz val="10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66" fontId="5" fillId="9" borderId="2" xfId="0" applyNumberFormat="1" applyFont="1" applyFill="1" applyBorder="1"/>
    <xf numFmtId="165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64" fontId="5" fillId="9" borderId="6" xfId="0" applyNumberFormat="1" applyFont="1" applyFill="1" applyBorder="1"/>
    <xf numFmtId="14" fontId="5" fillId="5" borderId="6" xfId="0" applyNumberFormat="1" applyFont="1" applyFill="1" applyBorder="1"/>
    <xf numFmtId="165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66" fontId="4" fillId="9" borderId="2" xfId="0" applyNumberFormat="1" applyFont="1" applyFill="1" applyBorder="1"/>
    <xf numFmtId="14" fontId="4" fillId="5" borderId="2" xfId="0" applyNumberFormat="1" applyFont="1" applyFill="1" applyBorder="1"/>
    <xf numFmtId="165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65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6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64" fontId="21" fillId="9" borderId="6" xfId="0" applyNumberFormat="1" applyFont="1" applyFill="1" applyBorder="1"/>
    <xf numFmtId="14" fontId="21" fillId="5" borderId="6" xfId="0" applyNumberFormat="1" applyFont="1" applyFill="1" applyBorder="1"/>
    <xf numFmtId="165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66" fontId="21" fillId="9" borderId="2" xfId="0" applyNumberFormat="1" applyFont="1" applyFill="1" applyBorder="1"/>
    <xf numFmtId="14" fontId="21" fillId="5" borderId="2" xfId="0" applyNumberFormat="1" applyFont="1" applyFill="1" applyBorder="1"/>
    <xf numFmtId="165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66" fontId="21" fillId="12" borderId="2" xfId="0" applyNumberFormat="1" applyFont="1" applyFill="1" applyBorder="1"/>
    <xf numFmtId="14" fontId="21" fillId="12" borderId="2" xfId="0" applyNumberFormat="1" applyFont="1" applyFill="1" applyBorder="1"/>
    <xf numFmtId="165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10" xfId="0" applyNumberFormat="1" applyFont="1" applyFill="1" applyBorder="1" applyAlignment="1">
      <alignment horizontal="right" vertical="center" wrapText="1"/>
    </xf>
    <xf numFmtId="0" fontId="25" fillId="13" borderId="10" xfId="0" applyFont="1" applyFill="1" applyBorder="1" applyAlignment="1">
      <alignment vertical="center" wrapText="1"/>
    </xf>
    <xf numFmtId="0" fontId="24" fillId="13" borderId="10" xfId="0" applyFont="1" applyFill="1" applyBorder="1" applyAlignment="1">
      <alignment vertical="center" wrapText="1"/>
    </xf>
    <xf numFmtId="0" fontId="25" fillId="13" borderId="11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14" borderId="13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2" fontId="28" fillId="9" borderId="2" xfId="2" applyNumberFormat="1" applyFill="1" applyBorder="1"/>
    <xf numFmtId="10" fontId="26" fillId="0" borderId="13" xfId="0" applyNumberFormat="1" applyFont="1" applyBorder="1" applyAlignment="1">
      <alignment horizontal="right" vertical="center" wrapText="1"/>
    </xf>
    <xf numFmtId="0" fontId="29" fillId="14" borderId="12" xfId="0" applyFont="1" applyFill="1" applyBorder="1" applyAlignment="1">
      <alignment horizontal="right" vertical="center" wrapText="1"/>
    </xf>
    <xf numFmtId="0" fontId="29" fillId="14" borderId="13" xfId="0" applyFont="1" applyFill="1" applyBorder="1" applyAlignment="1">
      <alignment horizontal="right" vertical="center" wrapText="1"/>
    </xf>
    <xf numFmtId="0" fontId="27" fillId="0" borderId="13" xfId="0" applyFont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10" fontId="26" fillId="14" borderId="13" xfId="0" applyNumberFormat="1" applyFont="1" applyFill="1" applyBorder="1" applyAlignment="1">
      <alignment horizontal="right" vertical="center" wrapText="1"/>
    </xf>
    <xf numFmtId="0" fontId="29" fillId="0" borderId="12" xfId="0" applyFont="1" applyBorder="1" applyAlignment="1">
      <alignment horizontal="right" vertical="center" wrapText="1"/>
    </xf>
    <xf numFmtId="0" fontId="29" fillId="0" borderId="13" xfId="0" applyFont="1" applyBorder="1" applyAlignment="1">
      <alignment horizontal="right" vertical="center" wrapText="1"/>
    </xf>
    <xf numFmtId="0" fontId="30" fillId="14" borderId="12" xfId="0" applyFont="1" applyFill="1" applyBorder="1" applyAlignment="1">
      <alignment vertical="center" wrapText="1"/>
    </xf>
    <xf numFmtId="0" fontId="30" fillId="14" borderId="13" xfId="0" applyFont="1" applyFill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13" xfId="0" applyFont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9" fillId="10" borderId="1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10" borderId="14" xfId="0" applyFont="1" applyFill="1" applyBorder="1" applyAlignment="1">
      <alignment horizontal="left" vertical="center"/>
    </xf>
    <xf numFmtId="0" fontId="31" fillId="10" borderId="3" xfId="0" applyFont="1" applyFill="1" applyBorder="1" applyAlignment="1">
      <alignment horizontal="right" vertical="center" wrapText="1"/>
    </xf>
    <xf numFmtId="0" fontId="31" fillId="10" borderId="0" xfId="0" applyFont="1" applyFill="1" applyBorder="1" applyAlignment="1">
      <alignment horizontal="right" vertical="center"/>
    </xf>
    <xf numFmtId="14" fontId="7" fillId="10" borderId="5" xfId="0" applyNumberFormat="1" applyFont="1" applyFill="1" applyBorder="1" applyAlignment="1">
      <alignment horizontal="right"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3822</v>
        <stp/>
        <stp>RB1805</stp>
        <stp>LastPrice</stp>
        <tr r="H8" s="1"/>
        <tr r="H8" s="8"/>
        <tr r="H8" s="7"/>
      </tp>
      <tp>
        <v>3626</v>
        <stp/>
        <stp>RB1810</stp>
        <stp>LastPrice</stp>
        <tr r="H11" s="1"/>
        <tr r="H12" s="1"/>
        <tr r="H10" s="1"/>
        <tr r="H1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1"/>
  <sheetViews>
    <sheetView zoomScaleNormal="100" workbookViewId="0">
      <selection activeCell="I25" sqref="I25"/>
    </sheetView>
  </sheetViews>
  <sheetFormatPr defaultColWidth="9" defaultRowHeight="12"/>
  <cols>
    <col min="1" max="1" width="9" style="6"/>
    <col min="2" max="2" width="10.44140625" style="6" customWidth="1"/>
    <col min="3" max="3" width="8.77734375" style="6" hidden="1" customWidth="1"/>
    <col min="4" max="6" width="9" style="6"/>
    <col min="7" max="7" width="13.44140625" style="6" customWidth="1"/>
    <col min="8" max="8" width="11.21875" style="6" customWidth="1"/>
    <col min="9" max="9" width="11.109375" style="6" customWidth="1"/>
    <col min="10" max="10" width="9" style="6"/>
    <col min="11" max="15" width="9" style="6" hidden="1" customWidth="1"/>
    <col min="16" max="16" width="10.77734375" style="6" hidden="1" customWidth="1"/>
    <col min="17" max="16384" width="9" style="6"/>
  </cols>
  <sheetData>
    <row r="1" spans="1:17" ht="14.25" customHeight="1" thickBot="1">
      <c r="B1" s="123" t="s">
        <v>157</v>
      </c>
      <c r="C1" s="123"/>
      <c r="D1" s="123"/>
    </row>
    <row r="2" spans="1:17" ht="12.6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158</v>
      </c>
      <c r="C4" s="49"/>
      <c r="D4" s="49" t="s">
        <v>159</v>
      </c>
      <c r="E4" s="49" t="s">
        <v>160</v>
      </c>
      <c r="F4" s="49" t="s">
        <v>161</v>
      </c>
      <c r="G4" s="49" t="s">
        <v>7</v>
      </c>
      <c r="H4" s="49" t="s">
        <v>162</v>
      </c>
      <c r="I4" s="49" t="s">
        <v>10</v>
      </c>
      <c r="J4" s="49" t="s">
        <v>163</v>
      </c>
      <c r="K4" s="49" t="s">
        <v>164</v>
      </c>
      <c r="L4" s="49" t="s">
        <v>165</v>
      </c>
      <c r="M4" s="49" t="s">
        <v>166</v>
      </c>
      <c r="N4" s="49" t="s">
        <v>167</v>
      </c>
      <c r="O4" s="49" t="s">
        <v>26</v>
      </c>
      <c r="P4" s="49" t="s">
        <v>168</v>
      </c>
      <c r="Q4" s="49" t="s">
        <v>169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170</v>
      </c>
      <c r="C6" s="49"/>
      <c r="D6" s="49" t="s">
        <v>171</v>
      </c>
      <c r="E6" s="49" t="s">
        <v>172</v>
      </c>
      <c r="F6" s="49" t="s">
        <v>173</v>
      </c>
      <c r="G6" s="49" t="s">
        <v>174</v>
      </c>
      <c r="H6" s="49" t="s">
        <v>175</v>
      </c>
      <c r="I6" s="49" t="s">
        <v>176</v>
      </c>
      <c r="J6" s="49" t="s">
        <v>177</v>
      </c>
      <c r="K6" s="49" t="s">
        <v>178</v>
      </c>
      <c r="L6" s="49" t="s">
        <v>179</v>
      </c>
      <c r="M6" s="49" t="s">
        <v>180</v>
      </c>
      <c r="N6" s="49" t="s">
        <v>181</v>
      </c>
      <c r="O6" s="49" t="s">
        <v>182</v>
      </c>
      <c r="P6" s="49" t="s">
        <v>183</v>
      </c>
      <c r="Q6" s="49" t="s">
        <v>184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170</v>
      </c>
      <c r="C11" s="49"/>
      <c r="D11" s="49" t="s">
        <v>171</v>
      </c>
      <c r="E11" s="49" t="s">
        <v>172</v>
      </c>
      <c r="F11" s="49" t="s">
        <v>173</v>
      </c>
      <c r="G11" s="49" t="s">
        <v>174</v>
      </c>
      <c r="H11" s="49" t="s">
        <v>175</v>
      </c>
      <c r="I11" s="49" t="s">
        <v>176</v>
      </c>
      <c r="J11" s="49" t="s">
        <v>177</v>
      </c>
      <c r="K11" s="49" t="s">
        <v>178</v>
      </c>
      <c r="L11" s="49" t="s">
        <v>179</v>
      </c>
      <c r="M11" s="49" t="s">
        <v>180</v>
      </c>
      <c r="N11" s="49" t="s">
        <v>181</v>
      </c>
      <c r="O11" s="49" t="s">
        <v>182</v>
      </c>
      <c r="P11" s="49" t="s">
        <v>183</v>
      </c>
      <c r="Q11" s="49" t="s">
        <v>184</v>
      </c>
    </row>
    <row r="12" spans="1:17">
      <c r="B12" s="55" t="s">
        <v>150</v>
      </c>
      <c r="C12" s="55">
        <v>1</v>
      </c>
      <c r="D12" s="55" t="s">
        <v>205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160</v>
      </c>
      <c r="F13" s="49" t="s">
        <v>8</v>
      </c>
      <c r="G13" s="49" t="s">
        <v>7</v>
      </c>
      <c r="H13" s="49" t="s">
        <v>162</v>
      </c>
      <c r="I13" s="49" t="s">
        <v>10</v>
      </c>
      <c r="J13" s="49" t="s">
        <v>11</v>
      </c>
      <c r="K13" s="49" t="s">
        <v>12</v>
      </c>
      <c r="L13" s="49" t="s">
        <v>165</v>
      </c>
      <c r="M13" s="49" t="s">
        <v>166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150</v>
      </c>
      <c r="C14" s="55">
        <v>1</v>
      </c>
      <c r="D14" s="55" t="s">
        <v>205</v>
      </c>
      <c r="E14" s="55" t="s">
        <v>85</v>
      </c>
      <c r="F14" s="56">
        <v>3607</v>
      </c>
      <c r="G14" s="55">
        <v>3400</v>
      </c>
      <c r="H14" s="57">
        <v>43088</v>
      </c>
      <c r="I14" s="57">
        <v>43174</v>
      </c>
      <c r="J14" s="55">
        <v>86</v>
      </c>
      <c r="K14" s="58">
        <v>0.21643835616438356</v>
      </c>
      <c r="L14" s="58">
        <v>0</v>
      </c>
      <c r="M14" s="55">
        <v>0.2</v>
      </c>
      <c r="N14" s="59">
        <v>51.629060001957441</v>
      </c>
      <c r="O14" s="55">
        <v>0</v>
      </c>
      <c r="P14" s="59">
        <v>0</v>
      </c>
      <c r="Q14" s="59">
        <v>51.629060001957441</v>
      </c>
    </row>
    <row r="15" spans="1:17">
      <c r="B15" s="55" t="s">
        <v>150</v>
      </c>
      <c r="C15" s="55">
        <v>1</v>
      </c>
      <c r="D15" s="55" t="s">
        <v>205</v>
      </c>
      <c r="E15" s="55" t="s">
        <v>85</v>
      </c>
      <c r="F15" s="56">
        <v>3607</v>
      </c>
      <c r="G15" s="55">
        <v>3450</v>
      </c>
      <c r="H15" s="57">
        <v>43088</v>
      </c>
      <c r="I15" s="57">
        <v>43174</v>
      </c>
      <c r="J15" s="55">
        <v>86</v>
      </c>
      <c r="K15" s="58">
        <v>0.21643835616438356</v>
      </c>
      <c r="L15" s="58">
        <v>0</v>
      </c>
      <c r="M15" s="55">
        <v>0.2</v>
      </c>
      <c r="N15" s="59">
        <v>66.823277063019759</v>
      </c>
      <c r="O15" s="55">
        <v>0</v>
      </c>
      <c r="P15" s="59">
        <v>0</v>
      </c>
      <c r="Q15" s="59">
        <v>66.823277063019759</v>
      </c>
    </row>
    <row r="16" spans="1:17">
      <c r="B16" s="55" t="s">
        <v>150</v>
      </c>
      <c r="C16" s="55">
        <v>1</v>
      </c>
      <c r="D16" s="55" t="s">
        <v>205</v>
      </c>
      <c r="E16" s="55" t="s">
        <v>85</v>
      </c>
      <c r="F16" s="56">
        <v>3607</v>
      </c>
      <c r="G16" s="55">
        <v>3400</v>
      </c>
      <c r="H16" s="57">
        <v>43088</v>
      </c>
      <c r="I16" s="57">
        <v>43169</v>
      </c>
      <c r="J16" s="55">
        <v>81</v>
      </c>
      <c r="K16" s="58">
        <v>0.20273972602739726</v>
      </c>
      <c r="L16" s="58">
        <v>0</v>
      </c>
      <c r="M16" s="55">
        <v>0.2</v>
      </c>
      <c r="N16" s="59">
        <v>48.266135405723503</v>
      </c>
      <c r="O16" s="55">
        <v>0</v>
      </c>
      <c r="P16" s="59">
        <v>0</v>
      </c>
      <c r="Q16" s="59">
        <v>48.266135405723503</v>
      </c>
    </row>
    <row r="17" spans="2:17">
      <c r="B17" s="55" t="s">
        <v>150</v>
      </c>
      <c r="C17" s="55">
        <v>1</v>
      </c>
      <c r="D17" s="55" t="s">
        <v>205</v>
      </c>
      <c r="E17" s="55" t="s">
        <v>85</v>
      </c>
      <c r="F17" s="56">
        <v>3607</v>
      </c>
      <c r="G17" s="55">
        <v>3450</v>
      </c>
      <c r="H17" s="57">
        <v>43088</v>
      </c>
      <c r="I17" s="57">
        <v>43169</v>
      </c>
      <c r="J17" s="55">
        <v>81</v>
      </c>
      <c r="K17" s="58">
        <v>0.20273972602739726</v>
      </c>
      <c r="L17" s="58">
        <v>0</v>
      </c>
      <c r="M17" s="55">
        <v>0.2</v>
      </c>
      <c r="N17" s="59">
        <v>63.118487953768181</v>
      </c>
      <c r="O17" s="55">
        <v>0</v>
      </c>
      <c r="P17" s="59">
        <v>0</v>
      </c>
      <c r="Q17" s="59">
        <v>63.118487953768181</v>
      </c>
    </row>
    <row r="18" spans="2:17">
      <c r="B18" s="49" t="s">
        <v>30</v>
      </c>
      <c r="C18" s="49"/>
      <c r="D18" s="49" t="s">
        <v>32</v>
      </c>
      <c r="E18" s="49" t="s">
        <v>160</v>
      </c>
      <c r="F18" s="49" t="s">
        <v>8</v>
      </c>
      <c r="G18" s="49" t="s">
        <v>7</v>
      </c>
      <c r="H18" s="49" t="s">
        <v>9</v>
      </c>
      <c r="I18" s="49" t="s">
        <v>10</v>
      </c>
      <c r="J18" s="49" t="s">
        <v>11</v>
      </c>
      <c r="K18" s="49" t="s">
        <v>12</v>
      </c>
      <c r="L18" s="49" t="s">
        <v>47</v>
      </c>
      <c r="M18" s="49" t="s">
        <v>166</v>
      </c>
      <c r="N18" s="49" t="s">
        <v>14</v>
      </c>
      <c r="O18" s="49" t="s">
        <v>26</v>
      </c>
      <c r="P18" s="49" t="s">
        <v>28</v>
      </c>
      <c r="Q18" s="49" t="s">
        <v>15</v>
      </c>
    </row>
    <row r="19" spans="2:17">
      <c r="B19" s="55" t="s">
        <v>150</v>
      </c>
      <c r="C19" s="55">
        <v>1</v>
      </c>
      <c r="D19" s="55" t="s">
        <v>209</v>
      </c>
      <c r="E19" s="55" t="s">
        <v>85</v>
      </c>
      <c r="F19" s="56">
        <v>15000</v>
      </c>
      <c r="G19" s="55">
        <v>14500</v>
      </c>
      <c r="H19" s="57">
        <v>43088</v>
      </c>
      <c r="I19" s="57">
        <v>43119</v>
      </c>
      <c r="J19" s="55">
        <v>31</v>
      </c>
      <c r="K19" s="58">
        <v>8.4931506849315067E-2</v>
      </c>
      <c r="L19" s="58">
        <v>0</v>
      </c>
      <c r="M19" s="55">
        <v>0.09</v>
      </c>
      <c r="N19" s="59">
        <v>17.860938938860272</v>
      </c>
      <c r="O19" s="55">
        <v>0</v>
      </c>
      <c r="P19" s="59">
        <v>0</v>
      </c>
      <c r="Q19" s="59">
        <v>17.860938938860272</v>
      </c>
    </row>
    <row r="20" spans="2:17">
      <c r="B20" s="55" t="s">
        <v>150</v>
      </c>
      <c r="C20" s="55">
        <v>1</v>
      </c>
      <c r="D20" s="55" t="s">
        <v>209</v>
      </c>
      <c r="E20" s="55" t="s">
        <v>39</v>
      </c>
      <c r="F20" s="56">
        <v>15000</v>
      </c>
      <c r="G20" s="55">
        <v>15500</v>
      </c>
      <c r="H20" s="57">
        <v>43088</v>
      </c>
      <c r="I20" s="57">
        <v>43119</v>
      </c>
      <c r="J20" s="55">
        <v>31</v>
      </c>
      <c r="K20" s="58">
        <v>8.4931506849315067E-2</v>
      </c>
      <c r="L20" s="58">
        <v>0</v>
      </c>
      <c r="M20" s="55">
        <v>0.09</v>
      </c>
      <c r="N20" s="59">
        <v>20.18956137971486</v>
      </c>
      <c r="O20" s="55">
        <v>0</v>
      </c>
      <c r="P20" s="59">
        <v>0</v>
      </c>
      <c r="Q20" s="59">
        <v>20.18956137971486</v>
      </c>
    </row>
    <row r="21" spans="2:17">
      <c r="B21" s="49" t="s">
        <v>170</v>
      </c>
      <c r="C21" s="49"/>
      <c r="D21" s="49" t="s">
        <v>171</v>
      </c>
      <c r="E21" s="49" t="s">
        <v>172</v>
      </c>
      <c r="F21" s="49" t="s">
        <v>173</v>
      </c>
      <c r="G21" s="49" t="s">
        <v>174</v>
      </c>
      <c r="H21" s="49" t="s">
        <v>175</v>
      </c>
      <c r="I21" s="49" t="s">
        <v>176</v>
      </c>
      <c r="J21" s="49" t="s">
        <v>177</v>
      </c>
      <c r="K21" s="49" t="s">
        <v>178</v>
      </c>
      <c r="L21" s="49" t="s">
        <v>179</v>
      </c>
      <c r="M21" s="49" t="s">
        <v>180</v>
      </c>
      <c r="N21" s="49" t="s">
        <v>181</v>
      </c>
      <c r="O21" s="49" t="s">
        <v>182</v>
      </c>
      <c r="P21" s="49" t="s">
        <v>183</v>
      </c>
      <c r="Q21" s="49" t="s">
        <v>184</v>
      </c>
    </row>
    <row r="22" spans="2:17">
      <c r="B22" s="55" t="s">
        <v>20</v>
      </c>
      <c r="C22" s="55"/>
      <c r="D22" s="55" t="s">
        <v>185</v>
      </c>
      <c r="E22" s="55" t="s">
        <v>212</v>
      </c>
      <c r="F22" s="56">
        <v>3791</v>
      </c>
      <c r="G22" s="55" t="s">
        <v>211</v>
      </c>
      <c r="H22" s="57">
        <v>43088</v>
      </c>
      <c r="I22" s="57">
        <v>43119</v>
      </c>
      <c r="J22" s="55">
        <v>31</v>
      </c>
      <c r="K22" s="58">
        <v>8.4931506849315067E-2</v>
      </c>
      <c r="L22" s="58"/>
      <c r="M22" s="55"/>
      <c r="N22" s="59">
        <v>-120.6201212601914</v>
      </c>
      <c r="O22" s="55">
        <v>0</v>
      </c>
      <c r="P22" s="59">
        <v>0</v>
      </c>
      <c r="Q22" s="59">
        <v>120.6201212601914</v>
      </c>
    </row>
    <row r="29" spans="2:17">
      <c r="G29" s="6">
        <v>120.62</v>
      </c>
    </row>
    <row r="30" spans="2:17">
      <c r="G30" s="6">
        <v>3791</v>
      </c>
    </row>
    <row r="31" spans="2:17">
      <c r="G31" s="6">
        <f>G29/G30</f>
        <v>3.1817462410973357E-2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29"/>
  <sheetViews>
    <sheetView tabSelected="1" workbookViewId="0">
      <pane ySplit="17" topLeftCell="A18" activePane="bottomLeft" state="frozen"/>
      <selection pane="bottomLeft" activeCell="I21" sqref="I21"/>
    </sheetView>
  </sheetViews>
  <sheetFormatPr defaultColWidth="9" defaultRowHeight="12"/>
  <cols>
    <col min="1" max="2" width="9" style="6"/>
    <col min="3" max="3" width="11.21875" style="6" customWidth="1"/>
    <col min="4" max="4" width="10.44140625" style="6" customWidth="1"/>
    <col min="5" max="5" width="9.77734375" style="6" customWidth="1"/>
    <col min="6" max="22" width="9" style="6"/>
    <col min="23" max="23" width="13.33203125" style="6" customWidth="1"/>
    <col min="24" max="24" width="15.88671875" style="6" customWidth="1"/>
    <col min="25" max="16384" width="9" style="6"/>
  </cols>
  <sheetData>
    <row r="1" spans="2:25" ht="15" thickBot="1">
      <c r="B1" s="134" t="s">
        <v>118</v>
      </c>
      <c r="C1" s="134"/>
    </row>
    <row r="2" spans="2:25" ht="12.6" thickTop="1"/>
    <row r="3" spans="2:25" ht="14.4" thickBot="1">
      <c r="B3" s="135" t="s">
        <v>119</v>
      </c>
      <c r="C3" s="135"/>
      <c r="D3" s="135"/>
      <c r="E3" s="135"/>
      <c r="G3" s="136" t="s">
        <v>120</v>
      </c>
      <c r="H3" s="136"/>
      <c r="I3" s="136"/>
      <c r="J3" s="136"/>
      <c r="L3" s="135" t="s">
        <v>191</v>
      </c>
      <c r="M3" s="135"/>
      <c r="N3" s="135"/>
      <c r="O3" s="135"/>
      <c r="Q3" s="136" t="s">
        <v>192</v>
      </c>
      <c r="R3" s="136"/>
      <c r="S3" s="136"/>
      <c r="T3" s="136"/>
      <c r="V3" s="6" t="s">
        <v>214</v>
      </c>
    </row>
    <row r="4" spans="2:25" ht="15.6" thickTop="1" thickBot="1">
      <c r="B4" s="132" t="s">
        <v>121</v>
      </c>
      <c r="C4" s="132"/>
      <c r="D4" s="132"/>
      <c r="E4" s="132"/>
      <c r="G4" s="132" t="s">
        <v>34</v>
      </c>
      <c r="H4" s="132"/>
      <c r="I4" s="132"/>
      <c r="J4" s="132"/>
      <c r="L4" s="132" t="s">
        <v>121</v>
      </c>
      <c r="M4" s="132"/>
      <c r="N4" s="132"/>
      <c r="O4" s="132"/>
      <c r="Q4" s="132" t="s">
        <v>34</v>
      </c>
      <c r="R4" s="132"/>
      <c r="S4" s="132"/>
      <c r="T4" s="132"/>
      <c r="V4" s="132" t="s">
        <v>215</v>
      </c>
      <c r="W4" s="132"/>
      <c r="X4" s="132"/>
      <c r="Y4" s="132"/>
    </row>
    <row r="5" spans="2:25" ht="15" thickTop="1">
      <c r="B5" s="124" t="s">
        <v>122</v>
      </c>
      <c r="C5" s="124"/>
      <c r="D5" s="35"/>
      <c r="E5" s="36"/>
      <c r="G5" s="133" t="s">
        <v>123</v>
      </c>
      <c r="H5" s="133"/>
      <c r="I5" s="35"/>
      <c r="J5" s="36"/>
      <c r="L5" s="33" t="s">
        <v>122</v>
      </c>
      <c r="M5" s="34"/>
      <c r="N5" s="35"/>
      <c r="O5" s="36"/>
      <c r="Q5" s="133" t="s">
        <v>123</v>
      </c>
      <c r="R5" s="133"/>
      <c r="S5" s="35"/>
      <c r="T5" s="36"/>
      <c r="V5" s="124" t="s">
        <v>219</v>
      </c>
      <c r="W5" s="124"/>
      <c r="X5" s="140"/>
      <c r="Y5" s="141"/>
    </row>
    <row r="6" spans="2:25" ht="14.4">
      <c r="B6" s="124" t="s">
        <v>124</v>
      </c>
      <c r="C6" s="124"/>
      <c r="D6" s="125" t="s">
        <v>125</v>
      </c>
      <c r="E6" s="126"/>
      <c r="G6" s="133" t="s">
        <v>126</v>
      </c>
      <c r="H6" s="133"/>
      <c r="I6" s="125"/>
      <c r="J6" s="126"/>
      <c r="L6" s="124" t="s">
        <v>124</v>
      </c>
      <c r="M6" s="124"/>
      <c r="N6" s="125" t="s">
        <v>125</v>
      </c>
      <c r="O6" s="126"/>
      <c r="Q6" s="133" t="s">
        <v>126</v>
      </c>
      <c r="R6" s="133"/>
      <c r="S6" s="125"/>
      <c r="T6" s="126"/>
      <c r="V6" s="124" t="s">
        <v>216</v>
      </c>
      <c r="W6" s="124"/>
      <c r="X6" s="125"/>
      <c r="Y6" s="126"/>
    </row>
    <row r="7" spans="2:25" ht="14.4">
      <c r="B7" s="124" t="s">
        <v>227</v>
      </c>
      <c r="C7" s="124"/>
      <c r="D7" s="125" t="s">
        <v>125</v>
      </c>
      <c r="E7" s="126"/>
      <c r="G7" s="133" t="s">
        <v>128</v>
      </c>
      <c r="H7" s="133"/>
      <c r="I7" s="125"/>
      <c r="J7" s="126"/>
      <c r="L7" s="124" t="s">
        <v>127</v>
      </c>
      <c r="M7" s="124"/>
      <c r="N7" s="125" t="s">
        <v>125</v>
      </c>
      <c r="O7" s="126"/>
      <c r="Q7" s="133" t="s">
        <v>128</v>
      </c>
      <c r="R7" s="133"/>
      <c r="S7" s="125"/>
      <c r="T7" s="126"/>
      <c r="V7" s="124" t="s">
        <v>227</v>
      </c>
      <c r="W7" s="124"/>
      <c r="X7" s="125"/>
      <c r="Y7" s="126"/>
    </row>
    <row r="8" spans="2:25" ht="14.4">
      <c r="B8" s="124" t="s">
        <v>129</v>
      </c>
      <c r="C8" s="124"/>
      <c r="D8" s="125">
        <f>D13*D15</f>
        <v>305000</v>
      </c>
      <c r="E8" s="126"/>
      <c r="G8" s="133" t="s">
        <v>130</v>
      </c>
      <c r="H8" s="133"/>
      <c r="I8" s="125"/>
      <c r="J8" s="126"/>
      <c r="L8" s="124" t="s">
        <v>129</v>
      </c>
      <c r="M8" s="124"/>
      <c r="N8" s="125">
        <f>N14*N16</f>
        <v>305000</v>
      </c>
      <c r="O8" s="126"/>
      <c r="Q8" s="133" t="s">
        <v>130</v>
      </c>
      <c r="R8" s="133"/>
      <c r="S8" s="125"/>
      <c r="T8" s="126"/>
      <c r="V8" s="124" t="s">
        <v>220</v>
      </c>
      <c r="W8" s="124"/>
      <c r="X8" s="125"/>
      <c r="Y8" s="126"/>
    </row>
    <row r="9" spans="2:25" ht="14.4">
      <c r="B9" s="124" t="s">
        <v>226</v>
      </c>
      <c r="C9" s="124"/>
      <c r="D9" s="125" t="s">
        <v>132</v>
      </c>
      <c r="E9" s="126"/>
      <c r="G9" s="133" t="s">
        <v>133</v>
      </c>
      <c r="H9" s="133"/>
      <c r="I9" s="125"/>
      <c r="J9" s="126"/>
      <c r="L9" s="124" t="s">
        <v>131</v>
      </c>
      <c r="M9" s="124"/>
      <c r="N9" s="125" t="s">
        <v>132</v>
      </c>
      <c r="O9" s="126"/>
      <c r="Q9" s="133" t="s">
        <v>133</v>
      </c>
      <c r="R9" s="133"/>
      <c r="S9" s="125"/>
      <c r="T9" s="126"/>
      <c r="V9" s="124" t="s">
        <v>231</v>
      </c>
      <c r="W9" s="124"/>
      <c r="X9" s="131"/>
      <c r="Y9" s="126"/>
    </row>
    <row r="10" spans="2:25" ht="15" thickBot="1">
      <c r="B10" s="124" t="s">
        <v>225</v>
      </c>
      <c r="C10" s="124"/>
      <c r="D10" s="125">
        <v>43084</v>
      </c>
      <c r="E10" s="126"/>
      <c r="G10" s="30" t="s">
        <v>135</v>
      </c>
      <c r="H10" s="30"/>
      <c r="I10" s="125"/>
      <c r="J10" s="126"/>
      <c r="L10" s="124" t="s">
        <v>134</v>
      </c>
      <c r="M10" s="124"/>
      <c r="N10" s="125">
        <v>43084</v>
      </c>
      <c r="O10" s="126"/>
      <c r="Q10" s="62" t="s">
        <v>135</v>
      </c>
      <c r="R10" s="62"/>
      <c r="S10" s="125"/>
      <c r="T10" s="126"/>
      <c r="V10" s="127" t="s">
        <v>217</v>
      </c>
      <c r="W10" s="139"/>
      <c r="X10" s="142"/>
      <c r="Y10" s="129"/>
    </row>
    <row r="11" spans="2:25" ht="15" thickTop="1">
      <c r="B11" s="124" t="s">
        <v>223</v>
      </c>
      <c r="C11" s="124"/>
      <c r="D11" s="125">
        <v>3935</v>
      </c>
      <c r="E11" s="126"/>
      <c r="G11" s="133" t="s">
        <v>137</v>
      </c>
      <c r="H11" s="133"/>
      <c r="I11" s="125"/>
      <c r="J11" s="126"/>
      <c r="L11" s="124" t="s">
        <v>136</v>
      </c>
      <c r="M11" s="124"/>
      <c r="N11" s="125">
        <v>3935</v>
      </c>
      <c r="O11" s="126"/>
      <c r="Q11" s="133" t="s">
        <v>137</v>
      </c>
      <c r="R11" s="133"/>
      <c r="S11" s="125"/>
      <c r="T11" s="126"/>
    </row>
    <row r="12" spans="2:25" ht="14.4">
      <c r="B12" s="124" t="s">
        <v>224</v>
      </c>
      <c r="C12" s="124"/>
      <c r="D12" s="125">
        <v>3800</v>
      </c>
      <c r="E12" s="126"/>
      <c r="G12" s="133" t="s">
        <v>138</v>
      </c>
      <c r="H12" s="133"/>
      <c r="I12" s="125"/>
      <c r="J12" s="126"/>
      <c r="L12" s="124" t="s">
        <v>189</v>
      </c>
      <c r="M12" s="124"/>
      <c r="N12" s="125">
        <v>3800</v>
      </c>
      <c r="O12" s="126"/>
      <c r="Q12" s="133" t="s">
        <v>193</v>
      </c>
      <c r="R12" s="133"/>
      <c r="S12" s="125"/>
      <c r="T12" s="126"/>
    </row>
    <row r="13" spans="2:25" ht="14.4">
      <c r="B13" s="124" t="s">
        <v>139</v>
      </c>
      <c r="C13" s="124"/>
      <c r="D13" s="125">
        <v>61</v>
      </c>
      <c r="E13" s="126"/>
      <c r="G13" s="133" t="s">
        <v>140</v>
      </c>
      <c r="H13" s="133"/>
      <c r="I13" s="125"/>
      <c r="J13" s="126"/>
      <c r="L13" s="124" t="s">
        <v>190</v>
      </c>
      <c r="M13" s="124"/>
      <c r="N13" s="125">
        <v>3800</v>
      </c>
      <c r="O13" s="126"/>
      <c r="Q13" s="133" t="s">
        <v>194</v>
      </c>
      <c r="R13" s="133"/>
      <c r="S13" s="125"/>
      <c r="T13" s="126"/>
    </row>
    <row r="14" spans="2:25" ht="14.4">
      <c r="B14" s="124" t="s">
        <v>220</v>
      </c>
      <c r="C14" s="124"/>
      <c r="D14" s="125" t="s">
        <v>142</v>
      </c>
      <c r="E14" s="126"/>
      <c r="G14" s="133" t="s">
        <v>143</v>
      </c>
      <c r="H14" s="133"/>
      <c r="I14" s="31"/>
      <c r="J14" s="32"/>
      <c r="L14" s="124" t="s">
        <v>139</v>
      </c>
      <c r="M14" s="124"/>
      <c r="N14" s="125">
        <v>61</v>
      </c>
      <c r="O14" s="126"/>
      <c r="Q14" s="133" t="s">
        <v>140</v>
      </c>
      <c r="R14" s="133"/>
      <c r="S14" s="125"/>
      <c r="T14" s="126"/>
    </row>
    <row r="15" spans="2:25" ht="14.4">
      <c r="B15" s="124" t="s">
        <v>221</v>
      </c>
      <c r="C15" s="124"/>
      <c r="D15" s="125">
        <v>5000</v>
      </c>
      <c r="E15" s="126"/>
      <c r="G15" s="133" t="s">
        <v>145</v>
      </c>
      <c r="H15" s="133"/>
      <c r="I15" s="125"/>
      <c r="J15" s="126"/>
      <c r="L15" s="124" t="s">
        <v>141</v>
      </c>
      <c r="M15" s="124"/>
      <c r="N15" s="125" t="s">
        <v>142</v>
      </c>
      <c r="O15" s="126"/>
      <c r="Q15" s="133" t="s">
        <v>143</v>
      </c>
      <c r="R15" s="133"/>
      <c r="S15" s="60"/>
      <c r="T15" s="61"/>
    </row>
    <row r="16" spans="2:25" ht="15" thickBot="1">
      <c r="B16" s="127" t="s">
        <v>222</v>
      </c>
      <c r="C16" s="127"/>
      <c r="D16" s="128" t="s">
        <v>147</v>
      </c>
      <c r="E16" s="129"/>
      <c r="G16" s="130" t="s">
        <v>148</v>
      </c>
      <c r="H16" s="130"/>
      <c r="I16" s="128"/>
      <c r="J16" s="129"/>
      <c r="L16" s="124" t="s">
        <v>144</v>
      </c>
      <c r="M16" s="124"/>
      <c r="N16" s="125">
        <v>5000</v>
      </c>
      <c r="O16" s="126"/>
      <c r="Q16" s="133" t="s">
        <v>145</v>
      </c>
      <c r="R16" s="133"/>
      <c r="S16" s="125"/>
      <c r="T16" s="126"/>
    </row>
    <row r="17" spans="2:20" ht="15.6" thickTop="1" thickBot="1">
      <c r="L17" s="127" t="s">
        <v>146</v>
      </c>
      <c r="M17" s="127"/>
      <c r="N17" s="128" t="s">
        <v>147</v>
      </c>
      <c r="O17" s="129"/>
      <c r="Q17" s="130" t="s">
        <v>148</v>
      </c>
      <c r="R17" s="130"/>
      <c r="S17" s="128"/>
      <c r="T17" s="129"/>
    </row>
    <row r="18" spans="2:20" ht="12.6" thickTop="1"/>
    <row r="19" spans="2:20" ht="14.4">
      <c r="B19" s="28" t="s">
        <v>149</v>
      </c>
    </row>
    <row r="21" spans="2:20" ht="12.6" thickBot="1">
      <c r="B21" s="7"/>
      <c r="C21" s="7"/>
      <c r="D21" s="7"/>
      <c r="E21" s="7"/>
    </row>
    <row r="22" spans="2:20" ht="15.6" thickTop="1" thickBot="1">
      <c r="B22" s="132" t="s">
        <v>215</v>
      </c>
      <c r="C22" s="132"/>
      <c r="D22" s="132"/>
      <c r="E22" s="132"/>
    </row>
    <row r="23" spans="2:20" ht="27.6" customHeight="1" thickTop="1">
      <c r="B23" s="124" t="s">
        <v>219</v>
      </c>
      <c r="C23" s="124"/>
      <c r="D23" s="140" t="s">
        <v>218</v>
      </c>
      <c r="E23" s="141"/>
    </row>
    <row r="24" spans="2:20" ht="14.4">
      <c r="B24" s="124" t="s">
        <v>216</v>
      </c>
      <c r="C24" s="124"/>
      <c r="D24" s="125" t="s">
        <v>228</v>
      </c>
      <c r="E24" s="126"/>
    </row>
    <row r="25" spans="2:20" ht="14.4">
      <c r="B25" s="124" t="s">
        <v>227</v>
      </c>
      <c r="C25" s="124"/>
      <c r="D25" s="125" t="s">
        <v>229</v>
      </c>
      <c r="E25" s="126"/>
    </row>
    <row r="26" spans="2:20" ht="14.4">
      <c r="B26" s="124" t="s">
        <v>220</v>
      </c>
      <c r="C26" s="124"/>
      <c r="D26" s="125" t="s">
        <v>230</v>
      </c>
      <c r="E26" s="126"/>
    </row>
    <row r="27" spans="2:20" ht="14.4">
      <c r="B27" s="124" t="s">
        <v>231</v>
      </c>
      <c r="C27" s="124"/>
      <c r="D27" s="131"/>
      <c r="E27" s="126"/>
    </row>
    <row r="28" spans="2:20" ht="15" thickBot="1">
      <c r="B28" s="127" t="s">
        <v>217</v>
      </c>
      <c r="C28" s="139"/>
      <c r="D28" s="142">
        <f ca="1">TODAY()</f>
        <v>43095</v>
      </c>
      <c r="E28" s="129"/>
    </row>
    <row r="29" spans="2:20" ht="12.6" thickTop="1"/>
  </sheetData>
  <mergeCells count="126">
    <mergeCell ref="B23:C23"/>
    <mergeCell ref="B5:C5"/>
    <mergeCell ref="V5:W5"/>
    <mergeCell ref="B26:C26"/>
    <mergeCell ref="D26:E26"/>
    <mergeCell ref="X5:Y5"/>
    <mergeCell ref="V10:W10"/>
    <mergeCell ref="X10:Y10"/>
    <mergeCell ref="V4:Y4"/>
    <mergeCell ref="V6:W6"/>
    <mergeCell ref="X6:Y6"/>
    <mergeCell ref="V7:W7"/>
    <mergeCell ref="X7:Y7"/>
    <mergeCell ref="V8:W8"/>
    <mergeCell ref="X8:Y8"/>
    <mergeCell ref="V9:W9"/>
    <mergeCell ref="X9:Y9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7:C27"/>
    <mergeCell ref="D27:E27"/>
    <mergeCell ref="B28:C28"/>
    <mergeCell ref="D28:E28"/>
    <mergeCell ref="G16:H16"/>
    <mergeCell ref="I16:J16"/>
    <mergeCell ref="B22:E22"/>
    <mergeCell ref="B24:C24"/>
    <mergeCell ref="D24:E24"/>
    <mergeCell ref="B25:C25"/>
    <mergeCell ref="D25:E25"/>
    <mergeCell ref="D23:E23"/>
    <mergeCell ref="B16:C16"/>
    <mergeCell ref="D16:E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ColWidth="9" defaultRowHeight="12"/>
  <cols>
    <col min="1" max="1" width="9" style="6"/>
    <col min="2" max="2" width="10.44140625" style="6" customWidth="1"/>
    <col min="3" max="3" width="8.77734375" style="6" customWidth="1"/>
    <col min="4" max="6" width="9" style="6"/>
    <col min="7" max="8" width="13.44140625" style="6" customWidth="1"/>
    <col min="9" max="9" width="13.44140625" style="6" hidden="1" customWidth="1"/>
    <col min="10" max="10" width="11.21875" style="6" customWidth="1"/>
    <col min="11" max="11" width="11.109375" style="6" customWidth="1"/>
    <col min="12" max="12" width="9" style="6"/>
    <col min="13" max="13" width="9" style="6" customWidth="1"/>
    <col min="14" max="17" width="9" style="6" hidden="1" customWidth="1"/>
    <col min="18" max="18" width="10.77734375" style="6" hidden="1" customWidth="1"/>
    <col min="19" max="19" width="10.109375" style="6" hidden="1" customWidth="1"/>
    <col min="20" max="16384" width="9" style="6"/>
  </cols>
  <sheetData>
    <row r="1" spans="1:21" ht="14.25" customHeight="1" thickBot="1">
      <c r="B1" s="123" t="s">
        <v>157</v>
      </c>
      <c r="C1" s="123"/>
      <c r="D1" s="123"/>
    </row>
    <row r="2" spans="1:21" ht="12.6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.6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.6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.6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.6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C1" zoomScaleNormal="100" workbookViewId="0">
      <selection activeCell="I30" sqref="I30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1" width="9" style="6"/>
    <col min="12" max="12" width="8.109375" style="6" customWidth="1"/>
    <col min="13" max="13" width="14.109375" style="6" customWidth="1"/>
    <col min="14" max="14" width="9" style="6" customWidth="1"/>
    <col min="15" max="15" width="7.21875" style="6" customWidth="1"/>
    <col min="16" max="16" width="9" style="6" customWidth="1"/>
    <col min="17" max="17" width="10.109375" style="6" customWidth="1"/>
    <col min="18" max="18" width="6.44140625" style="6" customWidth="1"/>
    <col min="19" max="19" width="9.6640625" style="6" customWidth="1"/>
    <col min="20" max="21" width="9" style="6"/>
    <col min="22" max="22" width="13.77734375" style="6" customWidth="1"/>
    <col min="23" max="16384" width="9" style="6"/>
  </cols>
  <sheetData>
    <row r="1" spans="1:22" ht="13.5" customHeight="1" thickBot="1">
      <c r="B1" s="134" t="s">
        <v>37</v>
      </c>
      <c r="C1" s="134"/>
    </row>
    <row r="2" spans="1:22" ht="12.6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.6" thickBot="1">
      <c r="B4" s="5" t="s">
        <v>18</v>
      </c>
      <c r="C4" s="5">
        <v>0.01</v>
      </c>
    </row>
    <row r="5" spans="1:22" ht="12.6" thickTop="1"/>
    <row r="6" spans="1:22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3.2" thickTop="1" thickBot="1">
      <c r="B7" s="18" t="s">
        <v>196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.6" thickTop="1">
      <c r="A8" s="63"/>
      <c r="B8" s="24" t="s">
        <v>197</v>
      </c>
      <c r="C8" s="19" t="s">
        <v>186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3822</v>
      </c>
      <c r="I8" s="19">
        <v>3800</v>
      </c>
      <c r="J8" s="21">
        <f t="shared" ref="J8:J14" ca="1" si="1">TODAY()</f>
        <v>43095</v>
      </c>
      <c r="K8" s="21">
        <f t="shared" ref="K8:K9" ca="1" si="2">J8+L8</f>
        <v>43125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-141.78348584404034</v>
      </c>
      <c r="Q8" s="25">
        <v>80</v>
      </c>
      <c r="R8" s="24">
        <f t="shared" ref="R8:R9" si="4">Q8/10000*M8*H8</f>
        <v>2.513095890410959</v>
      </c>
      <c r="S8" s="24">
        <f t="shared" ref="S8:S9" si="5">IF(P8&lt;=0,ABS(P8)+R8,P8-R8)</f>
        <v>144.29658173445131</v>
      </c>
      <c r="T8" s="26">
        <f t="shared" ref="T8:T9" si="6">S8/H8</f>
        <v>3.7754207675157331E-2</v>
      </c>
      <c r="U8" s="24">
        <f>_xll.dnetGBlackScholesNGreeks("delta",$G8,$H8,$I8,$M8,$C$3,$N8,$O8,$C$4)*E8</f>
        <v>-0.54295094239478203</v>
      </c>
      <c r="V8" s="24">
        <f>_xll.dnetGBlackScholesNGreeks("vega",$G8,$H8,$I8,$M8,$C$3,$N8,$O8,$C$4)*E8</f>
        <v>-4.3377690342250617</v>
      </c>
    </row>
    <row r="9" spans="1:22">
      <c r="A9" s="63"/>
      <c r="B9" s="13" t="s">
        <v>198</v>
      </c>
      <c r="C9" s="10" t="s">
        <v>188</v>
      </c>
      <c r="D9" s="10" t="s">
        <v>150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43095</v>
      </c>
      <c r="K9" s="8">
        <f t="shared" ca="1" si="2"/>
        <v>43125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/>
      <c r="C10" s="10" t="s">
        <v>207</v>
      </c>
      <c r="D10" s="10" t="s">
        <v>150</v>
      </c>
      <c r="E10" s="10">
        <f t="shared" ref="E10" si="7">IF(D10="中金买入",1,-1)</f>
        <v>1</v>
      </c>
      <c r="F10" s="10" t="s">
        <v>206</v>
      </c>
      <c r="G10" s="10" t="s">
        <v>85</v>
      </c>
      <c r="H10" s="11">
        <f>RTD("wdf.rtq",,F10,"LastPrice")</f>
        <v>3626</v>
      </c>
      <c r="I10" s="10">
        <v>3400</v>
      </c>
      <c r="J10" s="8">
        <f t="shared" ca="1" si="1"/>
        <v>43095</v>
      </c>
      <c r="K10" s="8">
        <f t="shared" ref="K10" ca="1" si="8">J10+L10</f>
        <v>43181</v>
      </c>
      <c r="L10" s="10">
        <v>86</v>
      </c>
      <c r="M10" s="12">
        <f>(L10-7)/365</f>
        <v>0.21643835616438356</v>
      </c>
      <c r="N10" s="12">
        <v>0</v>
      </c>
      <c r="O10" s="9">
        <v>0.2</v>
      </c>
      <c r="P10" s="13">
        <f>_xll.dnetGBlackScholesNGreeks("price",$G10,$H10,$I10,$M10,$C$3,$N10,$O10,$C$4)*E10</f>
        <v>47.109688108094019</v>
      </c>
      <c r="Q10" s="15">
        <v>0</v>
      </c>
      <c r="R10" s="13">
        <f t="shared" ref="R10" si="9">Q10/10000*M10*H10</f>
        <v>0</v>
      </c>
      <c r="S10" s="13">
        <f t="shared" ref="S10" si="10">IF(P10&lt;=0,ABS(P10)+R10,P10-R10)</f>
        <v>47.109688108094019</v>
      </c>
      <c r="T10" s="14">
        <f t="shared" ref="T10" si="11">S10/H10</f>
        <v>1.2992191976859906E-2</v>
      </c>
      <c r="U10" s="13">
        <f>_xll.dnetGBlackScholesNGreeks("delta",$G10,$H10,$I10,$M10,$C$3,$N10,$O10,$C$4)*E10</f>
        <v>-0.22921194872083106</v>
      </c>
      <c r="V10" s="13">
        <f>_xll.dnetGBlackScholesNGreeks("vega",$G10,$H10,$I10,$M10,$C$3,$N10,$O10,$C$4)*E10</f>
        <v>5.1001616929424927</v>
      </c>
    </row>
    <row r="11" spans="1:22">
      <c r="A11" s="63"/>
      <c r="B11" s="13"/>
      <c r="C11" s="10" t="s">
        <v>207</v>
      </c>
      <c r="D11" s="10" t="s">
        <v>150</v>
      </c>
      <c r="E11" s="10">
        <f t="shared" ref="E11:E12" si="12">IF(D11="中金买入",1,-1)</f>
        <v>1</v>
      </c>
      <c r="F11" s="10" t="s">
        <v>206</v>
      </c>
      <c r="G11" s="10" t="s">
        <v>85</v>
      </c>
      <c r="H11" s="11">
        <f>RTD("wdf.rtq",,F11,"LastPrice")</f>
        <v>3626</v>
      </c>
      <c r="I11" s="10">
        <v>3450</v>
      </c>
      <c r="J11" s="8">
        <f ca="1">TODAY()</f>
        <v>43095</v>
      </c>
      <c r="K11" s="8">
        <f t="shared" ref="K11:K12" ca="1" si="13">J11+L11</f>
        <v>43181</v>
      </c>
      <c r="L11" s="10">
        <v>86</v>
      </c>
      <c r="M11" s="12">
        <f>(L11-7)/365</f>
        <v>0.21643835616438356</v>
      </c>
      <c r="N11" s="12">
        <v>0</v>
      </c>
      <c r="O11" s="9">
        <v>0.2</v>
      </c>
      <c r="P11" s="13">
        <f>_xll.dnetGBlackScholesNGreeks("price",$G11,$H11,$I11,$M11,$C$3,$N11,$O11,$C$4)*E11</f>
        <v>61.33450825429577</v>
      </c>
      <c r="Q11" s="15">
        <v>0</v>
      </c>
      <c r="R11" s="13">
        <f t="shared" ref="R11:R12" si="14">Q11/10000*M11*H11</f>
        <v>0</v>
      </c>
      <c r="S11" s="13">
        <f t="shared" ref="S11:S12" si="15">IF(P11&lt;=0,ABS(P11)+R11,P11-R11)</f>
        <v>61.33450825429577</v>
      </c>
      <c r="T11" s="14">
        <f t="shared" ref="T11:T12" si="16">S11/H11</f>
        <v>1.6915198084472081E-2</v>
      </c>
      <c r="U11" s="13">
        <f>_xll.dnetGBlackScholesNGreeks("delta",$G11,$H11,$I11,$M11,$C$3,$N11,$O11,$C$4)*E11</f>
        <v>-0.27931797924907187</v>
      </c>
      <c r="V11" s="13">
        <f>_xll.dnetGBlackScholesNGreeks("vega",$G11,$H11,$I11,$M11,$C$3,$N11,$O11,$C$4)*E11</f>
        <v>5.6573811738051631</v>
      </c>
    </row>
    <row r="12" spans="1:22">
      <c r="A12" s="63"/>
      <c r="B12" s="13"/>
      <c r="C12" s="10" t="s">
        <v>207</v>
      </c>
      <c r="D12" s="10" t="s">
        <v>150</v>
      </c>
      <c r="E12" s="10">
        <f t="shared" si="12"/>
        <v>1</v>
      </c>
      <c r="F12" s="10" t="s">
        <v>206</v>
      </c>
      <c r="G12" s="10" t="s">
        <v>85</v>
      </c>
      <c r="H12" s="11">
        <f>RTD("wdf.rtq",,F12,"LastPrice")</f>
        <v>3626</v>
      </c>
      <c r="I12" s="10">
        <v>3400</v>
      </c>
      <c r="J12" s="8">
        <f t="shared" ca="1" si="1"/>
        <v>43095</v>
      </c>
      <c r="K12" s="8">
        <f t="shared" ca="1" si="13"/>
        <v>43176</v>
      </c>
      <c r="L12" s="10">
        <v>81</v>
      </c>
      <c r="M12" s="12">
        <f>(L12-7)/365</f>
        <v>0.20273972602739726</v>
      </c>
      <c r="N12" s="12">
        <v>0</v>
      </c>
      <c r="O12" s="9">
        <v>0.2</v>
      </c>
      <c r="P12" s="13">
        <f>_xll.dnetGBlackScholesNGreeks("price",$G12,$H12,$I12,$M12,$C$3,$N12,$O12,$C$4)*E12</f>
        <v>43.865177001759093</v>
      </c>
      <c r="Q12" s="15">
        <v>0</v>
      </c>
      <c r="R12" s="13">
        <f t="shared" si="14"/>
        <v>0</v>
      </c>
      <c r="S12" s="13">
        <f t="shared" si="15"/>
        <v>43.865177001759093</v>
      </c>
      <c r="T12" s="14">
        <f t="shared" si="16"/>
        <v>1.2097401269100687E-2</v>
      </c>
      <c r="U12" s="13">
        <f>_xll.dnetGBlackScholesNGreeks("delta",$G12,$H12,$I12,$M12,$C$3,$N12,$O12,$C$4)*E12</f>
        <v>-0.22282484630977706</v>
      </c>
      <c r="V12" s="13">
        <f>_xll.dnetGBlackScholesNGreeks("vega",$G12,$H12,$I12,$M12,$C$3,$N12,$O12,$C$4)*E12</f>
        <v>4.8585258309315122</v>
      </c>
    </row>
    <row r="13" spans="1:22">
      <c r="A13" s="63"/>
      <c r="B13" s="13"/>
      <c r="C13" s="10" t="s">
        <v>207</v>
      </c>
      <c r="D13" s="10" t="s">
        <v>150</v>
      </c>
      <c r="E13" s="10">
        <f t="shared" ref="E13:E14" si="17">IF(D13="中金买入",1,-1)</f>
        <v>1</v>
      </c>
      <c r="F13" s="10" t="s">
        <v>206</v>
      </c>
      <c r="G13" s="10" t="s">
        <v>85</v>
      </c>
      <c r="H13" s="11">
        <f>RTD("wdf.rtq",,F13,"LastPrice")</f>
        <v>3626</v>
      </c>
      <c r="I13" s="10">
        <v>3450</v>
      </c>
      <c r="J13" s="8">
        <f ca="1">TODAY()</f>
        <v>43095</v>
      </c>
      <c r="K13" s="8">
        <f t="shared" ref="K13:K14" ca="1" si="18">J13+L13</f>
        <v>43176</v>
      </c>
      <c r="L13" s="10">
        <v>81</v>
      </c>
      <c r="M13" s="12">
        <f>(L13-7)/365</f>
        <v>0.20273972602739726</v>
      </c>
      <c r="N13" s="12">
        <v>0</v>
      </c>
      <c r="O13" s="9">
        <v>0.2</v>
      </c>
      <c r="P13" s="13">
        <f>_xll.dnetGBlackScholesNGreeks("price",$G13,$H13,$I13,$M13,$C$3,$N13,$O13,$C$4)*E13</f>
        <v>57.727110493520399</v>
      </c>
      <c r="Q13" s="15">
        <v>0</v>
      </c>
      <c r="R13" s="13">
        <f t="shared" ref="R13:R14" si="19">Q13/10000*M13*H13</f>
        <v>0</v>
      </c>
      <c r="S13" s="13">
        <f t="shared" ref="S13:S14" si="20">IF(P13&lt;=0,ABS(P13)+R13,P13-R13)</f>
        <v>57.727110493520399</v>
      </c>
      <c r="T13" s="14">
        <f t="shared" ref="T13:T14" si="21">S13/H13</f>
        <v>1.5920328321434196E-2</v>
      </c>
      <c r="U13" s="13">
        <f>_xll.dnetGBlackScholesNGreeks("delta",$G13,$H13,$I13,$M13,$C$3,$N13,$O13,$C$4)*E13</f>
        <v>-0.27395941361305631</v>
      </c>
      <c r="V13" s="13">
        <f>_xll.dnetGBlackScholesNGreeks("vega",$G13,$H13,$I13,$M13,$C$3,$N13,$O13,$C$4)*E13</f>
        <v>5.4245353482470478</v>
      </c>
    </row>
    <row r="14" spans="1:22">
      <c r="A14" s="6">
        <v>1805</v>
      </c>
      <c r="B14" s="65"/>
      <c r="C14" s="10" t="s">
        <v>208</v>
      </c>
      <c r="D14" s="10" t="s">
        <v>150</v>
      </c>
      <c r="E14" s="10">
        <f t="shared" si="17"/>
        <v>1</v>
      </c>
      <c r="F14" s="10" t="s">
        <v>210</v>
      </c>
      <c r="G14" s="10" t="s">
        <v>85</v>
      </c>
      <c r="H14" s="11">
        <v>15000</v>
      </c>
      <c r="I14" s="11">
        <v>14500</v>
      </c>
      <c r="J14" s="8">
        <f t="shared" ca="1" si="1"/>
        <v>43095</v>
      </c>
      <c r="K14" s="8">
        <f t="shared" ca="1" si="18"/>
        <v>43126</v>
      </c>
      <c r="L14" s="10">
        <v>31</v>
      </c>
      <c r="M14" s="12">
        <f>(L14)/365</f>
        <v>8.4931506849315067E-2</v>
      </c>
      <c r="N14" s="12">
        <v>0</v>
      </c>
      <c r="O14" s="9">
        <v>0.09</v>
      </c>
      <c r="P14" s="13">
        <f>_xll.dnetGBlackScholesNGreeks("price",$G14,$H14,$I14,$M14,$C$3,$N14,$O14,$C$4)*E14</f>
        <v>17.860938938860272</v>
      </c>
      <c r="Q14" s="15">
        <v>0</v>
      </c>
      <c r="R14" s="13">
        <f t="shared" si="19"/>
        <v>0</v>
      </c>
      <c r="S14" s="13">
        <f t="shared" si="20"/>
        <v>17.860938938860272</v>
      </c>
      <c r="T14" s="14">
        <f t="shared" si="21"/>
        <v>1.1907292625906848E-3</v>
      </c>
      <c r="U14" s="13">
        <f>_xll.dnetGBlackScholesNGreeks("delta",$G14,$H14,$I14,$M14,$C$3,$N14,$O14,$C$4)*E14</f>
        <v>-9.5673090572745423E-2</v>
      </c>
      <c r="V14" s="13">
        <f>_xll.dnetGBlackScholesNGreeks("vega",$G14,$H14,$I14,$M14,$C$3,$N14,$O14,$C$4)*E14</f>
        <v>7.390109569190372</v>
      </c>
    </row>
    <row r="15" spans="1:22" ht="14.4">
      <c r="B15" s="13"/>
      <c r="C15" s="10" t="s">
        <v>208</v>
      </c>
      <c r="D15" s="10" t="s">
        <v>150</v>
      </c>
      <c r="E15" s="10">
        <f t="shared" ref="E15" si="22">IF(D15="中金买入",1,-1)</f>
        <v>1</v>
      </c>
      <c r="F15" s="10" t="s">
        <v>210</v>
      </c>
      <c r="G15" s="10" t="s">
        <v>39</v>
      </c>
      <c r="H15" s="11">
        <v>15000</v>
      </c>
      <c r="I15" s="10">
        <v>15500</v>
      </c>
      <c r="J15" s="8">
        <f ca="1">TODAY()</f>
        <v>43095</v>
      </c>
      <c r="K15" s="8">
        <f t="shared" ref="K15" ca="1" si="23">J15+L15</f>
        <v>43126</v>
      </c>
      <c r="L15" s="10">
        <v>31</v>
      </c>
      <c r="M15" s="12">
        <f>(L15)/365</f>
        <v>8.4931506849315067E-2</v>
      </c>
      <c r="N15" s="12">
        <v>0</v>
      </c>
      <c r="O15" s="9">
        <v>0.09</v>
      </c>
      <c r="P15" s="13">
        <f>_xll.dnetGBlackScholesNGreeks("price",$G15,$H15,$I15,$M15,$C$3,$N15,$O15,$C$4)*E15</f>
        <v>20.18956137971486</v>
      </c>
      <c r="Q15" s="15">
        <v>0</v>
      </c>
      <c r="R15" s="13">
        <f t="shared" ref="R15" si="24">Q15/10000*M15*H15</f>
        <v>0</v>
      </c>
      <c r="S15" s="13">
        <f t="shared" ref="S15" si="25">IF(P15&lt;=0,ABS(P15)+R15,P15-R15)</f>
        <v>20.18956137971486</v>
      </c>
      <c r="T15" s="14">
        <f t="shared" ref="T15" si="26">S15/H15</f>
        <v>1.3459707586476572E-3</v>
      </c>
      <c r="U15" s="13">
        <f>_xll.dnetGBlackScholesNGreeks("delta",$G15,$H15,$I15,$M15,$C$3,$N15,$O15,$C$4)*E15</f>
        <v>0.10785355481175429</v>
      </c>
      <c r="V15" s="108">
        <f>_xll.dnetGBlackScholesNGreeks("vega",$G15,$H15,$I15,$M15,$C$3,$N15,$O15,$C$4)*E15</f>
        <v>8.063239326109283</v>
      </c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C1" zoomScale="85" zoomScaleNormal="85" workbookViewId="0">
      <selection activeCell="J31" sqref="J31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5" width="9.21875" style="6" bestFit="1" customWidth="1"/>
    <col min="6" max="7" width="9" style="6"/>
    <col min="8" max="8" width="9.44140625" style="6" bestFit="1" customWidth="1"/>
    <col min="9" max="9" width="9.21875" style="6" bestFit="1" customWidth="1"/>
    <col min="10" max="10" width="11.6640625" style="6" bestFit="1" customWidth="1"/>
    <col min="11" max="11" width="10.44140625" style="6" bestFit="1" customWidth="1"/>
    <col min="12" max="13" width="8.109375" style="6" customWidth="1"/>
    <col min="14" max="14" width="9.21875" style="6" bestFit="1" customWidth="1"/>
    <col min="15" max="15" width="7.21875" style="6" customWidth="1"/>
    <col min="16" max="16" width="9.21875" style="6" bestFit="1" customWidth="1"/>
    <col min="17" max="17" width="10.109375" style="6" customWidth="1"/>
    <col min="18" max="19" width="6.44140625" style="6" customWidth="1"/>
    <col min="20" max="20" width="9" style="6" customWidth="1"/>
    <col min="21" max="21" width="9.21875" style="6" bestFit="1" customWidth="1"/>
    <col min="22" max="22" width="13.77734375" style="6" customWidth="1"/>
    <col min="23" max="16384" width="9" style="6"/>
  </cols>
  <sheetData>
    <row r="1" spans="1:22" ht="13.5" customHeight="1" thickBot="1">
      <c r="B1" s="137" t="s">
        <v>37</v>
      </c>
      <c r="C1" s="134"/>
    </row>
    <row r="2" spans="1:22" ht="12.6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.6" thickBot="1">
      <c r="B4" s="38" t="s">
        <v>18</v>
      </c>
      <c r="C4" s="38">
        <v>0.01</v>
      </c>
    </row>
    <row r="5" spans="1:22" ht="12.6" thickTop="1"/>
    <row r="6" spans="1:22" ht="12.6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.6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5" thickTop="1">
      <c r="A8" s="72"/>
      <c r="B8" s="73" t="s">
        <v>199</v>
      </c>
      <c r="C8" s="74" t="s">
        <v>186</v>
      </c>
      <c r="D8" s="74" t="s">
        <v>20</v>
      </c>
      <c r="E8" s="74">
        <f>IF(D8="中金买入",1,-1)</f>
        <v>-1</v>
      </c>
      <c r="F8" s="74" t="s">
        <v>185</v>
      </c>
      <c r="G8" s="74" t="s">
        <v>39</v>
      </c>
      <c r="H8" s="75">
        <v>100</v>
      </c>
      <c r="I8" s="74">
        <v>100</v>
      </c>
      <c r="J8" s="76">
        <f ca="1">TODAY()</f>
        <v>43095</v>
      </c>
      <c r="K8" s="76">
        <f ca="1">J8+L8</f>
        <v>43125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4.4">
      <c r="A9" s="72"/>
      <c r="B9" s="81" t="s">
        <v>200</v>
      </c>
      <c r="C9" s="82" t="s">
        <v>186</v>
      </c>
      <c r="D9" s="82" t="s">
        <v>150</v>
      </c>
      <c r="E9" s="82">
        <f>IF(D9="中金买入",1,-1)</f>
        <v>1</v>
      </c>
      <c r="F9" s="82" t="s">
        <v>185</v>
      </c>
      <c r="G9" s="82" t="s">
        <v>39</v>
      </c>
      <c r="H9" s="83">
        <v>100</v>
      </c>
      <c r="I9" s="82">
        <v>100</v>
      </c>
      <c r="J9" s="84">
        <f t="shared" ref="J9:L10" ca="1" si="0">J8</f>
        <v>43095</v>
      </c>
      <c r="K9" s="84">
        <f t="shared" ca="1" si="0"/>
        <v>43125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4.4">
      <c r="A10" s="72"/>
      <c r="B10" s="89" t="s">
        <v>201</v>
      </c>
      <c r="C10" s="90" t="s">
        <v>186</v>
      </c>
      <c r="D10" s="90" t="s">
        <v>150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43095</v>
      </c>
      <c r="K10" s="92">
        <f t="shared" ca="1" si="0"/>
        <v>43125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4.4">
      <c r="A11" s="95"/>
      <c r="B11" s="81" t="s">
        <v>199</v>
      </c>
      <c r="C11" s="82" t="s">
        <v>186</v>
      </c>
      <c r="D11" s="82" t="s">
        <v>20</v>
      </c>
      <c r="E11" s="82">
        <f>IF(D11="中金买入",1,-1)</f>
        <v>-1</v>
      </c>
      <c r="F11" s="82" t="s">
        <v>213</v>
      </c>
      <c r="G11" s="82" t="s">
        <v>27</v>
      </c>
      <c r="H11" s="83">
        <v>100</v>
      </c>
      <c r="I11" s="83">
        <v>100</v>
      </c>
      <c r="J11" s="84">
        <f ca="1">TODAY()</f>
        <v>43095</v>
      </c>
      <c r="K11" s="84">
        <f ca="1">J11+L11</f>
        <v>43460</v>
      </c>
      <c r="L11" s="82">
        <v>365</v>
      </c>
      <c r="M11" s="85">
        <f>L11/365</f>
        <v>1</v>
      </c>
      <c r="N11" s="85">
        <v>0.04</v>
      </c>
      <c r="O11" s="86">
        <v>0.14000000000000001</v>
      </c>
      <c r="P11" s="81">
        <f>_xll.dnetGBlackScholesNGreeks("price",$G11,$H11,$I11,$M11,$C$3,$N11,$O11,$C$4)*E11</f>
        <v>-7.807765813674429</v>
      </c>
      <c r="Q11" s="87"/>
      <c r="R11" s="81"/>
      <c r="S11" s="81">
        <f>P11+R11</f>
        <v>-7.807765813674429</v>
      </c>
      <c r="T11" s="88"/>
      <c r="U11" s="81">
        <f>_xll.dnetGBlackScholesNGreeks("delta",$G11,$H11,$I11,$M11,$C$3,$N11,$O11,$C$4)*E11</f>
        <v>-0.65188081650227048</v>
      </c>
      <c r="V11" s="81">
        <f>_xll.dnetGBlackScholesNGreeks("vega",$G11,$H11,$I11,$M11,$C$3,$N11,$O11,$C$4)*E11</f>
        <v>-0.38196998341374311</v>
      </c>
    </row>
    <row r="12" spans="1:22" ht="14.4">
      <c r="A12" s="95"/>
      <c r="B12" s="81" t="s">
        <v>200</v>
      </c>
      <c r="C12" s="82" t="s">
        <v>186</v>
      </c>
      <c r="D12" s="82" t="s">
        <v>150</v>
      </c>
      <c r="E12" s="82">
        <f>IF(D12="中金买入",1,-1)</f>
        <v>1</v>
      </c>
      <c r="F12" s="82" t="str">
        <f>F11</f>
        <v>au9999</v>
      </c>
      <c r="G12" s="82" t="s">
        <v>27</v>
      </c>
      <c r="H12" s="83">
        <v>100</v>
      </c>
      <c r="I12" s="83">
        <v>115</v>
      </c>
      <c r="J12" s="84">
        <f t="shared" ref="J12:K12" ca="1" si="2">J11</f>
        <v>43095</v>
      </c>
      <c r="K12" s="84">
        <f t="shared" ca="1" si="2"/>
        <v>43460</v>
      </c>
      <c r="L12" s="82">
        <f>L11</f>
        <v>365</v>
      </c>
      <c r="M12" s="85">
        <f>L12/365</f>
        <v>1</v>
      </c>
      <c r="N12" s="85">
        <v>0.04</v>
      </c>
      <c r="O12" s="86">
        <v>0.12</v>
      </c>
      <c r="P12" s="81">
        <f>_xll.dnetGBlackScholesNGreeks("price",$G12,$H12,$I12,$M12,$C$3,$N12,$O12,$C$4)*E12</f>
        <v>1.4616713508358821</v>
      </c>
      <c r="Q12" s="87"/>
      <c r="R12" s="81"/>
      <c r="S12" s="81">
        <f>P12+R12</f>
        <v>1.4616713508358821</v>
      </c>
      <c r="T12" s="88"/>
      <c r="U12" s="81">
        <f>_xll.dnetGBlackScholesNGreeks("delta",$G12,$H12,$I12,$M12,$C$3,$N12,$O12,$C$4)*E12</f>
        <v>0.22469925964525572</v>
      </c>
      <c r="V12" s="81">
        <f>_xll.dnetGBlackScholesNGreeks("vega",$G12,$H12,$I12,$M12,$C$3,$N12,$O12,$C$4)*E12</f>
        <v>0.30170917909716799</v>
      </c>
    </row>
    <row r="13" spans="1:22" ht="14.4">
      <c r="A13" s="95"/>
      <c r="B13" s="89" t="s">
        <v>201</v>
      </c>
      <c r="C13" s="90" t="s">
        <v>186</v>
      </c>
      <c r="D13" s="90" t="s">
        <v>20</v>
      </c>
      <c r="E13" s="90"/>
      <c r="F13" s="90" t="str">
        <f>F12</f>
        <v>au9999</v>
      </c>
      <c r="G13" s="90"/>
      <c r="H13" s="91">
        <f>H12</f>
        <v>100</v>
      </c>
      <c r="I13" s="90" t="str">
        <f>I11 &amp; "|" &amp; I12</f>
        <v>100|115</v>
      </c>
      <c r="J13" s="92">
        <f t="shared" ref="J13:K13" ca="1" si="3">J12</f>
        <v>43095</v>
      </c>
      <c r="K13" s="92">
        <f t="shared" ca="1" si="3"/>
        <v>43460</v>
      </c>
      <c r="L13" s="90">
        <f>L12</f>
        <v>365</v>
      </c>
      <c r="M13" s="93">
        <f>M12</f>
        <v>1</v>
      </c>
      <c r="N13" s="93"/>
      <c r="O13" s="90"/>
      <c r="P13" s="89">
        <f>P12+P11</f>
        <v>-6.3460944628385469</v>
      </c>
      <c r="Q13" s="90">
        <v>50</v>
      </c>
      <c r="R13" s="89">
        <f>Q13/10000*M13*H13</f>
        <v>0.5</v>
      </c>
      <c r="S13" s="89">
        <f>IF(P13&lt;=0,ABS(P13)+R13,P13-R13)</f>
        <v>6.8460944628385469</v>
      </c>
      <c r="T13" s="94">
        <f>S13/H13</f>
        <v>6.8460944628385464E-2</v>
      </c>
      <c r="U13" s="94">
        <f t="shared" ref="U13:V13" si="4">U12+U11</f>
        <v>-0.42718155685701475</v>
      </c>
      <c r="V13" s="94">
        <f t="shared" si="4"/>
        <v>-8.0260804316575118E-2</v>
      </c>
    </row>
    <row r="14" spans="1:22" ht="14.4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4.4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4.4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4.4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4.4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4.4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4.4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4.4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4.4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4.4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4.4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4.4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4.4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4.4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4.4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09375" style="6" customWidth="1"/>
    <col min="16" max="16" width="6.88671875" style="6" customWidth="1"/>
    <col min="17" max="17" width="9" style="6"/>
    <col min="18" max="18" width="7.21875" style="6" customWidth="1"/>
    <col min="19" max="19" width="9" style="6"/>
    <col min="20" max="20" width="10.109375" style="6" customWidth="1"/>
    <col min="21" max="22" width="6.44140625" style="6" customWidth="1"/>
    <col min="23" max="24" width="9" style="6"/>
    <col min="25" max="25" width="13.77734375" style="6" customWidth="1"/>
    <col min="26" max="16384" width="9" style="6"/>
  </cols>
  <sheetData>
    <row r="1" spans="1:25" ht="13.5" customHeight="1" thickBot="1">
      <c r="B1" s="134" t="s">
        <v>38</v>
      </c>
      <c r="C1" s="134"/>
    </row>
    <row r="2" spans="1:25" ht="12.6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.6" thickBot="1">
      <c r="B4" s="5" t="s">
        <v>18</v>
      </c>
      <c r="C4" s="5">
        <v>0.01</v>
      </c>
    </row>
    <row r="5" spans="1:25" ht="12.6" thickTop="1"/>
    <row r="6" spans="1:25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2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.6" thickTop="1">
      <c r="A8" s="63"/>
      <c r="B8" s="24" t="s">
        <v>197</v>
      </c>
      <c r="C8" s="19" t="s">
        <v>186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3822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6">
        <v>0.02</v>
      </c>
      <c r="M8" s="21">
        <f ca="1">TODAY()</f>
        <v>43095</v>
      </c>
      <c r="N8" s="21">
        <f ca="1">M8+O8</f>
        <v>43125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-57.634859899604322</v>
      </c>
      <c r="T8" s="25">
        <v>80</v>
      </c>
      <c r="U8" s="24">
        <f>T8/10000*P8*H8</f>
        <v>2.513095890410959</v>
      </c>
      <c r="V8" s="24">
        <f>IF(S8&lt;=0,ABS(S8)+U8,S8-U8)</f>
        <v>60.147955790015281</v>
      </c>
      <c r="W8" s="26">
        <f>V8/H8</f>
        <v>1.5737298741500597E-2</v>
      </c>
      <c r="X8" s="24">
        <f>_xll.dnetStandardBarrierNGreeks("delta",G8,H8,I8,K8,L8*H8,P8,$C$3,Q8,R8,$C$4)</f>
        <v>0.17606175318825024</v>
      </c>
      <c r="Y8" s="24">
        <f>_xll.dnetStandardBarrierNGreeks("vega",G8,H8,I8,K8,L8*H8,P8,$C$3,Q8,R8,$C$4)</f>
        <v>0.52986606330467723</v>
      </c>
    </row>
    <row r="9" spans="1:25">
      <c r="A9" s="63"/>
      <c r="B9" s="13" t="s">
        <v>198</v>
      </c>
      <c r="C9" s="10" t="s">
        <v>188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7">
        <v>5.0000000000000001E-3</v>
      </c>
      <c r="M9" s="8">
        <f ca="1">TODAY()</f>
        <v>43095</v>
      </c>
      <c r="N9" s="8">
        <f ca="1">M9+O9</f>
        <v>43275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4.4"/>
  <cols>
    <col min="1" max="1" width="10.88671875" bestFit="1" customWidth="1"/>
  </cols>
  <sheetData>
    <row r="1" spans="1:6" ht="15" thickBot="1">
      <c r="A1" s="96">
        <v>43087</v>
      </c>
      <c r="B1" s="97"/>
      <c r="C1" s="98" t="s">
        <v>49</v>
      </c>
      <c r="D1" s="97"/>
      <c r="E1" s="98" t="s">
        <v>50</v>
      </c>
      <c r="F1" s="99"/>
    </row>
    <row r="2" spans="1:6" ht="1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09">
        <v>0.25</v>
      </c>
    </row>
    <row r="4" spans="1:6" ht="15" thickBot="1">
      <c r="A4" s="100" t="s">
        <v>59</v>
      </c>
      <c r="B4" s="101" t="s">
        <v>60</v>
      </c>
      <c r="C4" s="110">
        <v>0.13750000000000001</v>
      </c>
      <c r="D4" s="110">
        <v>0.1825</v>
      </c>
      <c r="E4" s="110">
        <v>0.14499999999999999</v>
      </c>
      <c r="F4" s="111">
        <v>0.185</v>
      </c>
    </row>
    <row r="5" spans="1:6" ht="15" thickBot="1">
      <c r="A5" s="104" t="s">
        <v>61</v>
      </c>
      <c r="B5" s="105" t="s">
        <v>62</v>
      </c>
      <c r="C5" s="107"/>
      <c r="D5" s="107"/>
      <c r="E5" s="107"/>
      <c r="F5" s="112"/>
    </row>
    <row r="6" spans="1:6" ht="15" thickBot="1">
      <c r="A6" s="100" t="s">
        <v>63</v>
      </c>
      <c r="B6" s="101" t="s">
        <v>64</v>
      </c>
      <c r="C6" s="113">
        <v>0.29499999999999998</v>
      </c>
      <c r="D6" s="113">
        <v>0.35499999999999998</v>
      </c>
      <c r="E6" s="113">
        <v>0.26500000000000001</v>
      </c>
      <c r="F6" s="114">
        <v>0.315</v>
      </c>
    </row>
    <row r="7" spans="1:6" ht="1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09">
        <v>0.19</v>
      </c>
    </row>
    <row r="8" spans="1:6" ht="15" thickBot="1">
      <c r="A8" s="100" t="s">
        <v>67</v>
      </c>
      <c r="B8" s="101" t="s">
        <v>68</v>
      </c>
      <c r="C8" s="113">
        <v>0.32</v>
      </c>
      <c r="D8" s="113">
        <v>0.44</v>
      </c>
      <c r="E8" s="113">
        <v>0.32</v>
      </c>
      <c r="F8" s="114">
        <v>0.42</v>
      </c>
    </row>
    <row r="9" spans="1:6" ht="1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09">
        <v>0.42</v>
      </c>
    </row>
    <row r="10" spans="1:6" ht="15" thickBot="1">
      <c r="A10" s="100" t="s">
        <v>71</v>
      </c>
      <c r="B10" s="101" t="s">
        <v>72</v>
      </c>
      <c r="C10" s="113">
        <v>0.24</v>
      </c>
      <c r="D10" s="113">
        <v>0.32</v>
      </c>
      <c r="E10" s="113">
        <v>0.27</v>
      </c>
      <c r="F10" s="114">
        <v>0.34</v>
      </c>
    </row>
    <row r="11" spans="1:6" ht="1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09">
        <v>0.39500000000000002</v>
      </c>
    </row>
    <row r="12" spans="1:6" ht="15" thickBot="1">
      <c r="A12" s="100" t="s">
        <v>75</v>
      </c>
      <c r="B12" s="101" t="s">
        <v>76</v>
      </c>
      <c r="C12" s="113">
        <v>0.215</v>
      </c>
      <c r="D12" s="113">
        <v>0.28499999999999998</v>
      </c>
      <c r="E12" s="113">
        <v>0.23499999999999999</v>
      </c>
      <c r="F12" s="114">
        <v>0.30499999999999999</v>
      </c>
    </row>
    <row r="13" spans="1:6" ht="1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09">
        <v>0.13</v>
      </c>
    </row>
    <row r="14" spans="1:6" ht="15" thickBot="1">
      <c r="A14" s="100" t="s">
        <v>79</v>
      </c>
      <c r="B14" s="101" t="s">
        <v>80</v>
      </c>
      <c r="C14" s="110">
        <v>0.11</v>
      </c>
      <c r="D14" s="110">
        <v>0.17</v>
      </c>
      <c r="E14" s="110">
        <v>0.14499999999999999</v>
      </c>
      <c r="F14" s="111">
        <v>0.19500000000000001</v>
      </c>
    </row>
    <row r="15" spans="1:6" ht="29.4" thickBot="1">
      <c r="A15" s="104" t="s">
        <v>81</v>
      </c>
      <c r="B15" s="105" t="s">
        <v>82</v>
      </c>
      <c r="C15" s="107"/>
      <c r="D15" s="107"/>
      <c r="E15" s="107"/>
      <c r="F15" s="112"/>
    </row>
    <row r="16" spans="1:6" ht="15" thickBot="1">
      <c r="A16" s="100" t="s">
        <v>83</v>
      </c>
      <c r="B16" s="101" t="s">
        <v>84</v>
      </c>
      <c r="C16" s="113">
        <v>0.13</v>
      </c>
      <c r="D16" s="113">
        <v>0.19</v>
      </c>
      <c r="E16" s="113">
        <v>0.185</v>
      </c>
      <c r="F16" s="114">
        <v>0.23499999999999999</v>
      </c>
    </row>
    <row r="17" spans="1:6" ht="15" thickBot="1">
      <c r="A17" s="104" t="s">
        <v>85</v>
      </c>
      <c r="B17" s="105" t="s">
        <v>86</v>
      </c>
      <c r="C17" s="115">
        <v>0.14749999999999999</v>
      </c>
      <c r="D17" s="115">
        <v>0.19750000000000001</v>
      </c>
      <c r="E17" s="115">
        <v>0.16</v>
      </c>
      <c r="F17" s="116">
        <v>0.21</v>
      </c>
    </row>
    <row r="18" spans="1:6" ht="15" thickBot="1">
      <c r="A18" s="100" t="s">
        <v>87</v>
      </c>
      <c r="B18" s="101" t="s">
        <v>88</v>
      </c>
      <c r="C18" s="117"/>
      <c r="D18" s="117"/>
      <c r="E18" s="117"/>
      <c r="F18" s="118"/>
    </row>
    <row r="19" spans="1:6" ht="15" thickBot="1">
      <c r="A19" s="104" t="s">
        <v>89</v>
      </c>
      <c r="B19" s="105" t="s">
        <v>90</v>
      </c>
      <c r="C19" s="107"/>
      <c r="D19" s="107"/>
      <c r="E19" s="107"/>
      <c r="F19" s="112"/>
    </row>
    <row r="20" spans="1:6" ht="15" thickBot="1">
      <c r="A20" s="100" t="s">
        <v>91</v>
      </c>
      <c r="B20" s="101" t="s">
        <v>92</v>
      </c>
      <c r="C20" s="110">
        <v>0.09</v>
      </c>
      <c r="D20" s="110">
        <v>0.17</v>
      </c>
      <c r="E20" s="110">
        <v>0.11</v>
      </c>
      <c r="F20" s="111">
        <v>0.19</v>
      </c>
    </row>
    <row r="21" spans="1:6" ht="15" thickBot="1">
      <c r="A21" s="104" t="s">
        <v>93</v>
      </c>
      <c r="B21" s="105" t="s">
        <v>94</v>
      </c>
      <c r="C21" s="107"/>
      <c r="D21" s="107"/>
      <c r="E21" s="107"/>
      <c r="F21" s="112"/>
    </row>
    <row r="22" spans="1:6" ht="15" thickBot="1">
      <c r="A22" s="100" t="s">
        <v>95</v>
      </c>
      <c r="B22" s="101" t="s">
        <v>96</v>
      </c>
      <c r="C22" s="113">
        <v>0.12</v>
      </c>
      <c r="D22" s="113">
        <v>0.16</v>
      </c>
      <c r="E22" s="113">
        <v>0.13500000000000001</v>
      </c>
      <c r="F22" s="114">
        <v>0.17</v>
      </c>
    </row>
    <row r="23" spans="1:6" ht="1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09">
        <v>0.17499999999999999</v>
      </c>
    </row>
    <row r="24" spans="1:6" ht="15" thickBot="1">
      <c r="A24" s="100" t="s">
        <v>39</v>
      </c>
      <c r="B24" s="101" t="s">
        <v>99</v>
      </c>
      <c r="C24" s="113">
        <v>7.7499999999999999E-2</v>
      </c>
      <c r="D24" s="113">
        <v>0.1225</v>
      </c>
      <c r="E24" s="113">
        <v>8.5000000000000006E-2</v>
      </c>
      <c r="F24" s="114">
        <v>0.125</v>
      </c>
    </row>
    <row r="25" spans="1:6" ht="1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09">
        <v>0.155</v>
      </c>
    </row>
    <row r="26" spans="1:6" ht="15" thickBot="1">
      <c r="A26" s="100" t="s">
        <v>102</v>
      </c>
      <c r="B26" s="101" t="s">
        <v>103</v>
      </c>
      <c r="C26" s="110">
        <v>0.2</v>
      </c>
      <c r="D26" s="110">
        <v>0.28000000000000003</v>
      </c>
      <c r="E26" s="110">
        <v>0.2</v>
      </c>
      <c r="F26" s="111">
        <v>0.27</v>
      </c>
    </row>
    <row r="27" spans="1:6" ht="15" thickBot="1">
      <c r="A27" s="104" t="s">
        <v>104</v>
      </c>
      <c r="B27" s="105" t="s">
        <v>105</v>
      </c>
      <c r="C27" s="119"/>
      <c r="D27" s="119"/>
      <c r="E27" s="119"/>
      <c r="F27" s="120"/>
    </row>
    <row r="28" spans="1:6" ht="15" thickBot="1">
      <c r="A28" s="100" t="s">
        <v>106</v>
      </c>
      <c r="B28" s="101" t="s">
        <v>107</v>
      </c>
      <c r="C28" s="121"/>
      <c r="D28" s="121"/>
      <c r="E28" s="121"/>
      <c r="F28" s="122"/>
    </row>
    <row r="29" spans="1:6" ht="1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09">
        <v>0.27</v>
      </c>
    </row>
    <row r="30" spans="1:6" ht="15" thickBot="1">
      <c r="A30" s="100" t="s">
        <v>110</v>
      </c>
      <c r="B30" s="101" t="s">
        <v>111</v>
      </c>
      <c r="C30" s="110">
        <v>0.19</v>
      </c>
      <c r="D30" s="110">
        <v>0.23</v>
      </c>
      <c r="E30" s="110">
        <v>0.2</v>
      </c>
      <c r="F30" s="111">
        <v>0.24</v>
      </c>
    </row>
    <row r="31" spans="1:6" ht="15" thickBot="1">
      <c r="A31" s="104" t="s">
        <v>112</v>
      </c>
      <c r="B31" s="105" t="s">
        <v>113</v>
      </c>
      <c r="C31" s="107"/>
      <c r="D31" s="107"/>
      <c r="E31" s="107"/>
      <c r="F31" s="112"/>
    </row>
    <row r="32" spans="1:6" ht="15" thickBot="1">
      <c r="A32" s="100" t="s">
        <v>114</v>
      </c>
      <c r="B32" s="101" t="s">
        <v>115</v>
      </c>
      <c r="C32" s="113">
        <v>0.3</v>
      </c>
      <c r="D32" s="113">
        <v>0.4</v>
      </c>
      <c r="E32" s="113">
        <v>0.30499999999999999</v>
      </c>
      <c r="F32" s="114">
        <v>0.39500000000000002</v>
      </c>
    </row>
    <row r="33" spans="1:6" ht="15" thickBot="1">
      <c r="A33" s="104" t="s">
        <v>116</v>
      </c>
      <c r="B33" s="105" t="s">
        <v>117</v>
      </c>
      <c r="C33" s="106">
        <v>0.1225</v>
      </c>
      <c r="D33" s="106">
        <v>0.16250000000000001</v>
      </c>
      <c r="E33" s="106">
        <v>0.13</v>
      </c>
      <c r="F33" s="109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4.4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154</v>
      </c>
      <c r="L1" s="48" t="s">
        <v>151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155</v>
      </c>
      <c r="L2" s="48" t="s">
        <v>156</v>
      </c>
      <c r="M2" s="48"/>
      <c r="N2" s="48"/>
      <c r="O2" s="48"/>
      <c r="P2" s="48"/>
    </row>
    <row r="3" spans="1:16">
      <c r="A3" s="2" t="s">
        <v>5</v>
      </c>
      <c r="C3" s="2" t="s">
        <v>152</v>
      </c>
    </row>
    <row r="4" spans="1:16">
      <c r="A4" s="2" t="s">
        <v>4</v>
      </c>
      <c r="C4" s="2" t="s">
        <v>153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187</v>
      </c>
    </row>
    <row r="10" spans="1:16">
      <c r="A10" s="2" t="s">
        <v>195</v>
      </c>
    </row>
    <row r="11" spans="1:16">
      <c r="A11" s="2" t="s">
        <v>202</v>
      </c>
    </row>
    <row r="12" spans="1:16">
      <c r="A12" s="2" t="s">
        <v>203</v>
      </c>
    </row>
    <row r="13" spans="1:16">
      <c r="A13" s="2" t="s">
        <v>204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1" width="9" style="6"/>
    <col min="12" max="12" width="8.109375" style="6" customWidth="1"/>
    <col min="13" max="13" width="9" style="6"/>
    <col min="14" max="14" width="7.21875" style="6" customWidth="1"/>
    <col min="15" max="15" width="9" style="6"/>
    <col min="16" max="16" width="10.109375" style="6" customWidth="1"/>
    <col min="17" max="18" width="6.44140625" style="6" customWidth="1"/>
    <col min="19" max="20" width="9" style="6"/>
    <col min="21" max="21" width="13.77734375" style="6" customWidth="1"/>
    <col min="22" max="16384" width="9" style="6"/>
  </cols>
  <sheetData>
    <row r="1" spans="1:21" ht="13.5" customHeight="1" thickBot="1">
      <c r="B1" s="138" t="s">
        <v>37</v>
      </c>
      <c r="C1" s="138"/>
    </row>
    <row r="2" spans="1:21" ht="12.6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.6" thickBot="1">
      <c r="B4" s="5" t="s">
        <v>18</v>
      </c>
      <c r="C4" s="5">
        <v>0.01</v>
      </c>
    </row>
    <row r="5" spans="1:21" ht="12.6" thickTop="1"/>
    <row r="6" spans="1:21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3.2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.6" thickTop="1">
      <c r="A8" s="27"/>
      <c r="B8" s="24" t="s">
        <v>197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3822</v>
      </c>
      <c r="I8" s="19">
        <v>3800</v>
      </c>
      <c r="J8" s="21">
        <f ca="1">TODAY()</f>
        <v>43095</v>
      </c>
      <c r="K8" s="21">
        <f ca="1">J8+L8</f>
        <v>43125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143.49573999199879</v>
      </c>
      <c r="P8" s="25">
        <v>80</v>
      </c>
      <c r="Q8" s="24">
        <f>P8/10000*M8*H8*(-E8)</f>
        <v>2.513095890410959</v>
      </c>
      <c r="R8" s="24">
        <f>O8+Q8</f>
        <v>146.00883588240976</v>
      </c>
      <c r="S8" s="26">
        <f>R8/H8</f>
        <v>3.8202207190583398E-2</v>
      </c>
      <c r="T8" s="24">
        <f>_xll.dnetGBlackScholesNGreeks("delta",$G8,$H8,$I8,$M8,$C$3,$C$4,$N8,$C$4)</f>
        <v>0.54718161724167658</v>
      </c>
      <c r="U8" s="24">
        <f>_xll.dnetGBlackScholesNGreeks("vega",$G8,$H8,$I8,$M8,$C$3,$C$4,$N8)</f>
        <v>4.3365681344494078</v>
      </c>
    </row>
    <row r="9" spans="1:21">
      <c r="A9" s="27"/>
      <c r="B9" s="13" t="s">
        <v>198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43095</v>
      </c>
      <c r="K9" s="8">
        <f ca="1">J9+L9</f>
        <v>43125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43095</v>
      </c>
      <c r="K10" s="8">
        <f ca="1">J10+L10</f>
        <v>43125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2017-12-26T12:34:43Z</dcterms:modified>
</cp:coreProperties>
</file>