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31" i="1" l="1"/>
  <c r="R31" i="1"/>
  <c r="E31" i="1"/>
  <c r="F31" i="1" s="1"/>
  <c r="P31" i="1"/>
  <c r="G31" i="1" l="1"/>
  <c r="N31" i="1"/>
  <c r="R29" i="1"/>
  <c r="I29" i="1"/>
  <c r="E29" i="1"/>
  <c r="F29" i="1" s="1"/>
  <c r="L31" i="1"/>
  <c r="V31" i="1"/>
  <c r="U29" i="1"/>
  <c r="U31" i="1"/>
  <c r="O31" i="1" l="1"/>
  <c r="T31" i="1" s="1"/>
  <c r="X31" i="1"/>
  <c r="N29" i="1"/>
  <c r="X29" i="1"/>
  <c r="V29" i="1"/>
  <c r="L29" i="1"/>
  <c r="O29" i="1" l="1"/>
  <c r="T29" i="1" s="1"/>
  <c r="R27" i="1"/>
  <c r="I27" i="1"/>
  <c r="N27" i="1" s="1"/>
  <c r="E27" i="1"/>
  <c r="F27" i="1" s="1"/>
  <c r="V27" i="1"/>
  <c r="H25" i="1" l="1"/>
  <c r="I25" i="1" s="1"/>
  <c r="N25" i="1" s="1"/>
  <c r="R25" i="1"/>
  <c r="E25" i="1"/>
  <c r="R23" i="1"/>
  <c r="I23" i="1"/>
  <c r="N23" i="1" s="1"/>
  <c r="E23" i="1"/>
  <c r="F23" i="1" s="1"/>
  <c r="I40" i="2"/>
  <c r="L27" i="1"/>
  <c r="V25" i="1"/>
  <c r="U27" i="1"/>
  <c r="L23" i="1"/>
  <c r="O27" i="1" l="1"/>
  <c r="T27" i="1" s="1"/>
  <c r="X27" i="1"/>
  <c r="F25" i="1"/>
  <c r="O23" i="1"/>
  <c r="T23" i="1" s="1"/>
  <c r="U23" i="1"/>
  <c r="L25" i="1"/>
  <c r="U25" i="1"/>
  <c r="V23" i="1"/>
  <c r="X23" i="1" l="1"/>
  <c r="X25" i="1"/>
  <c r="O25" i="1"/>
  <c r="T25" i="1" s="1"/>
  <c r="I21" i="1" l="1"/>
  <c r="N21" i="1" s="1"/>
  <c r="I20" i="1"/>
  <c r="N20" i="1" s="1"/>
  <c r="I19" i="1"/>
  <c r="N19" i="1" s="1"/>
  <c r="R21" i="1"/>
  <c r="E21" i="1"/>
  <c r="F21" i="1" s="1"/>
  <c r="R20" i="1"/>
  <c r="E20" i="1"/>
  <c r="F20" i="1" s="1"/>
  <c r="R19" i="1"/>
  <c r="E19" i="1"/>
  <c r="F19" i="1" s="1"/>
  <c r="N40" i="2" l="1"/>
  <c r="I17" i="1"/>
  <c r="R17" i="1"/>
  <c r="E17" i="1"/>
  <c r="F17" i="1" s="1"/>
  <c r="R15" i="1"/>
  <c r="I15" i="1"/>
  <c r="E15" i="1"/>
  <c r="F15" i="1" s="1"/>
  <c r="R14" i="1"/>
  <c r="I14" i="1"/>
  <c r="E14" i="1"/>
  <c r="F14" i="1" s="1"/>
  <c r="R13" i="1"/>
  <c r="I13" i="1"/>
  <c r="E13" i="1"/>
  <c r="F13" i="1" s="1"/>
  <c r="L15" i="1"/>
  <c r="L13" i="1"/>
  <c r="P17" i="1"/>
  <c r="L14" i="1"/>
  <c r="N17" i="1" l="1"/>
  <c r="N14" i="1"/>
  <c r="O14" i="1" s="1"/>
  <c r="T14" i="1" s="1"/>
  <c r="N15" i="1"/>
  <c r="O15" i="1" s="1"/>
  <c r="T15" i="1" s="1"/>
  <c r="N13" i="1"/>
  <c r="O13" i="1" s="1"/>
  <c r="T13" i="1" s="1"/>
  <c r="R11" i="1"/>
  <c r="I11" i="1"/>
  <c r="N11" i="1" s="1"/>
  <c r="E11" i="1"/>
  <c r="F11" i="1" s="1"/>
  <c r="N10" i="1"/>
  <c r="V17" i="1"/>
  <c r="V13" i="1"/>
  <c r="U13" i="1"/>
  <c r="U15" i="1"/>
  <c r="U14" i="1"/>
  <c r="V14" i="1"/>
  <c r="V15" i="1"/>
  <c r="U17" i="1"/>
  <c r="L17" i="1"/>
  <c r="L11" i="1"/>
  <c r="X14" i="1" l="1"/>
  <c r="X17" i="1"/>
  <c r="O17" i="1"/>
  <c r="T17" i="1" s="1"/>
  <c r="X15" i="1"/>
  <c r="X13" i="1"/>
  <c r="O11" i="1"/>
  <c r="T11" i="1" s="1"/>
  <c r="U11" i="1"/>
  <c r="V11" i="1"/>
  <c r="U18" i="1" l="1"/>
  <c r="X11" i="1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L41" i="9"/>
  <c r="L42" i="9"/>
  <c r="V41" i="9"/>
  <c r="U42" i="9"/>
  <c r="V42" i="9"/>
  <c r="U41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V9" i="1"/>
  <c r="L9" i="1"/>
  <c r="U9" i="1"/>
  <c r="P38" i="9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P35" i="9"/>
  <c r="V38" i="9"/>
  <c r="E39" i="9" l="1"/>
  <c r="E40" i="9" s="1"/>
  <c r="I39" i="9"/>
  <c r="I40" i="9" s="1"/>
  <c r="P36" i="9"/>
  <c r="P37" i="9" s="1"/>
  <c r="E36" i="9"/>
  <c r="E37" i="9" s="1"/>
  <c r="I36" i="9"/>
  <c r="U38" i="9"/>
  <c r="V36" i="9"/>
  <c r="U36" i="9"/>
  <c r="L39" i="9"/>
  <c r="V39" i="9"/>
  <c r="L36" i="9"/>
  <c r="L38" i="9"/>
  <c r="U35" i="9"/>
  <c r="L35" i="9"/>
  <c r="V35" i="9"/>
  <c r="U39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L33" i="9"/>
  <c r="L30" i="9"/>
  <c r="U30" i="9"/>
  <c r="U33" i="9"/>
  <c r="V32" i="9"/>
  <c r="L32" i="9"/>
  <c r="V30" i="9"/>
  <c r="V29" i="9"/>
  <c r="U29" i="9"/>
  <c r="V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1" i="9"/>
  <c r="P20" i="9"/>
  <c r="P14" i="9"/>
  <c r="P26" i="9"/>
  <c r="P17" i="9"/>
  <c r="P23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U26" i="9"/>
  <c r="V15" i="9"/>
  <c r="U21" i="9"/>
  <c r="V24" i="9"/>
  <c r="V17" i="9"/>
  <c r="L14" i="9"/>
  <c r="U12" i="9"/>
  <c r="U11" i="9"/>
  <c r="V27" i="9"/>
  <c r="V21" i="9"/>
  <c r="U24" i="9"/>
  <c r="L20" i="9"/>
  <c r="V23" i="9"/>
  <c r="U18" i="9"/>
  <c r="L11" i="9"/>
  <c r="U23" i="9"/>
  <c r="L17" i="9"/>
  <c r="L12" i="9"/>
  <c r="L18" i="9"/>
  <c r="U14" i="9"/>
  <c r="V12" i="9"/>
  <c r="U27" i="9"/>
  <c r="V20" i="9"/>
  <c r="V26" i="9"/>
  <c r="U20" i="9"/>
  <c r="L21" i="9"/>
  <c r="L24" i="9"/>
  <c r="V14" i="9"/>
  <c r="L27" i="9"/>
  <c r="V18" i="9"/>
  <c r="U17" i="9"/>
  <c r="L23" i="9"/>
  <c r="L15" i="9"/>
  <c r="U15" i="9"/>
  <c r="L26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V9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K9" i="8"/>
  <c r="T10" i="7"/>
  <c r="U9" i="7"/>
  <c r="H8" i="8"/>
  <c r="H8" i="7"/>
  <c r="T9" i="7"/>
  <c r="O10" i="7"/>
  <c r="U10" i="7"/>
  <c r="U8" i="8" l="1"/>
  <c r="Q9" i="7"/>
  <c r="R9" i="7" s="1"/>
  <c r="S9" i="7" s="1"/>
  <c r="Q10" i="7"/>
  <c r="R10" i="7" s="1"/>
  <c r="S10" i="7" s="1"/>
  <c r="Q8" i="7"/>
  <c r="T8" i="7"/>
  <c r="S9" i="8"/>
  <c r="U8" i="7"/>
  <c r="Y9" i="8"/>
  <c r="O8" i="7"/>
  <c r="X9" i="8"/>
  <c r="K8" i="8"/>
  <c r="V9" i="8" l="1"/>
  <c r="W9" i="8" s="1"/>
  <c r="R8" i="7"/>
  <c r="S8" i="7" s="1"/>
  <c r="X8" i="8"/>
  <c r="Y8" i="8"/>
  <c r="S8" i="8"/>
  <c r="V8" i="8" l="1"/>
  <c r="W8" i="8" s="1"/>
  <c r="R8" i="1"/>
  <c r="I8" i="1" l="1"/>
  <c r="E8" i="1"/>
  <c r="F8" i="1" s="1"/>
  <c r="N8" i="1" l="1"/>
  <c r="U8" i="1"/>
  <c r="L8" i="1"/>
  <c r="V8" i="1"/>
  <c r="O8" i="1" l="1"/>
  <c r="T8" i="1" s="1"/>
  <c r="U19" i="1"/>
  <c r="V19" i="1"/>
  <c r="V21" i="1"/>
  <c r="V20" i="1"/>
  <c r="U20" i="1"/>
  <c r="L21" i="1"/>
  <c r="U21" i="1"/>
  <c r="L19" i="1"/>
  <c r="L20" i="1"/>
  <c r="O20" i="1" l="1"/>
  <c r="T20" i="1" s="1"/>
  <c r="O21" i="1"/>
  <c r="T21" i="1" s="1"/>
  <c r="X21" i="1"/>
  <c r="O19" i="1"/>
  <c r="T19" i="1" s="1"/>
  <c r="X20" i="1"/>
  <c r="X19" i="1"/>
</calcChain>
</file>

<file path=xl/sharedStrings.xml><?xml version="1.0" encoding="utf-8"?>
<sst xmlns="http://schemas.openxmlformats.org/spreadsheetml/2006/main" count="1350" uniqueCount="252">
  <si>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</si>
  <si>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</si>
  <si>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</si>
  <si>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</si>
  <si>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</si>
  <si>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</si>
  <si>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</si>
  <si>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</si>
  <si>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</si>
  <si>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</si>
  <si>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</si>
  <si>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</si>
  <si>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</si>
  <si>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</si>
  <si>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</si>
  <si>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</si>
  <si>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</si>
  <si>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</si>
  <si>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</si>
  <si>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</si>
  <si>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</si>
  <si>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</si>
  <si>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</si>
  <si>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</si>
  <si>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</si>
  <si>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</si>
  <si>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</si>
  <si>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</si>
  <si>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</si>
  <si>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</si>
  <si>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</si>
  <si>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</si>
  <si>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</si>
  <si>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</si>
  <si>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</si>
  <si>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</si>
  <si>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</si>
  <si>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</si>
  <si>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</si>
  <si>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</si>
  <si>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</si>
  <si>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</si>
  <si>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</si>
  <si>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</si>
  <si>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</si>
  <si>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</si>
  <si>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</si>
  <si>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</si>
  <si>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</si>
  <si>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</si>
  <si>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</si>
  <si>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</si>
  <si>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</si>
  <si>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</si>
  <si>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</si>
  <si>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</si>
  <si>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</si>
  <si>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</si>
  <si>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</si>
  <si>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</si>
  <si>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</si>
  <si>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</si>
  <si>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</si>
  <si>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</si>
  <si>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</si>
  <si>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</si>
  <si>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</si>
  <si>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</si>
  <si>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</si>
  <si>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</si>
  <si>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</si>
  <si>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</si>
  <si>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</si>
  <si>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</si>
  <si>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</si>
  <si>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</si>
  <si>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</si>
  <si>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</si>
  <si>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</si>
  <si>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</si>
  <si>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</si>
  <si>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</si>
  <si>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</si>
  <si>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</si>
  <si>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</si>
  <si>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</si>
  <si>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</si>
  <si>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</si>
  <si>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</si>
  <si>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</si>
  <si>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</si>
  <si>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</si>
  <si>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</si>
  <si>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</si>
  <si>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</si>
  <si>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</si>
  <si>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</si>
  <si>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</si>
  <si>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</si>
  <si>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</si>
  <si>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</si>
  <si>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</si>
  <si>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</si>
  <si>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</si>
  <si>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</si>
  <si>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</si>
  <si>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</si>
  <si>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</si>
  <si>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</si>
  <si>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</si>
  <si>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</si>
  <si>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</si>
  <si>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</si>
  <si>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</si>
  <si>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</si>
  <si>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</si>
  <si>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</si>
  <si>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</si>
  <si>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</si>
  <si>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</si>
  <si>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</si>
  <si>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</si>
  <si>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</si>
  <si>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</si>
  <si>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</si>
  <si>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</si>
  <si>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</si>
  <si>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</si>
  <si>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</si>
  <si>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</si>
  <si>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</si>
  <si>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</si>
  <si>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</si>
  <si>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</si>
  <si>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</si>
  <si>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</si>
  <si>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</si>
  <si>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</si>
  <si>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</si>
  <si>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</si>
  <si>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</si>
  <si>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</si>
  <si>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</si>
  <si>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</si>
  <si>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</si>
  <si>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</si>
  <si>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</si>
  <si>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</si>
  <si>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</si>
  <si>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</si>
  <si>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</si>
  <si>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</si>
  <si>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</si>
  <si>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</si>
  <si>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</si>
  <si>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</si>
  <si>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</si>
  <si>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</si>
  <si>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</si>
  <si>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</si>
  <si>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</si>
  <si>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</si>
  <si>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</si>
  <si>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</si>
  <si>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</si>
  <si>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</si>
  <si>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</si>
  <si>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</si>
  <si>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</si>
  <si>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</si>
  <si>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</si>
  <si>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</si>
  <si>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</si>
  <si>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</si>
  <si>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</si>
  <si>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</si>
  <si>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</si>
  <si>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</si>
  <si>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</si>
  <si>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</si>
  <si>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</si>
  <si>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</si>
  <si>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</si>
  <si>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</si>
  <si>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</si>
  <si>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</si>
  <si>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</si>
  <si>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</si>
  <si>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</si>
  <si>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</si>
  <si>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</si>
  <si>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</si>
  <si>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</si>
  <si>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</si>
  <si>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</si>
  <si>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</si>
  <si>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</si>
  <si>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</si>
  <si>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</si>
  <si>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</si>
  <si>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</si>
  <si>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</si>
  <si>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</si>
  <si>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</si>
  <si>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</si>
  <si>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</si>
  <si>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</si>
  <si>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</si>
  <si>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</si>
  <si>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</si>
  <si>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</si>
  <si>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</si>
  <si>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</si>
  <si>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</si>
  <si>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</si>
  <si>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</si>
  <si>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</si>
  <si>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</si>
  <si>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</si>
  <si>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</si>
  <si>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</si>
  <si>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</si>
  <si>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</si>
  <si>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</si>
  <si>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</si>
  <si>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</si>
  <si>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</si>
  <si>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</si>
  <si>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</si>
  <si>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</si>
  <si>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</si>
  <si>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</si>
  <si>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</si>
  <si>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</si>
  <si>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</si>
  <si>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al1806</t>
    <phoneticPr fontId="1" type="noConversion"/>
  </si>
  <si>
    <t>中金公司</t>
  </si>
  <si>
    <t>中信寰球</t>
    <phoneticPr fontId="1" type="noConversion"/>
  </si>
  <si>
    <t xml:space="preserve">   看跌期权 </t>
    <phoneticPr fontId="1" type="noConversion"/>
  </si>
  <si>
    <t>rb1810</t>
    <phoneticPr fontId="1" type="noConversion"/>
  </si>
  <si>
    <t>RMB</t>
    <phoneticPr fontId="1" type="noConversion"/>
  </si>
  <si>
    <t>成交回报(平仓交易)</t>
    <phoneticPr fontId="1" type="noConversion"/>
  </si>
  <si>
    <t>al1806</t>
    <phoneticPr fontId="1" type="noConversion"/>
  </si>
  <si>
    <t>Example</t>
    <phoneticPr fontId="1" type="noConversion"/>
  </si>
  <si>
    <t xml:space="preserve">   看跌期权 </t>
  </si>
  <si>
    <t>RMB</t>
  </si>
  <si>
    <t>al1808</t>
    <phoneticPr fontId="1" type="noConversion"/>
  </si>
  <si>
    <t>p1809</t>
    <phoneticPr fontId="1" type="noConversion"/>
  </si>
  <si>
    <t>Example</t>
    <phoneticPr fontId="1" type="noConversion"/>
  </si>
  <si>
    <t>al1808</t>
    <phoneticPr fontId="1" type="noConversion"/>
  </si>
  <si>
    <t>rb1901</t>
  </si>
  <si>
    <t>rb1901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</si>
</sst>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5" fillId="6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14205</v>
        <stp/>
        <stp>al1807</stp>
        <stp>LastPrice</stp>
        <tr r="P41" s="9"/>
      </tp>
      <tp>
        <v>14140</v>
        <stp/>
        <stp>al1806</stp>
        <stp>LastPrice</stp>
        <tr r="P17" s="1"/>
      </tp>
      <tp>
        <v>14280</v>
        <stp/>
        <stp>al1808</stp>
        <stp>LastPrice</stp>
        <tr r="P9" s="1"/>
      </tp>
      <tp>
        <v>3228</v>
        <stp/>
        <stp>rb1901</stp>
        <stp>LastPrice</stp>
        <tr r="P31" s="1"/>
      </tp>
      <tp>
        <v>3344</v>
        <stp/>
        <stp>rb1810</stp>
        <stp>LastPrice</stp>
        <tr r="P23" s="9"/>
        <tr r="P17" s="9"/>
        <tr r="P26" s="9"/>
        <tr r="P14" s="9"/>
        <tr r="P20" s="9"/>
        <tr r="P11" s="9"/>
        <tr r="P35" s="9"/>
        <tr r="P38" s="9"/>
      </tp>
      <tp>
        <v>3592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95"/>
  <sheetViews>
    <sheetView topLeftCell="A64" zoomScaleNormal="100" workbookViewId="0">
      <selection activeCell="S98" sqref="S9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232</v>
      </c>
      <c r="C79" s="114" t="s">
        <v>231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232</v>
      </c>
      <c r="C80" s="114" t="s">
        <v>231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232</v>
      </c>
      <c r="C81" s="114" t="s">
        <v>231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232</v>
      </c>
      <c r="C83" s="114" t="s">
        <v>231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232</v>
      </c>
      <c r="C84" s="114" t="s">
        <v>231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232</v>
      </c>
      <c r="C85" s="114" t="s">
        <v>231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234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4" t="s">
        <v>243</v>
      </c>
      <c r="C89" s="114" t="s">
        <v>218</v>
      </c>
      <c r="D89" s="115">
        <v>43192</v>
      </c>
      <c r="E89" s="115">
        <v>43238</v>
      </c>
      <c r="F89" s="114">
        <v>13100</v>
      </c>
      <c r="G89" s="114">
        <v>46</v>
      </c>
      <c r="H89" s="114">
        <v>0.11506849315068493</v>
      </c>
      <c r="I89" s="114">
        <v>0</v>
      </c>
      <c r="J89" s="114">
        <v>0.11</v>
      </c>
      <c r="K89" s="114">
        <v>8.1089899782398334</v>
      </c>
      <c r="L89" s="114"/>
      <c r="M89" s="114">
        <v>0</v>
      </c>
      <c r="N89" s="116">
        <v>8</v>
      </c>
      <c r="O89" s="114">
        <v>13985</v>
      </c>
      <c r="P89" s="114" t="s">
        <v>85</v>
      </c>
      <c r="Q89" s="114">
        <v>1</v>
      </c>
      <c r="R89" s="114" t="s">
        <v>151</v>
      </c>
    </row>
    <row r="90" spans="2:18" x14ac:dyDescent="0.15">
      <c r="B90" s="114" t="s">
        <v>243</v>
      </c>
      <c r="C90" s="114" t="s">
        <v>218</v>
      </c>
      <c r="D90" s="115">
        <v>43192</v>
      </c>
      <c r="E90" s="115">
        <v>43238</v>
      </c>
      <c r="F90" s="114">
        <v>13200</v>
      </c>
      <c r="G90" s="114">
        <v>46</v>
      </c>
      <c r="H90" s="114">
        <v>0.11506849315068493</v>
      </c>
      <c r="I90" s="114">
        <v>0</v>
      </c>
      <c r="J90" s="114">
        <v>0.11</v>
      </c>
      <c r="K90" s="114">
        <v>13.268327754064558</v>
      </c>
      <c r="L90" s="114"/>
      <c r="M90" s="114">
        <v>0</v>
      </c>
      <c r="N90" s="116">
        <v>13</v>
      </c>
      <c r="O90" s="114">
        <v>13985</v>
      </c>
      <c r="P90" s="114" t="s">
        <v>85</v>
      </c>
      <c r="Q90" s="114">
        <v>1</v>
      </c>
      <c r="R90" s="114" t="s">
        <v>151</v>
      </c>
    </row>
    <row r="91" spans="2:18" x14ac:dyDescent="0.15">
      <c r="B91" s="114" t="s">
        <v>243</v>
      </c>
      <c r="C91" s="114" t="s">
        <v>218</v>
      </c>
      <c r="D91" s="115">
        <v>43192</v>
      </c>
      <c r="E91" s="115">
        <v>43238</v>
      </c>
      <c r="F91" s="114">
        <v>13300</v>
      </c>
      <c r="G91" s="114">
        <v>46</v>
      </c>
      <c r="H91" s="114">
        <v>0.11506849315068493</v>
      </c>
      <c r="I91" s="114">
        <v>0</v>
      </c>
      <c r="J91" s="114">
        <v>0.11</v>
      </c>
      <c r="K91" s="114">
        <v>20.94649443684375</v>
      </c>
      <c r="L91" s="114"/>
      <c r="M91" s="114">
        <v>0</v>
      </c>
      <c r="N91" s="116">
        <v>20.5</v>
      </c>
      <c r="O91" s="114">
        <v>13985</v>
      </c>
      <c r="P91" s="114" t="s">
        <v>85</v>
      </c>
      <c r="Q91" s="114">
        <v>1</v>
      </c>
      <c r="R91" s="114" t="s">
        <v>151</v>
      </c>
    </row>
    <row r="92" spans="2:18" x14ac:dyDescent="0.15">
      <c r="B92" s="33"/>
      <c r="C92" s="33" t="s">
        <v>181</v>
      </c>
      <c r="D92" s="33" t="s">
        <v>180</v>
      </c>
      <c r="E92" s="33" t="s">
        <v>10</v>
      </c>
      <c r="F92" s="33" t="s">
        <v>184</v>
      </c>
      <c r="G92" s="33" t="s">
        <v>11</v>
      </c>
      <c r="H92" s="33" t="s">
        <v>12</v>
      </c>
      <c r="I92" s="33" t="s">
        <v>47</v>
      </c>
      <c r="J92" s="33" t="s">
        <v>13</v>
      </c>
      <c r="K92" s="33" t="s">
        <v>14</v>
      </c>
      <c r="L92" s="33" t="s">
        <v>26</v>
      </c>
      <c r="M92" s="33" t="s">
        <v>28</v>
      </c>
      <c r="N92" s="33" t="s">
        <v>182</v>
      </c>
      <c r="O92" s="33" t="s">
        <v>8</v>
      </c>
      <c r="P92" s="33" t="s">
        <v>23</v>
      </c>
      <c r="Q92" s="33"/>
      <c r="R92" s="33" t="s">
        <v>30</v>
      </c>
    </row>
    <row r="93" spans="2:18" x14ac:dyDescent="0.15">
      <c r="B93" s="114" t="s">
        <v>248</v>
      </c>
      <c r="C93" s="114" t="s">
        <v>185</v>
      </c>
      <c r="D93" s="115">
        <v>43193</v>
      </c>
      <c r="E93" s="115">
        <v>43251</v>
      </c>
      <c r="F93" s="114">
        <v>3500</v>
      </c>
      <c r="G93" s="114">
        <v>58</v>
      </c>
      <c r="H93" s="114">
        <v>0.14794520547945206</v>
      </c>
      <c r="I93" s="114">
        <v>0</v>
      </c>
      <c r="J93" s="114">
        <v>0.2</v>
      </c>
      <c r="K93" s="114">
        <v>190.5244735830679</v>
      </c>
      <c r="L93" s="114"/>
      <c r="M93" s="114">
        <v>0</v>
      </c>
      <c r="N93" s="116">
        <v>188</v>
      </c>
      <c r="O93" s="114">
        <v>3358</v>
      </c>
      <c r="P93" s="114" t="s">
        <v>85</v>
      </c>
      <c r="Q93" s="114">
        <v>1</v>
      </c>
      <c r="R93" s="114" t="s">
        <v>151</v>
      </c>
    </row>
    <row r="94" spans="2:18" x14ac:dyDescent="0.15">
      <c r="B94" s="33"/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2:18" x14ac:dyDescent="0.15">
      <c r="B95" s="114" t="s">
        <v>160</v>
      </c>
      <c r="C95" s="114" t="s">
        <v>250</v>
      </c>
      <c r="D95" s="115">
        <v>43193</v>
      </c>
      <c r="E95" s="115">
        <v>43448</v>
      </c>
      <c r="F95" s="114">
        <v>3233</v>
      </c>
      <c r="G95" s="114">
        <v>255</v>
      </c>
      <c r="H95" s="114">
        <v>0.69863013698630139</v>
      </c>
      <c r="I95" s="114">
        <v>0</v>
      </c>
      <c r="J95" s="114">
        <v>0.27</v>
      </c>
      <c r="K95" s="114">
        <v>-286.42712165540365</v>
      </c>
      <c r="L95" s="114">
        <v>70</v>
      </c>
      <c r="M95" s="114">
        <v>15.810698630136988</v>
      </c>
      <c r="N95" s="116">
        <v>302.23782028554064</v>
      </c>
      <c r="O95" s="114">
        <v>3233</v>
      </c>
      <c r="P95" s="114" t="s">
        <v>39</v>
      </c>
      <c r="Q95" s="114">
        <v>-1</v>
      </c>
      <c r="R95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30" activePane="bottomLeft" state="frozen"/>
      <selection pane="bottomLeft" activeCell="Q45" sqref="Q45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6" t="s">
        <v>118</v>
      </c>
      <c r="C1" s="136"/>
    </row>
    <row r="2" spans="2:20" ht="11.25" thickTop="1" x14ac:dyDescent="0.15"/>
    <row r="3" spans="2:20" ht="11.25" thickBot="1" x14ac:dyDescent="0.2">
      <c r="B3" s="137" t="s">
        <v>119</v>
      </c>
      <c r="C3" s="137"/>
      <c r="D3" s="137"/>
      <c r="E3" s="137"/>
      <c r="G3" s="141" t="s">
        <v>120</v>
      </c>
      <c r="H3" s="141"/>
      <c r="I3" s="141"/>
      <c r="J3" s="141"/>
      <c r="L3" s="137" t="s">
        <v>165</v>
      </c>
      <c r="M3" s="137"/>
      <c r="N3" s="137"/>
      <c r="O3" s="137"/>
      <c r="Q3" s="141" t="s">
        <v>166</v>
      </c>
      <c r="R3" s="141"/>
      <c r="S3" s="141"/>
      <c r="T3" s="141"/>
    </row>
    <row r="4" spans="2:20" ht="12" thickTop="1" thickBot="1" x14ac:dyDescent="0.2">
      <c r="B4" s="138" t="s">
        <v>121</v>
      </c>
      <c r="C4" s="138"/>
      <c r="D4" s="138"/>
      <c r="E4" s="138"/>
      <c r="G4" s="138" t="s">
        <v>34</v>
      </c>
      <c r="H4" s="138"/>
      <c r="I4" s="138"/>
      <c r="J4" s="138"/>
      <c r="L4" s="138" t="s">
        <v>121</v>
      </c>
      <c r="M4" s="138"/>
      <c r="N4" s="138"/>
      <c r="O4" s="138"/>
      <c r="Q4" s="138" t="s">
        <v>34</v>
      </c>
      <c r="R4" s="138"/>
      <c r="S4" s="138"/>
      <c r="T4" s="138"/>
    </row>
    <row r="5" spans="2:20" ht="15" customHeight="1" thickTop="1" x14ac:dyDescent="0.15">
      <c r="B5" s="135" t="s">
        <v>122</v>
      </c>
      <c r="C5" s="135"/>
      <c r="D5" s="139"/>
      <c r="E5" s="140"/>
      <c r="G5" s="135" t="s">
        <v>123</v>
      </c>
      <c r="H5" s="135"/>
      <c r="I5" s="107"/>
      <c r="J5" s="108"/>
      <c r="L5" s="105" t="s">
        <v>122</v>
      </c>
      <c r="M5" s="106"/>
      <c r="N5" s="107"/>
      <c r="O5" s="108"/>
      <c r="Q5" s="135" t="s">
        <v>123</v>
      </c>
      <c r="R5" s="135"/>
      <c r="S5" s="107"/>
      <c r="T5" s="108"/>
    </row>
    <row r="6" spans="2:20" x14ac:dyDescent="0.15">
      <c r="B6" s="135" t="s">
        <v>124</v>
      </c>
      <c r="C6" s="135"/>
      <c r="D6" s="133" t="s">
        <v>125</v>
      </c>
      <c r="E6" s="134"/>
      <c r="G6" s="135" t="s">
        <v>126</v>
      </c>
      <c r="H6" s="135"/>
      <c r="I6" s="133"/>
      <c r="J6" s="134"/>
      <c r="L6" s="135" t="s">
        <v>124</v>
      </c>
      <c r="M6" s="135"/>
      <c r="N6" s="133" t="s">
        <v>125</v>
      </c>
      <c r="O6" s="134"/>
      <c r="Q6" s="135" t="s">
        <v>126</v>
      </c>
      <c r="R6" s="135"/>
      <c r="S6" s="133"/>
      <c r="T6" s="134"/>
    </row>
    <row r="7" spans="2:20" ht="2.25" customHeight="1" x14ac:dyDescent="0.15">
      <c r="B7" s="135" t="s">
        <v>127</v>
      </c>
      <c r="C7" s="135"/>
      <c r="D7" s="133" t="s">
        <v>125</v>
      </c>
      <c r="E7" s="134"/>
      <c r="G7" s="135" t="s">
        <v>128</v>
      </c>
      <c r="H7" s="135"/>
      <c r="I7" s="133"/>
      <c r="J7" s="134"/>
      <c r="L7" s="135" t="s">
        <v>127</v>
      </c>
      <c r="M7" s="135"/>
      <c r="N7" s="133" t="s">
        <v>125</v>
      </c>
      <c r="O7" s="134"/>
      <c r="Q7" s="135" t="s">
        <v>128</v>
      </c>
      <c r="R7" s="135"/>
      <c r="S7" s="133"/>
      <c r="T7" s="134"/>
    </row>
    <row r="8" spans="2:20" hidden="1" x14ac:dyDescent="0.15">
      <c r="B8" s="135" t="s">
        <v>129</v>
      </c>
      <c r="C8" s="135"/>
      <c r="D8" s="133">
        <f>D13*D15</f>
        <v>305000</v>
      </c>
      <c r="E8" s="134"/>
      <c r="G8" s="135" t="s">
        <v>130</v>
      </c>
      <c r="H8" s="135"/>
      <c r="I8" s="133"/>
      <c r="J8" s="134"/>
      <c r="L8" s="135" t="s">
        <v>129</v>
      </c>
      <c r="M8" s="135"/>
      <c r="N8" s="133">
        <f>N14*N16</f>
        <v>305000</v>
      </c>
      <c r="O8" s="134"/>
      <c r="Q8" s="135" t="s">
        <v>130</v>
      </c>
      <c r="R8" s="135"/>
      <c r="S8" s="133"/>
      <c r="T8" s="134"/>
    </row>
    <row r="9" spans="2:20" hidden="1" x14ac:dyDescent="0.15">
      <c r="B9" s="135" t="s">
        <v>131</v>
      </c>
      <c r="C9" s="135"/>
      <c r="D9" s="133" t="s">
        <v>132</v>
      </c>
      <c r="E9" s="134"/>
      <c r="G9" s="135" t="s">
        <v>133</v>
      </c>
      <c r="H9" s="135"/>
      <c r="I9" s="133"/>
      <c r="J9" s="134"/>
      <c r="L9" s="135" t="s">
        <v>131</v>
      </c>
      <c r="M9" s="135"/>
      <c r="N9" s="133" t="s">
        <v>132</v>
      </c>
      <c r="O9" s="134"/>
      <c r="Q9" s="135" t="s">
        <v>133</v>
      </c>
      <c r="R9" s="135"/>
      <c r="S9" s="133"/>
      <c r="T9" s="134"/>
    </row>
    <row r="10" spans="2:20" hidden="1" x14ac:dyDescent="0.15">
      <c r="B10" s="135" t="s">
        <v>134</v>
      </c>
      <c r="C10" s="135"/>
      <c r="D10" s="133">
        <v>43084</v>
      </c>
      <c r="E10" s="134"/>
      <c r="G10" s="109" t="s">
        <v>135</v>
      </c>
      <c r="H10" s="109"/>
      <c r="I10" s="133"/>
      <c r="J10" s="134"/>
      <c r="L10" s="135" t="s">
        <v>134</v>
      </c>
      <c r="M10" s="135"/>
      <c r="N10" s="133">
        <v>43084</v>
      </c>
      <c r="O10" s="134"/>
      <c r="Q10" s="109" t="s">
        <v>135</v>
      </c>
      <c r="R10" s="109"/>
      <c r="S10" s="133"/>
      <c r="T10" s="134"/>
    </row>
    <row r="11" spans="2:20" hidden="1" x14ac:dyDescent="0.15">
      <c r="B11" s="135" t="s">
        <v>136</v>
      </c>
      <c r="C11" s="135"/>
      <c r="D11" s="133">
        <v>3935</v>
      </c>
      <c r="E11" s="134"/>
      <c r="G11" s="135" t="s">
        <v>137</v>
      </c>
      <c r="H11" s="135"/>
      <c r="I11" s="133"/>
      <c r="J11" s="134"/>
      <c r="L11" s="135" t="s">
        <v>136</v>
      </c>
      <c r="M11" s="135"/>
      <c r="N11" s="133">
        <v>3935</v>
      </c>
      <c r="O11" s="134"/>
      <c r="Q11" s="135" t="s">
        <v>137</v>
      </c>
      <c r="R11" s="135"/>
      <c r="S11" s="133"/>
      <c r="T11" s="134"/>
    </row>
    <row r="12" spans="2:20" hidden="1" x14ac:dyDescent="0.15">
      <c r="B12" s="135" t="s">
        <v>138</v>
      </c>
      <c r="C12" s="135"/>
      <c r="D12" s="133">
        <v>3800</v>
      </c>
      <c r="E12" s="134"/>
      <c r="G12" s="135" t="s">
        <v>139</v>
      </c>
      <c r="H12" s="135"/>
      <c r="I12" s="133"/>
      <c r="J12" s="134"/>
      <c r="L12" s="135" t="s">
        <v>163</v>
      </c>
      <c r="M12" s="135"/>
      <c r="N12" s="133">
        <v>3800</v>
      </c>
      <c r="O12" s="134"/>
      <c r="Q12" s="135" t="s">
        <v>167</v>
      </c>
      <c r="R12" s="135"/>
      <c r="S12" s="133"/>
      <c r="T12" s="134"/>
    </row>
    <row r="13" spans="2:20" hidden="1" x14ac:dyDescent="0.15">
      <c r="B13" s="135" t="s">
        <v>140</v>
      </c>
      <c r="C13" s="135"/>
      <c r="D13" s="133">
        <v>61</v>
      </c>
      <c r="E13" s="134"/>
      <c r="G13" s="135" t="s">
        <v>141</v>
      </c>
      <c r="H13" s="135"/>
      <c r="I13" s="133"/>
      <c r="J13" s="134"/>
      <c r="L13" s="135" t="s">
        <v>164</v>
      </c>
      <c r="M13" s="135"/>
      <c r="N13" s="133">
        <v>3800</v>
      </c>
      <c r="O13" s="134"/>
      <c r="Q13" s="135" t="s">
        <v>168</v>
      </c>
      <c r="R13" s="135"/>
      <c r="S13" s="133"/>
      <c r="T13" s="134"/>
    </row>
    <row r="14" spans="2:20" hidden="1" x14ac:dyDescent="0.15">
      <c r="B14" s="135" t="s">
        <v>142</v>
      </c>
      <c r="C14" s="135"/>
      <c r="D14" s="133" t="s">
        <v>143</v>
      </c>
      <c r="E14" s="134"/>
      <c r="G14" s="135" t="s">
        <v>144</v>
      </c>
      <c r="H14" s="135"/>
      <c r="I14" s="110"/>
      <c r="J14" s="111"/>
      <c r="L14" s="135" t="s">
        <v>140</v>
      </c>
      <c r="M14" s="135"/>
      <c r="N14" s="133">
        <v>61</v>
      </c>
      <c r="O14" s="134"/>
      <c r="Q14" s="135" t="s">
        <v>141</v>
      </c>
      <c r="R14" s="135"/>
      <c r="S14" s="133"/>
      <c r="T14" s="134"/>
    </row>
    <row r="15" spans="2:20" hidden="1" x14ac:dyDescent="0.15">
      <c r="B15" s="135" t="s">
        <v>145</v>
      </c>
      <c r="C15" s="135"/>
      <c r="D15" s="133">
        <v>5000</v>
      </c>
      <c r="E15" s="134"/>
      <c r="G15" s="135" t="s">
        <v>146</v>
      </c>
      <c r="H15" s="135"/>
      <c r="I15" s="133"/>
      <c r="J15" s="134"/>
      <c r="L15" s="135" t="s">
        <v>142</v>
      </c>
      <c r="M15" s="135"/>
      <c r="N15" s="133" t="s">
        <v>143</v>
      </c>
      <c r="O15" s="134"/>
      <c r="Q15" s="135" t="s">
        <v>144</v>
      </c>
      <c r="R15" s="135"/>
      <c r="S15" s="110"/>
      <c r="T15" s="111"/>
    </row>
    <row r="16" spans="2:20" ht="11.25" hidden="1" thickBot="1" x14ac:dyDescent="0.2">
      <c r="B16" s="130" t="s">
        <v>147</v>
      </c>
      <c r="C16" s="130"/>
      <c r="D16" s="131" t="s">
        <v>148</v>
      </c>
      <c r="E16" s="132"/>
      <c r="G16" s="130" t="s">
        <v>149</v>
      </c>
      <c r="H16" s="130"/>
      <c r="I16" s="131"/>
      <c r="J16" s="132"/>
      <c r="L16" s="135" t="s">
        <v>145</v>
      </c>
      <c r="M16" s="135"/>
      <c r="N16" s="133">
        <v>5000</v>
      </c>
      <c r="O16" s="134"/>
      <c r="Q16" s="135" t="s">
        <v>146</v>
      </c>
      <c r="R16" s="135"/>
      <c r="S16" s="133"/>
      <c r="T16" s="134"/>
    </row>
    <row r="17" spans="2:25" ht="12" hidden="1" thickTop="1" thickBot="1" x14ac:dyDescent="0.2">
      <c r="L17" s="130" t="s">
        <v>147</v>
      </c>
      <c r="M17" s="130"/>
      <c r="N17" s="131" t="s">
        <v>148</v>
      </c>
      <c r="O17" s="132"/>
      <c r="Q17" s="130" t="s">
        <v>149</v>
      </c>
      <c r="R17" s="130"/>
      <c r="S17" s="131"/>
      <c r="T17" s="132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8" t="s">
        <v>188</v>
      </c>
      <c r="C22" s="128"/>
      <c r="D22" s="128"/>
      <c r="E22" s="128"/>
      <c r="G22" s="128" t="s">
        <v>189</v>
      </c>
      <c r="H22" s="128"/>
      <c r="I22" s="128"/>
      <c r="J22" s="128"/>
      <c r="L22" s="138" t="s">
        <v>189</v>
      </c>
      <c r="M22" s="138"/>
      <c r="N22" s="138"/>
      <c r="O22" s="138"/>
      <c r="Q22" s="128" t="s">
        <v>188</v>
      </c>
      <c r="R22" s="128"/>
      <c r="S22" s="128"/>
      <c r="T22" s="128"/>
      <c r="V22" s="138" t="s">
        <v>189</v>
      </c>
      <c r="W22" s="138"/>
      <c r="X22" s="138"/>
      <c r="Y22" s="138"/>
    </row>
    <row r="23" spans="2:25" ht="12" thickTop="1" x14ac:dyDescent="0.15">
      <c r="B23" s="121" t="s">
        <v>122</v>
      </c>
      <c r="C23" s="121"/>
      <c r="D23" s="127">
        <f ca="1">TODAY()</f>
        <v>43193</v>
      </c>
      <c r="E23" s="129"/>
      <c r="G23" s="121" t="s">
        <v>122</v>
      </c>
      <c r="H23" s="121"/>
      <c r="I23" s="127">
        <f ca="1">TODAY()</f>
        <v>43193</v>
      </c>
      <c r="J23" s="129"/>
      <c r="L23" s="121" t="s">
        <v>122</v>
      </c>
      <c r="M23" s="121"/>
      <c r="N23" s="127">
        <f ca="1">TODAY()</f>
        <v>43193</v>
      </c>
      <c r="O23" s="129"/>
      <c r="Q23" s="121" t="s">
        <v>122</v>
      </c>
      <c r="R23" s="121"/>
      <c r="S23" s="127">
        <f ca="1">TODAY()-1</f>
        <v>43192</v>
      </c>
      <c r="T23" s="129"/>
      <c r="V23" s="121" t="s">
        <v>122</v>
      </c>
      <c r="W23" s="121"/>
      <c r="X23" s="127">
        <f ca="1">TODAY()-1</f>
        <v>43192</v>
      </c>
      <c r="Y23" s="129"/>
    </row>
    <row r="24" spans="2:25" ht="11.25" x14ac:dyDescent="0.15">
      <c r="B24" s="121" t="s">
        <v>124</v>
      </c>
      <c r="C24" s="121"/>
      <c r="D24" s="122" t="s">
        <v>186</v>
      </c>
      <c r="E24" s="123"/>
      <c r="G24" s="121" t="s">
        <v>124</v>
      </c>
      <c r="H24" s="121"/>
      <c r="I24" s="122" t="s">
        <v>186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5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196</v>
      </c>
      <c r="O25" s="123"/>
      <c r="Q25" s="121" t="s">
        <v>127</v>
      </c>
      <c r="R25" s="121"/>
      <c r="S25" s="122" t="s">
        <v>187</v>
      </c>
      <c r="T25" s="123"/>
      <c r="V25" s="121" t="s">
        <v>127</v>
      </c>
      <c r="W25" s="121"/>
      <c r="X25" s="122" t="s">
        <v>187</v>
      </c>
      <c r="Y25" s="123"/>
    </row>
    <row r="26" spans="2:25" ht="11.25" x14ac:dyDescent="0.15">
      <c r="B26" s="121" t="s">
        <v>129</v>
      </c>
      <c r="C26" s="121"/>
      <c r="D26" s="122">
        <f>D31*D33</f>
        <v>388800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132</v>
      </c>
      <c r="E27" s="123"/>
      <c r="G27" s="121" t="s">
        <v>131</v>
      </c>
      <c r="H27" s="121"/>
      <c r="I27" s="122" t="s">
        <v>198</v>
      </c>
      <c r="J27" s="123"/>
      <c r="L27" s="121" t="s">
        <v>131</v>
      </c>
      <c r="M27" s="121"/>
      <c r="N27" s="122" t="s">
        <v>190</v>
      </c>
      <c r="O27" s="123"/>
      <c r="Q27" s="121" t="s">
        <v>131</v>
      </c>
      <c r="R27" s="121"/>
      <c r="S27" s="122" t="s">
        <v>191</v>
      </c>
      <c r="T27" s="123"/>
      <c r="V27" s="121" t="s">
        <v>131</v>
      </c>
      <c r="W27" s="121"/>
      <c r="X27" s="122" t="s">
        <v>190</v>
      </c>
      <c r="Y27" s="123"/>
    </row>
    <row r="28" spans="2:25" ht="11.25" x14ac:dyDescent="0.15">
      <c r="B28" s="121" t="s">
        <v>134</v>
      </c>
      <c r="C28" s="121"/>
      <c r="D28" s="127">
        <v>43182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3856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3800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38.880000000000003</v>
      </c>
      <c r="E31" s="123"/>
      <c r="G31" s="121" t="s">
        <v>199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197</v>
      </c>
      <c r="E32" s="123"/>
      <c r="G32" s="121" t="s">
        <v>200</v>
      </c>
      <c r="H32" s="121"/>
      <c r="I32" s="122" t="s">
        <v>197</v>
      </c>
      <c r="J32" s="123"/>
      <c r="L32" s="121" t="s">
        <v>142</v>
      </c>
      <c r="M32" s="121"/>
      <c r="N32" s="122" t="s">
        <v>195</v>
      </c>
      <c r="O32" s="123"/>
      <c r="Q32" s="121" t="s">
        <v>142</v>
      </c>
      <c r="R32" s="121"/>
      <c r="S32" s="122" t="s">
        <v>192</v>
      </c>
      <c r="T32" s="123"/>
      <c r="V32" s="121" t="s">
        <v>142</v>
      </c>
      <c r="W32" s="121"/>
      <c r="X32" s="122" t="s">
        <v>192</v>
      </c>
      <c r="Y32" s="123"/>
    </row>
    <row r="33" spans="2:25" ht="11.25" x14ac:dyDescent="0.15">
      <c r="B33" s="121" t="s">
        <v>145</v>
      </c>
      <c r="C33" s="121"/>
      <c r="D33" s="122">
        <v>10000</v>
      </c>
      <c r="E33" s="123"/>
      <c r="G33" s="121" t="s">
        <v>201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28" t="s">
        <v>230</v>
      </c>
      <c r="C36" s="128"/>
      <c r="D36" s="128"/>
      <c r="E36" s="128"/>
      <c r="G36" s="128" t="s">
        <v>121</v>
      </c>
      <c r="H36" s="128"/>
      <c r="I36" s="128"/>
      <c r="J36" s="128"/>
      <c r="L36" s="128" t="s">
        <v>241</v>
      </c>
      <c r="M36" s="128"/>
      <c r="N36" s="128"/>
      <c r="O36" s="128"/>
    </row>
    <row r="37" spans="2:25" ht="12" thickTop="1" x14ac:dyDescent="0.15">
      <c r="B37" s="121" t="s">
        <v>122</v>
      </c>
      <c r="C37" s="121"/>
      <c r="D37" s="127"/>
      <c r="E37" s="129"/>
      <c r="G37" s="121" t="s">
        <v>122</v>
      </c>
      <c r="H37" s="121"/>
      <c r="I37" s="127">
        <v>43192</v>
      </c>
      <c r="J37" s="129"/>
      <c r="L37" s="121" t="s">
        <v>122</v>
      </c>
      <c r="M37" s="121"/>
      <c r="N37" s="127">
        <v>43193</v>
      </c>
      <c r="O37" s="129"/>
    </row>
    <row r="38" spans="2:25" ht="11.25" x14ac:dyDescent="0.15">
      <c r="B38" s="121" t="s">
        <v>124</v>
      </c>
      <c r="C38" s="121"/>
      <c r="D38" s="122"/>
      <c r="E38" s="123"/>
      <c r="G38" s="121" t="s">
        <v>124</v>
      </c>
      <c r="H38" s="121"/>
      <c r="I38" s="122" t="s">
        <v>4</v>
      </c>
      <c r="J38" s="123"/>
      <c r="L38" s="121" t="s">
        <v>124</v>
      </c>
      <c r="M38" s="121"/>
      <c r="N38" s="122" t="s">
        <v>236</v>
      </c>
      <c r="O38" s="123"/>
    </row>
    <row r="39" spans="2:25" ht="11.25" x14ac:dyDescent="0.15">
      <c r="B39" s="121" t="s">
        <v>127</v>
      </c>
      <c r="C39" s="121"/>
      <c r="D39" s="122"/>
      <c r="E39" s="123"/>
      <c r="G39" s="121" t="s">
        <v>127</v>
      </c>
      <c r="H39" s="121"/>
      <c r="I39" s="122" t="s">
        <v>236</v>
      </c>
      <c r="J39" s="123"/>
      <c r="L39" s="121" t="s">
        <v>127</v>
      </c>
      <c r="M39" s="121"/>
      <c r="N39" s="122" t="s">
        <v>237</v>
      </c>
      <c r="O39" s="123"/>
    </row>
    <row r="40" spans="2:25" ht="11.25" x14ac:dyDescent="0.15">
      <c r="B40" s="121" t="s">
        <v>179</v>
      </c>
      <c r="C40" s="121"/>
      <c r="D40" s="122"/>
      <c r="E40" s="123"/>
      <c r="G40" s="121" t="s">
        <v>179</v>
      </c>
      <c r="H40" s="121"/>
      <c r="I40" s="122">
        <f>I45*I47</f>
        <v>160000</v>
      </c>
      <c r="J40" s="123"/>
      <c r="L40" s="121" t="s">
        <v>129</v>
      </c>
      <c r="M40" s="121"/>
      <c r="N40" s="122">
        <f>N45*N47</f>
        <v>210000</v>
      </c>
      <c r="O40" s="123"/>
    </row>
    <row r="41" spans="2:25" ht="11.25" x14ac:dyDescent="0.15">
      <c r="B41" s="121" t="s">
        <v>131</v>
      </c>
      <c r="C41" s="121"/>
      <c r="D41" s="122"/>
      <c r="E41" s="123"/>
      <c r="G41" s="121" t="s">
        <v>131</v>
      </c>
      <c r="H41" s="121"/>
      <c r="I41" s="122" t="s">
        <v>244</v>
      </c>
      <c r="J41" s="123"/>
      <c r="L41" s="121" t="s">
        <v>131</v>
      </c>
      <c r="M41" s="121"/>
      <c r="N41" s="122" t="s">
        <v>238</v>
      </c>
      <c r="O41" s="123"/>
    </row>
    <row r="42" spans="2:25" ht="11.25" x14ac:dyDescent="0.15">
      <c r="B42" s="121" t="s">
        <v>134</v>
      </c>
      <c r="C42" s="121"/>
      <c r="D42" s="127"/>
      <c r="E42" s="123"/>
      <c r="G42" s="121" t="s">
        <v>134</v>
      </c>
      <c r="H42" s="121"/>
      <c r="I42" s="127">
        <v>43273</v>
      </c>
      <c r="J42" s="123"/>
      <c r="L42" s="121" t="s">
        <v>134</v>
      </c>
      <c r="M42" s="121"/>
      <c r="N42" s="127">
        <v>43251</v>
      </c>
      <c r="O42" s="123"/>
    </row>
    <row r="43" spans="2:25" ht="11.25" x14ac:dyDescent="0.15">
      <c r="B43" s="121" t="s">
        <v>136</v>
      </c>
      <c r="C43" s="121"/>
      <c r="D43" s="122"/>
      <c r="E43" s="123"/>
      <c r="G43" s="121" t="s">
        <v>136</v>
      </c>
      <c r="H43" s="121"/>
      <c r="I43" s="122">
        <v>14000</v>
      </c>
      <c r="J43" s="123"/>
      <c r="L43" s="121" t="s">
        <v>136</v>
      </c>
      <c r="M43" s="121"/>
      <c r="N43" s="122">
        <v>3330</v>
      </c>
      <c r="O43" s="123"/>
    </row>
    <row r="44" spans="2:25" ht="11.25" x14ac:dyDescent="0.15">
      <c r="B44" s="121" t="s">
        <v>138</v>
      </c>
      <c r="C44" s="121"/>
      <c r="D44" s="122"/>
      <c r="E44" s="123"/>
      <c r="G44" s="121" t="s">
        <v>138</v>
      </c>
      <c r="H44" s="121"/>
      <c r="I44" s="122">
        <v>11500</v>
      </c>
      <c r="J44" s="123"/>
      <c r="L44" s="121" t="s">
        <v>138</v>
      </c>
      <c r="M44" s="121"/>
      <c r="N44" s="122">
        <v>3500</v>
      </c>
      <c r="O44" s="123"/>
    </row>
    <row r="45" spans="2:25" ht="11.25" x14ac:dyDescent="0.15">
      <c r="B45" s="121" t="s">
        <v>199</v>
      </c>
      <c r="C45" s="121"/>
      <c r="D45" s="122"/>
      <c r="E45" s="123"/>
      <c r="G45" s="121" t="s">
        <v>199</v>
      </c>
      <c r="H45" s="121"/>
      <c r="I45" s="122">
        <v>16</v>
      </c>
      <c r="J45" s="123"/>
      <c r="L45" s="121" t="s">
        <v>140</v>
      </c>
      <c r="M45" s="121"/>
      <c r="N45" s="122">
        <v>210</v>
      </c>
      <c r="O45" s="123"/>
    </row>
    <row r="46" spans="2:25" ht="11.25" x14ac:dyDescent="0.15">
      <c r="B46" s="121" t="s">
        <v>200</v>
      </c>
      <c r="C46" s="121"/>
      <c r="D46" s="122"/>
      <c r="E46" s="123"/>
      <c r="G46" s="121" t="s">
        <v>142</v>
      </c>
      <c r="H46" s="121"/>
      <c r="I46" s="122" t="s">
        <v>246</v>
      </c>
      <c r="J46" s="123"/>
      <c r="L46" s="121" t="s">
        <v>142</v>
      </c>
      <c r="M46" s="121"/>
      <c r="N46" s="122" t="s">
        <v>239</v>
      </c>
      <c r="O46" s="123"/>
    </row>
    <row r="47" spans="2:25" ht="11.25" x14ac:dyDescent="0.15">
      <c r="B47" s="121" t="s">
        <v>201</v>
      </c>
      <c r="C47" s="121"/>
      <c r="D47" s="122"/>
      <c r="E47" s="123"/>
      <c r="G47" s="121" t="s">
        <v>145</v>
      </c>
      <c r="H47" s="121"/>
      <c r="I47" s="122">
        <v>10000</v>
      </c>
      <c r="J47" s="123"/>
      <c r="L47" s="121" t="s">
        <v>145</v>
      </c>
      <c r="M47" s="121"/>
      <c r="N47" s="122">
        <v>1000</v>
      </c>
      <c r="O47" s="123"/>
    </row>
    <row r="48" spans="2:25" ht="12" thickBot="1" x14ac:dyDescent="0.2">
      <c r="B48" s="124" t="s">
        <v>147</v>
      </c>
      <c r="C48" s="124"/>
      <c r="D48" s="125"/>
      <c r="E48" s="126"/>
      <c r="G48" s="124" t="s">
        <v>147</v>
      </c>
      <c r="H48" s="124"/>
      <c r="I48" s="125" t="s">
        <v>245</v>
      </c>
      <c r="J48" s="126"/>
      <c r="L48" s="124" t="s">
        <v>147</v>
      </c>
      <c r="M48" s="124"/>
      <c r="N48" s="125" t="s">
        <v>240</v>
      </c>
      <c r="O48" s="126"/>
    </row>
    <row r="49" ht="11.25" thickTop="1" x14ac:dyDescent="0.15"/>
  </sheetData>
  <mergeCells count="30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abSelected="1" topLeftCell="F1" zoomScaleNormal="100" workbookViewId="0">
      <selection activeCell="P35" sqref="P3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2" t="s">
        <v>37</v>
      </c>
      <c r="C1" s="14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43193</v>
      </c>
      <c r="F8" s="21">
        <f ca="1">E8+H8</f>
        <v>43373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43193</v>
      </c>
      <c r="F9" s="8">
        <f t="shared" ref="F9" ca="1" si="1">E9+H9</f>
        <v>43284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-9.5145362172212913</v>
      </c>
      <c r="M9" s="15"/>
      <c r="N9" s="13">
        <f t="shared" ref="N9:N10" si="2">M9/10000*I9*P9</f>
        <v>0</v>
      </c>
      <c r="O9" s="13">
        <f>IF(L9&lt;=0,ABS(L9)+N9,L9-N9)</f>
        <v>9.5145362172212913</v>
      </c>
      <c r="P9" s="11">
        <f>RTD("wdf.rtq",,D9,"LastPrice")</f>
        <v>14280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6.6628404882502037E-4</v>
      </c>
      <c r="U9" s="13">
        <f>_xll.dnetGBlackScholesNGreeks("delta",$Q9,$P9,$G9,$I9,$C$3,$J9,$K9,$C$4)*R9</f>
        <v>1.7032633550684295E-2</v>
      </c>
      <c r="V9" s="13">
        <f>_xll.dnetGBlackScholesNGreeks("vega",$Q9,$P9,$G9,$I9,$C$3,$J9,$K9,$C$4)*R9</f>
        <v>-3.0149298340689938</v>
      </c>
      <c r="X9" s="6">
        <f>2000*U9</f>
        <v>34.06526710136859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233</v>
      </c>
      <c r="E11" s="8">
        <f t="shared" ref="E11" ca="1" si="5">TODAY()</f>
        <v>43193</v>
      </c>
      <c r="F11" s="8">
        <f t="shared" ref="F11" ca="1" si="6">E11+H11</f>
        <v>43251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233</v>
      </c>
      <c r="E13" s="8">
        <f t="shared" ref="E13:E25" ca="1" si="10">TODAY()</f>
        <v>43193</v>
      </c>
      <c r="F13" s="8">
        <f t="shared" ref="F13:F15" ca="1" si="11">E13+H13</f>
        <v>43220</v>
      </c>
      <c r="G13" s="10">
        <v>3700</v>
      </c>
      <c r="H13" s="10">
        <v>27</v>
      </c>
      <c r="I13" s="12">
        <f>H13/365</f>
        <v>7.3972602739726029E-2</v>
      </c>
      <c r="J13" s="12">
        <v>0</v>
      </c>
      <c r="K13" s="9">
        <v>0.3</v>
      </c>
      <c r="L13" s="13">
        <f>_xll.dnetGBlackScholesNGreeks("price",$Q13,$P13,$G13,$I13,$C$3,$J13,$K13,$C$4)*R13</f>
        <v>-364.98442741943518</v>
      </c>
      <c r="M13" s="15"/>
      <c r="N13" s="13">
        <f t="shared" ref="N13:N15" si="12">M13/10000*I13*P13</f>
        <v>0</v>
      </c>
      <c r="O13" s="13">
        <f>IF(L13&lt;=0,ABS(L13)+N13,L13-N13)</f>
        <v>364.98442741943518</v>
      </c>
      <c r="P13" s="11">
        <v>3350</v>
      </c>
      <c r="Q13" s="10" t="s">
        <v>85</v>
      </c>
      <c r="R13" s="10">
        <f t="shared" ref="R13:R15" si="13">IF(S13="中金买入",1,-1)</f>
        <v>-1</v>
      </c>
      <c r="S13" s="10" t="s">
        <v>20</v>
      </c>
      <c r="T13" s="14">
        <f t="shared" ref="T13:T15" si="14">O13/P13</f>
        <v>0.10895057534908513</v>
      </c>
      <c r="U13" s="13">
        <f>_xll.dnetGBlackScholesNGreeks("delta",$Q13,$P13,$G13,$I13,$C$3,$J13,$K13,$C$4)*R13</f>
        <v>0.87912000115011324</v>
      </c>
      <c r="V13" s="13">
        <f>_xll.dnetGBlackScholesNGreeks("vega",$Q13,$P13,$G13,$I13,$C$3,$J13,$K13,$C$4)*R13</f>
        <v>-1.8146651901799942</v>
      </c>
      <c r="X13" s="6">
        <f>2000*U13</f>
        <v>1758.2400023002265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233</v>
      </c>
      <c r="E14" s="8">
        <f t="shared" ca="1" si="10"/>
        <v>43193</v>
      </c>
      <c r="F14" s="8">
        <f t="shared" ca="1" si="11"/>
        <v>43204</v>
      </c>
      <c r="G14" s="10">
        <v>3720</v>
      </c>
      <c r="H14" s="10">
        <v>11</v>
      </c>
      <c r="I14" s="12">
        <f>H14/365</f>
        <v>3.0136986301369864E-2</v>
      </c>
      <c r="J14" s="12">
        <v>0</v>
      </c>
      <c r="K14" s="9">
        <v>0.3</v>
      </c>
      <c r="L14" s="13">
        <f>_xll.dnetGBlackScholesNGreeks("price",$Q14,$P14,$G14,$I14,$C$3,$J14,$K14,$C$4)*R14</f>
        <v>-371.28896943214249</v>
      </c>
      <c r="M14" s="15"/>
      <c r="N14" s="13">
        <f t="shared" si="12"/>
        <v>0</v>
      </c>
      <c r="O14" s="13">
        <f>IF(L14&lt;=0,ABS(L14)+N14,L14-N14)</f>
        <v>371.28896943214249</v>
      </c>
      <c r="P14" s="11">
        <v>3350</v>
      </c>
      <c r="Q14" s="10" t="s">
        <v>85</v>
      </c>
      <c r="R14" s="10">
        <f t="shared" si="13"/>
        <v>-1</v>
      </c>
      <c r="S14" s="10" t="s">
        <v>20</v>
      </c>
      <c r="T14" s="14">
        <f t="shared" si="14"/>
        <v>0.11083252818869925</v>
      </c>
      <c r="U14" s="13">
        <f>_xll.dnetGBlackScholesNGreeks("delta",$Q14,$P14,$G14,$I14,$C$3,$J14,$K14,$C$4)*R14</f>
        <v>0.97586961753677315</v>
      </c>
      <c r="V14" s="13">
        <f>_xll.dnetGBlackScholesNGreeks("vega",$Q14,$P14,$G14,$I14,$C$3,$J14,$K14,$C$4)*R14</f>
        <v>-0.32322541754433587</v>
      </c>
      <c r="X14" s="6">
        <f>2000*U14</f>
        <v>1951.7392350735463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233</v>
      </c>
      <c r="E15" s="8">
        <f t="shared" ca="1" si="10"/>
        <v>43193</v>
      </c>
      <c r="F15" s="8">
        <f t="shared" ca="1" si="11"/>
        <v>43204</v>
      </c>
      <c r="G15" s="10">
        <v>3650</v>
      </c>
      <c r="H15" s="10">
        <v>11</v>
      </c>
      <c r="I15" s="12">
        <f>H15/365</f>
        <v>3.0136986301369864E-2</v>
      </c>
      <c r="J15" s="12">
        <v>0</v>
      </c>
      <c r="K15" s="9">
        <v>0.3</v>
      </c>
      <c r="L15" s="13">
        <f>_xll.dnetGBlackScholesNGreeks("price",$Q15,$P15,$G15,$I15,$C$3,$J15,$K15,$C$4)*R15</f>
        <v>-303.60292925502972</v>
      </c>
      <c r="M15" s="15"/>
      <c r="N15" s="13">
        <f t="shared" si="12"/>
        <v>0</v>
      </c>
      <c r="O15" s="13">
        <f>IF(L15&lt;=0,ABS(L15)+N15,L15-N15)</f>
        <v>303.60292925502972</v>
      </c>
      <c r="P15" s="11">
        <v>3350</v>
      </c>
      <c r="Q15" s="10" t="s">
        <v>85</v>
      </c>
      <c r="R15" s="10">
        <f t="shared" si="13"/>
        <v>-1</v>
      </c>
      <c r="S15" s="10" t="s">
        <v>20</v>
      </c>
      <c r="T15" s="14">
        <f t="shared" si="14"/>
        <v>9.0627740076128269E-2</v>
      </c>
      <c r="U15" s="13">
        <f>_xll.dnetGBlackScholesNGreeks("delta",$Q15,$P15,$G15,$I15,$C$3,$J15,$K15,$C$4)*R15</f>
        <v>0.94689750058023492</v>
      </c>
      <c r="V15" s="13">
        <f>_xll.dnetGBlackScholesNGreeks("vega",$Q15,$P15,$G15,$I15,$C$3,$J15,$K15,$C$4)*R15</f>
        <v>-0.62336831205107046</v>
      </c>
      <c r="X15" s="6">
        <f>2000*U15</f>
        <v>1893.7950011604698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235</v>
      </c>
      <c r="E17" s="8">
        <f t="shared" ca="1" si="10"/>
        <v>43193</v>
      </c>
      <c r="F17" s="8">
        <f t="shared" ref="F17" ca="1" si="15">E17+H17</f>
        <v>43242</v>
      </c>
      <c r="G17" s="10">
        <v>11500</v>
      </c>
      <c r="H17" s="10">
        <v>49</v>
      </c>
      <c r="I17" s="12">
        <f>(H17-4)/365</f>
        <v>0.12328767123287671</v>
      </c>
      <c r="J17" s="12">
        <v>0</v>
      </c>
      <c r="K17" s="9">
        <v>0.11</v>
      </c>
      <c r="L17" s="13">
        <f>_xll.dnetGBlackScholesNGreeks("price",$Q17,$P17,$G17,$I17,$C$3,$J17,$K17,$C$4)*R17</f>
        <v>-3.7816623107544273E-6</v>
      </c>
      <c r="M17" s="15"/>
      <c r="N17" s="13">
        <f t="shared" ref="N17" si="16">M17/10000*I17*P17</f>
        <v>0</v>
      </c>
      <c r="O17" s="13">
        <f>IF(L17&lt;=0,ABS(L17)+N17,L17-N17)</f>
        <v>3.7816623107544273E-6</v>
      </c>
      <c r="P17" s="11">
        <f>RTD("wdf.rtq",,D17,"LastPrice")</f>
        <v>14140</v>
      </c>
      <c r="Q17" s="10" t="s">
        <v>85</v>
      </c>
      <c r="R17" s="10">
        <f t="shared" ref="R17" si="17">IF(S17="中金买入",1,-1)</f>
        <v>-1</v>
      </c>
      <c r="S17" s="10" t="s">
        <v>20</v>
      </c>
      <c r="T17" s="14">
        <f t="shared" ref="T17" si="18">O17/P17</f>
        <v>2.6744429354698918E-10</v>
      </c>
      <c r="U17" s="13">
        <f>_xll.dnetGBlackScholesNGreeks("delta",$Q17,$P17,$G17,$I17,$C$3,$J17,$K17,$C$4)*R17</f>
        <v>3.9283218014217122E-8</v>
      </c>
      <c r="V17" s="13">
        <f>_xll.dnetGBlackScholesNGreeks("vega",$Q17,$P17,$G17,$I17,$C$3,$J17,$K17,$C$4)*R17</f>
        <v>-2.369816734980707E-5</v>
      </c>
      <c r="X17" s="6">
        <f>2000*U17</f>
        <v>7.8566436028434244E-5</v>
      </c>
    </row>
    <row r="18" spans="1:24" x14ac:dyDescent="0.15">
      <c r="U18" s="6">
        <f>50*U11</f>
        <v>-36.32559226275589</v>
      </c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242</v>
      </c>
      <c r="E19" s="8">
        <f t="shared" ca="1" si="10"/>
        <v>43193</v>
      </c>
      <c r="F19" s="8">
        <f t="shared" ref="F19:F21" ca="1" si="19">E19+H19</f>
        <v>43239</v>
      </c>
      <c r="G19" s="10">
        <v>13100</v>
      </c>
      <c r="H19" s="10">
        <v>46</v>
      </c>
      <c r="I19" s="12">
        <f>(H19-4)/365</f>
        <v>0.11506849315068493</v>
      </c>
      <c r="J19" s="12">
        <v>0</v>
      </c>
      <c r="K19" s="9">
        <v>0.11</v>
      </c>
      <c r="L19" s="13">
        <f>_xll.dnetGBlackScholesNGreeks("price",$Q19,$P19,$G19,$I19,$C$3,$J19,$K19,$C$4)*R19</f>
        <v>8.1089899782398334</v>
      </c>
      <c r="M19" s="15"/>
      <c r="N19" s="13">
        <f t="shared" ref="N19:N21" si="20">M19/10000*I19*P19</f>
        <v>0</v>
      </c>
      <c r="O19" s="13">
        <f>IF(L19&lt;=0,ABS(L19)+N19,L19-N19)</f>
        <v>8.1089899782398334</v>
      </c>
      <c r="P19" s="11">
        <v>13985</v>
      </c>
      <c r="Q19" s="10" t="s">
        <v>85</v>
      </c>
      <c r="R19" s="10">
        <f t="shared" ref="R19:R21" si="21">IF(S19="中金买入",1,-1)</f>
        <v>1</v>
      </c>
      <c r="S19" s="10" t="s">
        <v>151</v>
      </c>
      <c r="T19" s="14">
        <f t="shared" ref="T19:T21" si="22">O19/P19</f>
        <v>5.7983482146870457E-4</v>
      </c>
      <c r="U19" s="13">
        <f>_xll.dnetGBlackScholesNGreeks("delta",$Q19,$P19,$G19,$I19,$C$3,$J19,$K19,$C$4)*R19</f>
        <v>-3.8222810593424583E-2</v>
      </c>
      <c r="V19" s="13">
        <f>_xll.dnetGBlackScholesNGreeks("vega",$Q19,$P19,$G19,$I19,$C$3,$J19,$K19,$C$4)*R19</f>
        <v>3.9392383611947253</v>
      </c>
      <c r="X19" s="6">
        <f>200*U19</f>
        <v>-7.6445621186849166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242</v>
      </c>
      <c r="E20" s="8">
        <f t="shared" ca="1" si="10"/>
        <v>43193</v>
      </c>
      <c r="F20" s="8">
        <f t="shared" ca="1" si="19"/>
        <v>43239</v>
      </c>
      <c r="G20" s="10">
        <v>13200</v>
      </c>
      <c r="H20" s="10">
        <v>46</v>
      </c>
      <c r="I20" s="12">
        <f>(H20-4)/365</f>
        <v>0.11506849315068493</v>
      </c>
      <c r="J20" s="12">
        <v>0</v>
      </c>
      <c r="K20" s="9">
        <v>0.11</v>
      </c>
      <c r="L20" s="13">
        <f>_xll.dnetGBlackScholesNGreeks("price",$Q20,$P20,$G20,$I20,$C$3,$J20,$K20,$C$4)*R20</f>
        <v>13.268327754064558</v>
      </c>
      <c r="M20" s="15"/>
      <c r="N20" s="13">
        <f t="shared" si="20"/>
        <v>0</v>
      </c>
      <c r="O20" s="13">
        <f>IF(L20&lt;=0,ABS(L20)+N20,L20-N20)</f>
        <v>13.268327754064558</v>
      </c>
      <c r="P20" s="11">
        <v>13985</v>
      </c>
      <c r="Q20" s="10" t="s">
        <v>85</v>
      </c>
      <c r="R20" s="10">
        <f t="shared" si="21"/>
        <v>1</v>
      </c>
      <c r="S20" s="10" t="s">
        <v>151</v>
      </c>
      <c r="T20" s="14">
        <f t="shared" si="22"/>
        <v>9.4875421909650039E-4</v>
      </c>
      <c r="U20" s="13">
        <f>_xll.dnetGBlackScholesNGreeks("delta",$Q20,$P20,$G20,$I20,$C$3,$J20,$K20,$C$4)*R20</f>
        <v>-5.8442284864668181E-2</v>
      </c>
      <c r="V20" s="13">
        <f>_xll.dnetGBlackScholesNGreeks("vega",$Q20,$P20,$G20,$I20,$C$3,$J20,$K20,$C$4)*R20</f>
        <v>5.5222200430050634</v>
      </c>
      <c r="X20" s="6">
        <f>200*U20</f>
        <v>-11.688456972933636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242</v>
      </c>
      <c r="E21" s="8">
        <f t="shared" ca="1" si="10"/>
        <v>43193</v>
      </c>
      <c r="F21" s="8">
        <f t="shared" ca="1" si="19"/>
        <v>43239</v>
      </c>
      <c r="G21" s="10">
        <v>13300</v>
      </c>
      <c r="H21" s="10">
        <v>46</v>
      </c>
      <c r="I21" s="12">
        <f>(H21-4)/365</f>
        <v>0.11506849315068493</v>
      </c>
      <c r="J21" s="12">
        <v>0</v>
      </c>
      <c r="K21" s="9">
        <v>0.11</v>
      </c>
      <c r="L21" s="13">
        <f>_xll.dnetGBlackScholesNGreeks("price",$Q21,$P21,$G21,$I21,$C$3,$J21,$K21,$C$4)*R21</f>
        <v>20.94649443684375</v>
      </c>
      <c r="M21" s="15"/>
      <c r="N21" s="13">
        <f t="shared" si="20"/>
        <v>0</v>
      </c>
      <c r="O21" s="13">
        <f>IF(L21&lt;=0,ABS(L21)+N21,L21-N21)</f>
        <v>20.94649443684375</v>
      </c>
      <c r="P21" s="11">
        <v>13985</v>
      </c>
      <c r="Q21" s="10" t="s">
        <v>85</v>
      </c>
      <c r="R21" s="10">
        <f t="shared" si="21"/>
        <v>1</v>
      </c>
      <c r="S21" s="10" t="s">
        <v>151</v>
      </c>
      <c r="T21" s="14">
        <f t="shared" si="22"/>
        <v>1.4977829414975867E-3</v>
      </c>
      <c r="U21" s="13">
        <f>_xll.dnetGBlackScholesNGreeks("delta",$Q21,$P21,$G21,$I21,$C$3,$J21,$K21,$C$4)*R21</f>
        <v>-8.59959939930377E-2</v>
      </c>
      <c r="V21" s="13">
        <f>_xll.dnetGBlackScholesNGreeks("vega",$Q21,$P21,$G21,$I21,$C$3,$J21,$K21,$C$4)*R21</f>
        <v>7.4204717670974105</v>
      </c>
      <c r="X21" s="6">
        <f>200*U21</f>
        <v>-17.19919879860754</v>
      </c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235</v>
      </c>
      <c r="E23" s="8">
        <f t="shared" ca="1" si="10"/>
        <v>43193</v>
      </c>
      <c r="F23" s="8">
        <f t="shared" ref="F23" ca="1" si="23">E23+H23</f>
        <v>43239</v>
      </c>
      <c r="G23" s="10">
        <v>13300</v>
      </c>
      <c r="H23" s="10">
        <v>46</v>
      </c>
      <c r="I23" s="12">
        <f>(H23-4)/365</f>
        <v>0.11506849315068493</v>
      </c>
      <c r="J23" s="12">
        <v>0</v>
      </c>
      <c r="K23" s="9">
        <v>0.11</v>
      </c>
      <c r="L23" s="13">
        <f>_xll.dnetGBlackScholesNGreeks("price",$Q23,$P23,$G23,$I23,$C$3,$J23,$K23,$C$4)*R23</f>
        <v>20.94649443684375</v>
      </c>
      <c r="M23" s="15"/>
      <c r="N23" s="13">
        <f t="shared" ref="N23" si="24">M23/10000*I23*P23</f>
        <v>0</v>
      </c>
      <c r="O23" s="13">
        <f>IF(L23&lt;=0,ABS(L23)+N23,L23-N23)</f>
        <v>20.94649443684375</v>
      </c>
      <c r="P23" s="11">
        <v>13985</v>
      </c>
      <c r="Q23" s="10" t="s">
        <v>85</v>
      </c>
      <c r="R23" s="10">
        <f t="shared" ref="R23" si="25">IF(S23="中金买入",1,-1)</f>
        <v>1</v>
      </c>
      <c r="S23" s="10" t="s">
        <v>151</v>
      </c>
      <c r="T23" s="14">
        <f t="shared" ref="T23" si="26">O23/P23</f>
        <v>1.4977829414975867E-3</v>
      </c>
      <c r="U23" s="13">
        <f>_xll.dnetGBlackScholesNGreeks("delta",$Q23,$P23,$G23,$I23,$C$3,$J23,$K23,$C$4)*R23</f>
        <v>-8.59959939930377E-2</v>
      </c>
      <c r="V23" s="13">
        <f>_xll.dnetGBlackScholesNGreeks("vega",$Q23,$P23,$G23,$I23,$C$3,$J23,$K23,$C$4)*R23</f>
        <v>7.4204717670974105</v>
      </c>
      <c r="X23" s="6">
        <f>200*U23</f>
        <v>-17.19919879860754</v>
      </c>
    </row>
    <row r="25" spans="1:24" ht="10.5" customHeight="1" x14ac:dyDescent="0.15">
      <c r="A25" s="34"/>
      <c r="B25" s="13" t="s">
        <v>172</v>
      </c>
      <c r="C25" s="10" t="s">
        <v>161</v>
      </c>
      <c r="D25" s="10" t="s">
        <v>247</v>
      </c>
      <c r="E25" s="8">
        <f t="shared" ca="1" si="10"/>
        <v>43193</v>
      </c>
      <c r="F25" s="8">
        <f t="shared" ref="F25" ca="1" si="27">E25+H25</f>
        <v>57178</v>
      </c>
      <c r="G25" s="10">
        <v>13300</v>
      </c>
      <c r="H25" s="11">
        <f>P25</f>
        <v>13985</v>
      </c>
      <c r="I25" s="12">
        <f>(H25)/365</f>
        <v>38.315068493150683</v>
      </c>
      <c r="J25" s="12">
        <v>0</v>
      </c>
      <c r="K25" s="9">
        <v>0.185</v>
      </c>
      <c r="L25" s="13">
        <f>_xll.dnetGBlackScholesNGreeks("price",$Q25,$P25,$G25,$I25,$C$3,$J25,$K25,$C$4)*R25</f>
        <v>-2588.8354856047536</v>
      </c>
      <c r="M25" s="15"/>
      <c r="N25" s="13">
        <f t="shared" ref="N25" si="28">M25/10000*I25*P25</f>
        <v>0</v>
      </c>
      <c r="O25" s="13">
        <f>IF(L25&lt;=0,ABS(L25)+N25,L25-N25)</f>
        <v>2588.8354856047536</v>
      </c>
      <c r="P25" s="11">
        <v>13985</v>
      </c>
      <c r="Q25" s="10" t="s">
        <v>85</v>
      </c>
      <c r="R25" s="10">
        <f t="shared" ref="R25" si="29">IF(S25="中金买入",1,-1)</f>
        <v>-1</v>
      </c>
      <c r="S25" s="10" t="s">
        <v>20</v>
      </c>
      <c r="T25" s="14">
        <f t="shared" ref="T25" si="30">O25/P25</f>
        <v>0.18511515806969994</v>
      </c>
      <c r="U25" s="13">
        <f>_xll.dnetGBlackScholesNGreeks("delta",$Q25,$P25,$G25,$I25,$C$3,$J25,$K25,$C$4)*R25</f>
        <v>0.12492258108522947</v>
      </c>
      <c r="V25" s="13">
        <f>_xll.dnetGBlackScholesNGreeks("vega",$Q25,$P25,$G25,$I25,$C$3,$J25,$K25,$C$4)*R25</f>
        <v>-132.70815869955209</v>
      </c>
      <c r="X25" s="6">
        <f>200*U25</f>
        <v>24.984516217045893</v>
      </c>
    </row>
    <row r="27" spans="1:24" ht="10.5" customHeight="1" x14ac:dyDescent="0.15">
      <c r="A27" s="34"/>
      <c r="B27" s="13" t="s">
        <v>172</v>
      </c>
      <c r="C27" s="10" t="s">
        <v>161</v>
      </c>
      <c r="D27" s="10" t="s">
        <v>233</v>
      </c>
      <c r="E27" s="8">
        <f t="shared" ref="E27" ca="1" si="31">TODAY()</f>
        <v>43193</v>
      </c>
      <c r="F27" s="8">
        <f t="shared" ref="F27" ca="1" si="32">E27+H27</f>
        <v>43252</v>
      </c>
      <c r="G27" s="10">
        <v>3500</v>
      </c>
      <c r="H27" s="10">
        <v>59</v>
      </c>
      <c r="I27" s="12">
        <f>(H27-4)/365</f>
        <v>0.15068493150684931</v>
      </c>
      <c r="J27" s="12">
        <v>0</v>
      </c>
      <c r="K27" s="9">
        <v>0.2</v>
      </c>
      <c r="L27" s="13">
        <f>_xll.dnetGBlackScholesNGreeks("price",$Q27,$P27,$G27,$I27,$C$3,$J27,$K27,$C$4)*R27</f>
        <v>211.12188490502331</v>
      </c>
      <c r="M27" s="15"/>
      <c r="N27" s="13">
        <f t="shared" ref="N27" si="33">M27/10000*I27*P27</f>
        <v>0</v>
      </c>
      <c r="O27" s="13">
        <f>IF(L27&lt;=0,ABS(L27)+N27,L27-N27)</f>
        <v>211.12188490502331</v>
      </c>
      <c r="P27" s="11">
        <v>3330</v>
      </c>
      <c r="Q27" s="10" t="s">
        <v>85</v>
      </c>
      <c r="R27" s="10">
        <f t="shared" ref="R27" si="34">IF(S27="中金买入",1,-1)</f>
        <v>1</v>
      </c>
      <c r="S27" s="10" t="s">
        <v>151</v>
      </c>
      <c r="T27" s="14">
        <f t="shared" ref="T27" si="35">O27/P27</f>
        <v>6.3399965436943942E-2</v>
      </c>
      <c r="U27" s="13">
        <f>_xll.dnetGBlackScholesNGreeks("delta",$Q27,$P27,$G27,$I27,$C$3,$J27,$K27,$C$4)*R27</f>
        <v>-0.72439756652329379</v>
      </c>
      <c r="V27" s="13">
        <f>_xll.dnetGBlackScholesNGreeks("vega",$Q27,$P27,$G27,$I27,$C$3,$J27,$K27,$C$4)*R27</f>
        <v>4.2860516422060755</v>
      </c>
      <c r="X27" s="6">
        <f>2000*U27</f>
        <v>-1448.7951330465876</v>
      </c>
    </row>
    <row r="29" spans="1:24" ht="10.5" customHeight="1" x14ac:dyDescent="0.15">
      <c r="A29" s="34"/>
      <c r="B29" s="13" t="s">
        <v>172</v>
      </c>
      <c r="C29" s="10" t="s">
        <v>161</v>
      </c>
      <c r="D29" s="10" t="s">
        <v>249</v>
      </c>
      <c r="E29" s="8">
        <f t="shared" ref="E29:E31" ca="1" si="36">TODAY()</f>
        <v>43193</v>
      </c>
      <c r="F29" s="8">
        <f t="shared" ref="F29" ca="1" si="37">E29+H29</f>
        <v>43273</v>
      </c>
      <c r="G29" s="10">
        <v>17100</v>
      </c>
      <c r="H29" s="10">
        <v>80</v>
      </c>
      <c r="I29" s="12">
        <f>(H29-4)/365</f>
        <v>0.20821917808219179</v>
      </c>
      <c r="J29" s="12">
        <v>0</v>
      </c>
      <c r="K29" s="9">
        <v>0.21</v>
      </c>
      <c r="L29" s="13">
        <f>_xll.dnetGBlackScholesNGreeks("price",$Q29,$P29,$G29,$I29,$C$3,$J29,$K29,$C$4)*R29</f>
        <v>17.990131327788561</v>
      </c>
      <c r="M29" s="15"/>
      <c r="N29" s="13">
        <f t="shared" ref="N29" si="38">M29/10000*I29*P29</f>
        <v>0</v>
      </c>
      <c r="O29" s="13">
        <f>IF(L29&lt;=0,ABS(L29)+N29,L29-N29)</f>
        <v>17.990131327788561</v>
      </c>
      <c r="P29" s="11">
        <v>14300</v>
      </c>
      <c r="Q29" s="10" t="s">
        <v>39</v>
      </c>
      <c r="R29" s="10">
        <f t="shared" ref="R29" si="39">IF(S29="中金买入",1,-1)</f>
        <v>1</v>
      </c>
      <c r="S29" s="10" t="s">
        <v>151</v>
      </c>
      <c r="T29" s="14">
        <f t="shared" ref="T29" si="40">O29/P29</f>
        <v>1.2580511418033959E-3</v>
      </c>
      <c r="U29" s="13">
        <f>_xll.dnetGBlackScholesNGreeks("delta",$Q29,$P29,$G29,$I29,$C$3,$J29,$K29,$C$4)*R29</f>
        <v>3.4374656607383258E-2</v>
      </c>
      <c r="V29" s="13">
        <f>_xll.dnetGBlackScholesNGreeks("vega",$Q29,$P29,$G29,$I29,$C$3,$J29,$K29,$C$4)*R29</f>
        <v>4.9674015675985572</v>
      </c>
      <c r="X29" s="6">
        <f>200*U29</f>
        <v>6.8749313214766516</v>
      </c>
    </row>
    <row r="31" spans="1:24" ht="10.5" customHeight="1" x14ac:dyDescent="0.15">
      <c r="A31" s="34"/>
      <c r="B31" s="13" t="s">
        <v>172</v>
      </c>
      <c r="C31" s="10" t="s">
        <v>161</v>
      </c>
      <c r="D31" s="10" t="s">
        <v>251</v>
      </c>
      <c r="E31" s="8">
        <f t="shared" ca="1" si="36"/>
        <v>43193</v>
      </c>
      <c r="F31" s="8">
        <f t="shared" ref="F31" ca="1" si="41">E31+H31</f>
        <v>43448</v>
      </c>
      <c r="G31" s="11">
        <f>P31</f>
        <v>3228</v>
      </c>
      <c r="H31" s="10">
        <v>255</v>
      </c>
      <c r="I31" s="12">
        <f>(H31)/365</f>
        <v>0.69863013698630139</v>
      </c>
      <c r="J31" s="12">
        <v>0</v>
      </c>
      <c r="K31" s="9">
        <v>0.24</v>
      </c>
      <c r="L31" s="13">
        <f>_xll.dnetGBlackScholesNGreeks("price",$Q31,$P31,$G31,$I31,$C$3,$J31,$K31,$C$4)*R31</f>
        <v>-254.32120264354603</v>
      </c>
      <c r="M31" s="15">
        <v>0</v>
      </c>
      <c r="N31" s="13">
        <f t="shared" ref="N31" si="42">M31/10000*I31*P31</f>
        <v>0</v>
      </c>
      <c r="O31" s="13">
        <f>IF(L31&lt;=0,ABS(L31)+N31,L31-N31)</f>
        <v>254.32120264354603</v>
      </c>
      <c r="P31" s="11">
        <f>RTD("wdf.rtq",,D31,"LastPrice")</f>
        <v>3228</v>
      </c>
      <c r="Q31" s="10" t="s">
        <v>39</v>
      </c>
      <c r="R31" s="10">
        <f t="shared" ref="R31" si="43">IF(S31="中金买入",1,-1)</f>
        <v>-1</v>
      </c>
      <c r="S31" s="10" t="s">
        <v>20</v>
      </c>
      <c r="T31" s="14">
        <f t="shared" ref="T31" si="44">O31/P31</f>
        <v>7.8785998340627647E-2</v>
      </c>
      <c r="U31" s="13">
        <f>_xll.dnetGBlackScholesNGreeks("delta",$Q31,$P31,$G31,$I31,$C$3,$J31,$K31,$C$4)*R31</f>
        <v>-0.53245527967646922</v>
      </c>
      <c r="V31" s="13">
        <f>_xll.dnetGBlackScholesNGreeks("vega",$Q31,$P31,$G31,$I31,$C$3,$J31,$K31,$C$4)*R31</f>
        <v>-10.561198694665791</v>
      </c>
      <c r="X31" s="6">
        <f>200*U31</f>
        <v>-106.49105593529384</v>
      </c>
    </row>
    <row r="35" spans="6:6" x14ac:dyDescent="0.15">
      <c r="F35" s="145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S13:S15 S17 S19:S21 S23 S25 S27 S29 S31</xm:sqref>
        </x14:dataValidation>
        <x14:dataValidation type="list" allowBlank="1" showInputMessage="1" showErrorMessage="1">
          <x14:formula1>
            <xm:f>configs!$C$1:$C$2</xm:f>
          </x14:formula1>
          <xm:sqref>Q8:Q9 Q11 Q13:Q15 Q17 Q19:Q21 Q23 Q25 Q27 Q29 Q31</xm:sqref>
        </x14:dataValidation>
        <x14:dataValidation type="list" allowBlank="1" showInputMessage="1">
          <x14:formula1>
            <xm:f>configs!$A$1:$A$36</xm:f>
          </x14:formula1>
          <xm:sqref>C8:C9 C11 C13:C15 C17 C19:C21 C23 C25 C27 C29 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7" zoomScale="85" zoomScaleNormal="85" workbookViewId="0">
      <selection activeCell="I56" sqref="I5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3" t="s">
        <v>37</v>
      </c>
      <c r="C1" s="14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43193</v>
      </c>
      <c r="F8" s="46">
        <f ca="1">E8+H8</f>
        <v>43223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43193</v>
      </c>
      <c r="F9" s="54">
        <f ca="1">F8</f>
        <v>43223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43193</v>
      </c>
      <c r="F10" s="62">
        <f ca="1">F9</f>
        <v>43223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43193</v>
      </c>
      <c r="F11" s="46">
        <f ca="1">E11+H11</f>
        <v>43223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-65.161147653580883</v>
      </c>
      <c r="M11" s="49"/>
      <c r="N11" s="43"/>
      <c r="O11" s="43">
        <f t="shared" si="0"/>
        <v>65.161147653580883</v>
      </c>
      <c r="P11" s="117">
        <f>RTD("wdf.rtq",,D11,"LastPrice")</f>
        <v>3344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0.4054334679153726</v>
      </c>
      <c r="V11" s="43">
        <f>_xll.dnetGBlackScholesNGreeks("vega",$Q11,$P11,$G11,$I11,$C$3,$J11,$K11,$C$4)*R11</f>
        <v>-3.7119412635374829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43193</v>
      </c>
      <c r="F12" s="54">
        <f t="shared" ca="1" si="1"/>
        <v>43223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5.1256412208290136E-2</v>
      </c>
      <c r="M12" s="57"/>
      <c r="N12" s="51"/>
      <c r="O12" s="51">
        <f t="shared" si="0"/>
        <v>5.1256412208290136E-2</v>
      </c>
      <c r="P12" s="95">
        <f>P11</f>
        <v>3344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9.8123307543662719E-4</v>
      </c>
      <c r="V12" s="51">
        <f>_xll.dnetGBlackScholesNGreeks("vega",$Q12,$P12,$G12,$I12,$C$3,$J12,$K12,$C$4)*R12</f>
        <v>3.2589219804368907E-2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43193</v>
      </c>
      <c r="F13" s="62">
        <f t="shared" ca="1" si="1"/>
        <v>43223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-65.109891241372594</v>
      </c>
      <c r="M13" s="60"/>
      <c r="N13" s="59">
        <f>M13/10000*I13*P13</f>
        <v>0</v>
      </c>
      <c r="O13" s="59">
        <f t="shared" si="0"/>
        <v>65.109891241372594</v>
      </c>
      <c r="P13" s="118">
        <f>P12</f>
        <v>3344</v>
      </c>
      <c r="Q13" s="60"/>
      <c r="R13" s="60"/>
      <c r="S13" s="56" t="s">
        <v>151</v>
      </c>
      <c r="T13" s="64">
        <f>O13/P13</f>
        <v>1.9470661256391325E-2</v>
      </c>
      <c r="U13" s="64">
        <f>U12+U11</f>
        <v>0.40641470099080923</v>
      </c>
      <c r="V13" s="64">
        <f>V12+V11</f>
        <v>-3.6793520437331138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43193</v>
      </c>
      <c r="F14" s="46">
        <f ca="1">E14+H14</f>
        <v>43223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-117.42538356822683</v>
      </c>
      <c r="M14" s="49"/>
      <c r="N14" s="43"/>
      <c r="O14" s="43">
        <f t="shared" ref="O14:O28" si="2">IF(L14&lt;=0,ABS(L14)+N14,L14-N14)</f>
        <v>117.42538356822683</v>
      </c>
      <c r="P14" s="117">
        <f>RTD("wdf.rtq",,D14,"LastPrice")</f>
        <v>3344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0.58812431559545075</v>
      </c>
      <c r="V14" s="43">
        <f>_xll.dnetGBlackScholesNGreeks("vega",$Q14,$P14,$G14,$I14,$C$3,$J14,$K14,$C$4)*R14</f>
        <v>-3.722502734745035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43193</v>
      </c>
      <c r="F15" s="54">
        <f t="shared" ca="1" si="3"/>
        <v>43223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5.1256412208290136E-2</v>
      </c>
      <c r="M15" s="57"/>
      <c r="N15" s="51"/>
      <c r="O15" s="51">
        <f t="shared" si="2"/>
        <v>5.1256412208290136E-2</v>
      </c>
      <c r="P15" s="95">
        <f>P14</f>
        <v>3344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9.8123307543662719E-4</v>
      </c>
      <c r="V15" s="51">
        <f>_xll.dnetGBlackScholesNGreeks("vega",$Q15,$P15,$G15,$I15,$C$3,$J15,$K15,$C$4)*R15</f>
        <v>3.2589219804368907E-2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43193</v>
      </c>
      <c r="F16" s="62">
        <f t="shared" ca="1" si="3"/>
        <v>43223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-117.37412715601855</v>
      </c>
      <c r="M16" s="60"/>
      <c r="N16" s="59">
        <f>M16/10000*I16*P16</f>
        <v>0</v>
      </c>
      <c r="O16" s="59">
        <f t="shared" si="2"/>
        <v>117.37412715601855</v>
      </c>
      <c r="P16" s="118">
        <f>P15</f>
        <v>3344</v>
      </c>
      <c r="Q16" s="60"/>
      <c r="R16" s="60"/>
      <c r="S16" s="56" t="s">
        <v>151</v>
      </c>
      <c r="T16" s="64">
        <f>O16/P16</f>
        <v>3.5099918407900284E-2</v>
      </c>
      <c r="U16" s="64">
        <f>U15+U14</f>
        <v>0.58910554867088738</v>
      </c>
      <c r="V16" s="64">
        <f>V15+V14</f>
        <v>-3.6899135149406659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43193</v>
      </c>
      <c r="F17" s="46">
        <f ca="1">E17+H17</f>
        <v>43223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-186.85029866555169</v>
      </c>
      <c r="M17" s="49"/>
      <c r="N17" s="43"/>
      <c r="O17" s="43">
        <f t="shared" si="2"/>
        <v>186.85029866555169</v>
      </c>
      <c r="P17" s="117">
        <f>RTD("wdf.rtq",,D17,"LastPrice")</f>
        <v>3344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0.74880009631215216</v>
      </c>
      <c r="V17" s="43">
        <f>_xll.dnetGBlackScholesNGreeks("vega",$Q17,$P17,$G17,$I17,$C$3,$J17,$K17,$C$4)*R17</f>
        <v>-3.0400433717786655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43193</v>
      </c>
      <c r="F18" s="54">
        <f t="shared" ca="1" si="4"/>
        <v>43223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5.1256412208290136E-2</v>
      </c>
      <c r="M18" s="57"/>
      <c r="N18" s="51"/>
      <c r="O18" s="51">
        <f t="shared" si="2"/>
        <v>5.1256412208290136E-2</v>
      </c>
      <c r="P18" s="95">
        <f>P17</f>
        <v>3344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9.8123307543662719E-4</v>
      </c>
      <c r="V18" s="51">
        <f>_xll.dnetGBlackScholesNGreeks("vega",$Q18,$P18,$G18,$I18,$C$3,$J18,$K18,$C$4)*R18</f>
        <v>3.2589219804368907E-2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43193</v>
      </c>
      <c r="F19" s="62">
        <f t="shared" ca="1" si="4"/>
        <v>43223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-186.7990422533434</v>
      </c>
      <c r="M19" s="60"/>
      <c r="N19" s="59">
        <f>M19/10000*I19*P19</f>
        <v>0</v>
      </c>
      <c r="O19" s="59">
        <f t="shared" si="2"/>
        <v>186.7990422533434</v>
      </c>
      <c r="P19" s="118">
        <f>P18</f>
        <v>3344</v>
      </c>
      <c r="Q19" s="60"/>
      <c r="R19" s="60"/>
      <c r="S19" s="56" t="s">
        <v>151</v>
      </c>
      <c r="T19" s="64">
        <f>O19/P19</f>
        <v>5.5860957611645751E-2</v>
      </c>
      <c r="U19" s="64">
        <f>U18+U17</f>
        <v>0.74978132938758879</v>
      </c>
      <c r="V19" s="64">
        <f>V18+V17</f>
        <v>-3.0074541519742963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43193</v>
      </c>
      <c r="F20" s="46">
        <f ca="1">E20+H20</f>
        <v>43283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-126.40573877737506</v>
      </c>
      <c r="M20" s="49"/>
      <c r="N20" s="43"/>
      <c r="O20" s="43">
        <f t="shared" si="2"/>
        <v>126.40573877737506</v>
      </c>
      <c r="P20" s="117">
        <f>RTD("wdf.rtq",,D20,"LastPrice")</f>
        <v>3344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0.42865112268373196</v>
      </c>
      <c r="V20" s="43">
        <f>_xll.dnetGBlackScholesNGreeks("vega",$Q20,$P20,$G20,$I20,$C$3,$J20,$K20,$C$4)*R20</f>
        <v>-6.4922812442137001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43193</v>
      </c>
      <c r="F21" s="54">
        <f t="shared" ca="1" si="5"/>
        <v>43283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5.1074563659956596</v>
      </c>
      <c r="M21" s="57"/>
      <c r="N21" s="51"/>
      <c r="O21" s="51">
        <f t="shared" si="2"/>
        <v>5.1074563659956596</v>
      </c>
      <c r="P21" s="95">
        <f>P20</f>
        <v>3344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3.9519303161483776E-2</v>
      </c>
      <c r="V21" s="51">
        <f>_xll.dnetGBlackScholesNGreeks("vega",$Q21,$P21,$G21,$I21,$C$3,$J21,$K21,$C$4)*R21</f>
        <v>1.4161036906852331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43193</v>
      </c>
      <c r="F22" s="62">
        <f t="shared" ca="1" si="5"/>
        <v>43283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-121.2982824113794</v>
      </c>
      <c r="M22" s="60"/>
      <c r="N22" s="59">
        <f>M22/10000*I22*P22</f>
        <v>0</v>
      </c>
      <c r="O22" s="59">
        <f t="shared" si="2"/>
        <v>121.2982824113794</v>
      </c>
      <c r="P22" s="118">
        <f>P21</f>
        <v>3344</v>
      </c>
      <c r="Q22" s="60"/>
      <c r="R22" s="60"/>
      <c r="S22" s="56" t="s">
        <v>151</v>
      </c>
      <c r="T22" s="64">
        <f>O22/P22</f>
        <v>3.6273409812015371E-2</v>
      </c>
      <c r="U22" s="64">
        <f>U21+U20</f>
        <v>0.46817042584521573</v>
      </c>
      <c r="V22" s="64">
        <f>V21+V20</f>
        <v>-5.076177553528467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43193</v>
      </c>
      <c r="F23" s="46">
        <f ca="1">E23+H23</f>
        <v>43283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-178.99039190278199</v>
      </c>
      <c r="M23" s="49"/>
      <c r="N23" s="43"/>
      <c r="O23" s="43">
        <f t="shared" si="2"/>
        <v>178.99039190278199</v>
      </c>
      <c r="P23" s="117">
        <f>RTD("wdf.rtq",,D23,"LastPrice")</f>
        <v>3344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0.53432033445233174</v>
      </c>
      <c r="V23" s="43">
        <f>_xll.dnetGBlackScholesNGreeks("vega",$Q23,$P23,$G23,$I23,$C$3,$J23,$K23,$C$4)*R23</f>
        <v>-6.563420145927239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43193</v>
      </c>
      <c r="F24" s="54">
        <f t="shared" ca="1" si="6"/>
        <v>43283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5.1074563659956596</v>
      </c>
      <c r="M24" s="57"/>
      <c r="N24" s="51"/>
      <c r="O24" s="51">
        <f t="shared" si="2"/>
        <v>5.1074563659956596</v>
      </c>
      <c r="P24" s="95">
        <f>P23</f>
        <v>3344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3.9519303161483776E-2</v>
      </c>
      <c r="V24" s="51">
        <f>_xll.dnetGBlackScholesNGreeks("vega",$Q24,$P24,$G24,$I24,$C$3,$J24,$K24,$C$4)*R24</f>
        <v>1.4161036906852331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43193</v>
      </c>
      <c r="F25" s="62">
        <f t="shared" ca="1" si="6"/>
        <v>43283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-173.88293553678633</v>
      </c>
      <c r="M25" s="60"/>
      <c r="N25" s="59">
        <f>M25/10000*I25*P25</f>
        <v>0</v>
      </c>
      <c r="O25" s="59">
        <f t="shared" si="2"/>
        <v>173.88293553678633</v>
      </c>
      <c r="P25" s="118">
        <f>P24</f>
        <v>3344</v>
      </c>
      <c r="Q25" s="60"/>
      <c r="R25" s="60"/>
      <c r="S25" s="56" t="s">
        <v>151</v>
      </c>
      <c r="T25" s="64">
        <f>O25/P25</f>
        <v>5.1998485507412179E-2</v>
      </c>
      <c r="U25" s="64">
        <f>U24+U23</f>
        <v>0.57383963761381551</v>
      </c>
      <c r="V25" s="64">
        <f>V24+V23</f>
        <v>-5.1473164552420059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43193</v>
      </c>
      <c r="F26" s="46">
        <f ca="1">E26+H26</f>
        <v>43377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310.16326743443233</v>
      </c>
      <c r="M26" s="49"/>
      <c r="N26" s="43"/>
      <c r="O26" s="43">
        <f t="shared" si="2"/>
        <v>310.16326743443233</v>
      </c>
      <c r="P26" s="117">
        <f>RTD("wdf.rtq",,D26,"LastPrice")</f>
        <v>3344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-0.72347891773461015</v>
      </c>
      <c r="V26" s="43">
        <f>_xll.dnetGBlackScholesNGreeks("vega",$Q26,$P26,$G26,$I26,$C$3,$J26,$K26,$C$4)*R26</f>
        <v>7.7537347647273691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43193</v>
      </c>
      <c r="F27" s="54">
        <f t="shared" ca="1" si="7"/>
        <v>43377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-16.882868418689384</v>
      </c>
      <c r="M27" s="57"/>
      <c r="N27" s="51"/>
      <c r="O27" s="51">
        <f t="shared" si="2"/>
        <v>16.882868418689384</v>
      </c>
      <c r="P27" s="95">
        <f>P26</f>
        <v>3344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-8.958878927103342E-2</v>
      </c>
      <c r="V27" s="51">
        <f>_xll.dnetGBlackScholesNGreeks("vega",$Q27,$P27,$G27,$I27,$C$3,$J27,$K27,$C$4)*R27</f>
        <v>-3.8284998783297226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43193</v>
      </c>
      <c r="F28" s="62">
        <f t="shared" ca="1" si="7"/>
        <v>43377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293.28039901574294</v>
      </c>
      <c r="M28" s="60"/>
      <c r="N28" s="59">
        <f>M28/10000*I28*P28</f>
        <v>0</v>
      </c>
      <c r="O28" s="59">
        <f t="shared" si="2"/>
        <v>293.28039901574294</v>
      </c>
      <c r="P28" s="118">
        <f>P27</f>
        <v>3344</v>
      </c>
      <c r="Q28" s="60"/>
      <c r="R28" s="60"/>
      <c r="S28" s="56" t="s">
        <v>151</v>
      </c>
      <c r="T28" s="64">
        <f>O28/P28</f>
        <v>8.7703468605186283E-2</v>
      </c>
      <c r="U28" s="64">
        <f>U27+U26</f>
        <v>-0.81306770700564357</v>
      </c>
      <c r="V28" s="64">
        <f>V27+V26</f>
        <v>3.9252348863976465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43193</v>
      </c>
      <c r="F29" s="46">
        <f ca="1">E29+H29</f>
        <v>43223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43193</v>
      </c>
      <c r="F30" s="54">
        <f t="shared" ca="1" si="9"/>
        <v>43223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43193</v>
      </c>
      <c r="F31" s="62">
        <f t="shared" ca="1" si="10"/>
        <v>43223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43193</v>
      </c>
      <c r="F32" s="46">
        <f ca="1">E32+H32</f>
        <v>43223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43193</v>
      </c>
      <c r="F33" s="54">
        <f t="shared" ca="1" si="11"/>
        <v>43223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43193</v>
      </c>
      <c r="F34" s="62">
        <f t="shared" ca="1" si="12"/>
        <v>43223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43193</v>
      </c>
      <c r="F35" s="46">
        <f ca="1">E35+H35</f>
        <v>43283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115.13974473365715</v>
      </c>
      <c r="M35" s="49"/>
      <c r="N35" s="43"/>
      <c r="O35" s="43">
        <f t="shared" ref="O35:O37" si="13">IF(L35&lt;=0,ABS(L35)+N35,L35-N35)</f>
        <v>115.13974473365715</v>
      </c>
      <c r="P35" s="117">
        <f>RTD("wdf.rtq",,D35,"LastPrice")</f>
        <v>3344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-0.48921549166607292</v>
      </c>
      <c r="V35" s="43">
        <f>_xll.dnetGBlackScholesNGreeks("vega",$Q35,$P35,$G35,$I35,$C$3,$J35,$K35,$C$4)*R35</f>
        <v>6.5904207031379656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43193</v>
      </c>
      <c r="F36" s="54">
        <f t="shared" ca="1" si="14"/>
        <v>43283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-42.933550700092496</v>
      </c>
      <c r="M36" s="57"/>
      <c r="N36" s="51"/>
      <c r="O36" s="51">
        <f t="shared" si="13"/>
        <v>42.933550700092496</v>
      </c>
      <c r="P36" s="95">
        <f>P35</f>
        <v>3344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-0.23663028883333936</v>
      </c>
      <c r="V36" s="51">
        <f>_xll.dnetGBlackScholesNGreeks("vega",$Q36,$P36,$G36,$I36,$C$3,$J36,$K36,$C$4)*R36</f>
        <v>-5.1077179970082511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43193</v>
      </c>
      <c r="F37" s="62">
        <f t="shared" ca="1" si="15"/>
        <v>43283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72.206194033564657</v>
      </c>
      <c r="M37" s="60"/>
      <c r="N37" s="59">
        <f>M37/10000*I37*P37</f>
        <v>0</v>
      </c>
      <c r="O37" s="59">
        <f t="shared" si="13"/>
        <v>72.206194033564657</v>
      </c>
      <c r="P37" s="118">
        <f>P36</f>
        <v>3344</v>
      </c>
      <c r="Q37" s="60"/>
      <c r="R37" s="60"/>
      <c r="S37" s="56" t="s">
        <v>151</v>
      </c>
      <c r="T37" s="64">
        <f>O37/P37</f>
        <v>2.1592761373673643E-2</v>
      </c>
      <c r="U37" s="64">
        <f>U36+U35</f>
        <v>-0.72584578049941229</v>
      </c>
      <c r="V37" s="64">
        <f>V36+V35</f>
        <v>1.4827027061297144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43193</v>
      </c>
      <c r="F38" s="46">
        <f ca="1">E38+H38</f>
        <v>43373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160.7360898925624</v>
      </c>
      <c r="M38" s="49"/>
      <c r="N38" s="43"/>
      <c r="O38" s="43">
        <f t="shared" ref="O38:O40" si="16">IF(L38&lt;=0,ABS(L38)+N38,L38-N38)</f>
        <v>160.7360898925624</v>
      </c>
      <c r="P38" s="117">
        <f>RTD("wdf.rtq",,D38,"LastPrice")</f>
        <v>3344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-0.47745081948278312</v>
      </c>
      <c r="V38" s="43">
        <f>_xll.dnetGBlackScholesNGreeks("vega",$Q38,$P38,$G38,$I38,$C$3,$J38,$K38,$C$4)*R38</f>
        <v>9.2671939091818558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43193</v>
      </c>
      <c r="F39" s="54">
        <f t="shared" ca="1" si="17"/>
        <v>43373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-87.457198102429174</v>
      </c>
      <c r="M39" s="57"/>
      <c r="N39" s="51"/>
      <c r="O39" s="51">
        <f t="shared" si="16"/>
        <v>87.457198102429174</v>
      </c>
      <c r="P39" s="95">
        <f>P38</f>
        <v>3344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-0.31596951916981197</v>
      </c>
      <c r="V39" s="51">
        <f>_xll.dnetGBlackScholesNGreeks("vega",$Q39,$P39,$G39,$I39,$C$3,$J39,$K39,$C$4)*R39</f>
        <v>-8.3027114251839294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43193</v>
      </c>
      <c r="F40" s="62">
        <f t="shared" ca="1" si="18"/>
        <v>43373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73.27889179013323</v>
      </c>
      <c r="M40" s="60">
        <v>50</v>
      </c>
      <c r="N40" s="59">
        <f>M40/10000*I40*P40</f>
        <v>8.2454794520547949</v>
      </c>
      <c r="O40" s="59">
        <f t="shared" si="16"/>
        <v>65.033412338078435</v>
      </c>
      <c r="P40" s="118">
        <f>P39</f>
        <v>3344</v>
      </c>
      <c r="Q40" s="60"/>
      <c r="R40" s="60"/>
      <c r="S40" s="56" t="s">
        <v>151</v>
      </c>
      <c r="T40" s="64">
        <f>O40/P40</f>
        <v>1.9447790770956468E-2</v>
      </c>
      <c r="U40" s="64">
        <f>U39+U38</f>
        <v>-0.79342033865259509</v>
      </c>
      <c r="V40" s="64">
        <f>V39+V38</f>
        <v>0.96448248399792647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43193</v>
      </c>
      <c r="F41" s="46">
        <f ca="1">E41+H41</f>
        <v>43273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173.37927950734411</v>
      </c>
      <c r="M41" s="49"/>
      <c r="N41" s="43"/>
      <c r="O41" s="43">
        <f t="shared" ref="O41:O43" si="19">IF(L41&lt;=0,ABS(L41)+N41,L41-N41)</f>
        <v>173.37927950734411</v>
      </c>
      <c r="P41" s="117">
        <f>RTD("wdf.rtq",,D41,"LastPrice")</f>
        <v>14205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-0.24735800523103535</v>
      </c>
      <c r="V41" s="43">
        <f>_xll.dnetGBlackScholesNGreeks("vega",$Q41,$P41,$G41,$I41,$C$3,$J41,$K41,$C$4)*R41</f>
        <v>20.957998309100503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43193</v>
      </c>
      <c r="F42" s="54">
        <f t="shared" ca="1" si="20"/>
        <v>43273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-457.51154485728694</v>
      </c>
      <c r="M42" s="57"/>
      <c r="N42" s="51"/>
      <c r="O42" s="51">
        <f t="shared" si="19"/>
        <v>457.51154485728694</v>
      </c>
      <c r="P42" s="95">
        <f>P41</f>
        <v>14205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-0.48571669444754662</v>
      </c>
      <c r="V42" s="51">
        <f>_xll.dnetGBlackScholesNGreeks("vega",$Q42,$P42,$G42,$I42,$C$3,$J42,$K42,$C$4)*R42</f>
        <v>-26.402245831360233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43193</v>
      </c>
      <c r="F43" s="62">
        <f t="shared" ca="1" si="21"/>
        <v>43273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-284.13226534994283</v>
      </c>
      <c r="M43" s="60">
        <v>50</v>
      </c>
      <c r="N43" s="59">
        <f>M43/10000*I43*P43</f>
        <v>15.567123287671231</v>
      </c>
      <c r="O43" s="59">
        <f t="shared" si="19"/>
        <v>299.69938863761405</v>
      </c>
      <c r="P43" s="118">
        <f>P42</f>
        <v>14205</v>
      </c>
      <c r="Q43" s="60"/>
      <c r="R43" s="60"/>
      <c r="S43" s="56" t="s">
        <v>151</v>
      </c>
      <c r="T43" s="64">
        <f>O43/P43</f>
        <v>2.1098161818909823E-2</v>
      </c>
      <c r="U43" s="64">
        <f>U42+U41</f>
        <v>-0.73307469967858196</v>
      </c>
      <c r="V43" s="64">
        <f>V42+V41</f>
        <v>-5.4442475222597295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2" t="s">
        <v>38</v>
      </c>
      <c r="C1" s="14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3592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43193</v>
      </c>
      <c r="N8" s="21">
        <f ca="1">M8+O8</f>
        <v>43223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-22.062237390740986</v>
      </c>
      <c r="T8" s="25">
        <v>80</v>
      </c>
      <c r="U8" s="24">
        <f>T8/10000*P8*H8</f>
        <v>2.3618630136986303</v>
      </c>
      <c r="V8" s="24">
        <f>IF(S8&lt;=0,ABS(S8)+U8,S8-U8)</f>
        <v>24.424100404439617</v>
      </c>
      <c r="W8" s="26">
        <f>V8/H8</f>
        <v>6.7995825179397599E-3</v>
      </c>
      <c r="X8" s="24">
        <f>_xll.dnetStandardBarrierNGreeks("delta",G8,H8,I8,K8,L8*H8,P8,$C$3,Q8,R8,$C$4)</f>
        <v>0.10729580488622048</v>
      </c>
      <c r="Y8" s="24">
        <f>_xll.dnetStandardBarrierNGreeks("vega",G8,H8,I8,K8,L8*H8,P8,$C$3,Q8,R8,$C$4)</f>
        <v>1.0181061789792452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43193</v>
      </c>
      <c r="N9" s="8">
        <f ca="1">M9+O9</f>
        <v>43373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4" t="s">
        <v>37</v>
      </c>
      <c r="C1" s="14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3592</v>
      </c>
      <c r="I8" s="19">
        <v>3800</v>
      </c>
      <c r="J8" s="21">
        <f ca="1">TODAY()</f>
        <v>43193</v>
      </c>
      <c r="K8" s="21">
        <f ca="1">J8+L8</f>
        <v>43223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49.699518798656072</v>
      </c>
      <c r="P8" s="25">
        <v>80</v>
      </c>
      <c r="Q8" s="24">
        <f>P8/10000*M8*H8*(-E8)</f>
        <v>2.3618630136986303</v>
      </c>
      <c r="R8" s="24">
        <f>O8+Q8</f>
        <v>52.061381812354703</v>
      </c>
      <c r="S8" s="26">
        <f>R8/H8</f>
        <v>1.4493703177158881E-2</v>
      </c>
      <c r="T8" s="24">
        <f>_xll.dnetGBlackScholesNGreeks("delta",$G8,$H8,$I8,$M8,$C$3,$C$4,$N8,$C$4)</f>
        <v>0.2733817921125592</v>
      </c>
      <c r="U8" s="24">
        <f>_xll.dnetGBlackScholesNGreeks("vega",$G8,$H8,$I8,$M8,$C$3,$C$4,$N8)</f>
        <v>3.4240267483094726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43193</v>
      </c>
      <c r="K9" s="8">
        <f ca="1">J9+L9</f>
        <v>43223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43193</v>
      </c>
      <c r="K10" s="8">
        <f ca="1">J10+L10</f>
        <v>43223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2018-04-03T13:49:21Z</dcterms:modified>
</cp:coreProperties>
</file>