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240" yWindow="105" windowWidth="14805" windowHeight="8010" tabRatio="602"/>
  </bookViews>
  <sheets>
    <sheet name="quate_van" sheetId="6" r:id="rId1"/>
    <sheet name="recap" sheetId="2" r:id="rId2"/>
    <sheet name="pricer_van" sheetId="1" r:id="rId3"/>
    <sheet name="Sheet1" sheetId="11" r:id="rId4"/>
    <sheet name="pricer_combo" sheetId="9" r:id="rId5"/>
    <sheet name="quote_sf" sheetId="10" r:id="rId6"/>
    <sheet name="ref_vol_table" sheetId="4" r:id="rId7"/>
    <sheet name="pricer_sf" sheetId="8" r:id="rId8"/>
    <sheet name="configs" sheetId="5" r:id="rId9"/>
    <sheet name="pricer_digit" sheetId="7" r:id="rId10"/>
  </sheets>
  <calcPr calcId="152511" calcMode="manual"/>
</workbook>
</file>

<file path=xl/calcChain.xml><?xml version="1.0" encoding="utf-8"?>
<calcChain xmlns="http://schemas.openxmlformats.org/spreadsheetml/2006/main">
  <c r="R31" i="1" l="1"/>
  <c r="I31" i="1"/>
  <c r="N31" i="1" s="1"/>
  <c r="E31" i="1"/>
  <c r="F31" i="1" s="1"/>
  <c r="V31" i="1"/>
  <c r="R29" i="1" l="1"/>
  <c r="I29" i="1"/>
  <c r="N29" i="1" s="1"/>
  <c r="E29" i="1"/>
  <c r="F29" i="1" s="1"/>
  <c r="R28" i="1"/>
  <c r="I28" i="1"/>
  <c r="N28" i="1" s="1"/>
  <c r="E28" i="1"/>
  <c r="F28" i="1" s="1"/>
  <c r="R27" i="1"/>
  <c r="I27" i="1"/>
  <c r="N27" i="1" s="1"/>
  <c r="E27" i="1"/>
  <c r="F27" i="1" s="1"/>
  <c r="L31" i="1"/>
  <c r="U31" i="1"/>
  <c r="L29" i="1"/>
  <c r="V29" i="1"/>
  <c r="L28" i="1"/>
  <c r="V27" i="1"/>
  <c r="Y31" i="1" l="1"/>
  <c r="O31" i="1"/>
  <c r="T31" i="1" s="1"/>
  <c r="O28" i="1"/>
  <c r="T28" i="1" s="1"/>
  <c r="O29" i="1"/>
  <c r="T29" i="1" s="1"/>
  <c r="R25" i="1"/>
  <c r="I25" i="1"/>
  <c r="E25" i="1"/>
  <c r="F25" i="1" s="1"/>
  <c r="U28" i="1"/>
  <c r="V28" i="1"/>
  <c r="U27" i="1"/>
  <c r="U29" i="1"/>
  <c r="L27" i="1"/>
  <c r="V25" i="1"/>
  <c r="Y27" i="1" l="1"/>
  <c r="O27" i="1"/>
  <c r="T27" i="1" s="1"/>
  <c r="Y29" i="1"/>
  <c r="Y28" i="1"/>
  <c r="N25" i="1"/>
  <c r="R23" i="1"/>
  <c r="I23" i="1"/>
  <c r="E23" i="1"/>
  <c r="F23" i="1" s="1"/>
  <c r="R22" i="1"/>
  <c r="I22" i="1"/>
  <c r="E22" i="1"/>
  <c r="F22" i="1" s="1"/>
  <c r="U25" i="1"/>
  <c r="P23" i="1"/>
  <c r="L25" i="1"/>
  <c r="P22" i="1"/>
  <c r="V22" i="1" s="1"/>
  <c r="V23" i="1"/>
  <c r="Y25" i="1" l="1"/>
  <c r="O25" i="1"/>
  <c r="T25" i="1" s="1"/>
  <c r="N23" i="1"/>
  <c r="N22" i="1"/>
  <c r="L22" i="1"/>
  <c r="U23" i="1"/>
  <c r="L23" i="1"/>
  <c r="U22" i="1"/>
  <c r="O23" i="1" l="1"/>
  <c r="T23" i="1" s="1"/>
  <c r="O22" i="1"/>
  <c r="T22" i="1" s="1"/>
  <c r="R20" i="1" l="1"/>
  <c r="I20" i="1"/>
  <c r="E20" i="1"/>
  <c r="F20" i="1" s="1"/>
  <c r="R19" i="1"/>
  <c r="I19" i="1"/>
  <c r="E19" i="1"/>
  <c r="F19" i="1" s="1"/>
  <c r="P19" i="1"/>
  <c r="P20" i="1"/>
  <c r="N20" i="1" l="1"/>
  <c r="N19" i="1"/>
  <c r="P84" i="2"/>
  <c r="N83" i="2"/>
  <c r="I83" i="2"/>
  <c r="N81" i="2"/>
  <c r="I81" i="2"/>
  <c r="Q72" i="2"/>
  <c r="N69" i="2"/>
  <c r="I69" i="2"/>
  <c r="N67" i="2"/>
  <c r="L20" i="1"/>
  <c r="U20" i="1"/>
  <c r="V19" i="1"/>
  <c r="U19" i="1"/>
  <c r="L19" i="1"/>
  <c r="V20" i="1"/>
  <c r="O20" i="1" l="1"/>
  <c r="T20" i="1" s="1"/>
  <c r="O19" i="1"/>
  <c r="T19" i="1" s="1"/>
  <c r="Y19" i="1"/>
  <c r="R17" i="1"/>
  <c r="I17" i="1"/>
  <c r="N17" i="1" s="1"/>
  <c r="E17" i="1"/>
  <c r="F17" i="1" s="1"/>
  <c r="R16" i="1"/>
  <c r="I16" i="1"/>
  <c r="E16" i="1"/>
  <c r="F16" i="1" s="1"/>
  <c r="R15" i="1"/>
  <c r="I15" i="1"/>
  <c r="E15" i="1"/>
  <c r="F15" i="1" s="1"/>
  <c r="R14" i="1"/>
  <c r="I14" i="1"/>
  <c r="E14" i="1"/>
  <c r="F14" i="1" s="1"/>
  <c r="R13" i="1"/>
  <c r="I13" i="1"/>
  <c r="E13" i="1"/>
  <c r="F13" i="1" s="1"/>
  <c r="P15" i="1"/>
  <c r="P13" i="1"/>
  <c r="P16" i="1"/>
  <c r="P14" i="1"/>
  <c r="L17" i="1"/>
  <c r="L13" i="1"/>
  <c r="O17" i="1" l="1"/>
  <c r="T17" i="1" s="1"/>
  <c r="N14" i="1"/>
  <c r="N16" i="1"/>
  <c r="N15" i="1"/>
  <c r="N13" i="1"/>
  <c r="O13" i="1" s="1"/>
  <c r="T13" i="1" s="1"/>
  <c r="L15" i="1"/>
  <c r="V15" i="1"/>
  <c r="L14" i="1"/>
  <c r="U17" i="1"/>
  <c r="V13" i="1"/>
  <c r="U15" i="1"/>
  <c r="V17" i="1"/>
  <c r="U14" i="1"/>
  <c r="L16" i="1"/>
  <c r="V16" i="1"/>
  <c r="V14" i="1"/>
  <c r="U13" i="1"/>
  <c r="U16" i="1"/>
  <c r="O16" i="1" l="1"/>
  <c r="T16" i="1" s="1"/>
  <c r="Y14" i="1"/>
  <c r="Y16" i="1"/>
  <c r="O15" i="1"/>
  <c r="T15" i="1" s="1"/>
  <c r="O14" i="1"/>
  <c r="T14" i="1" s="1"/>
  <c r="Y17" i="1"/>
  <c r="Y15" i="1"/>
  <c r="Y13" i="1"/>
  <c r="H9" i="1" l="1"/>
  <c r="I67" i="2" l="1"/>
  <c r="S55" i="2" l="1"/>
  <c r="S53" i="2"/>
  <c r="N55" i="2" l="1"/>
  <c r="N53" i="2"/>
  <c r="I53" i="2" l="1"/>
  <c r="D55" i="2" l="1"/>
  <c r="D30" i="9" l="1"/>
  <c r="D31" i="9" s="1"/>
  <c r="D27" i="9"/>
  <c r="D28" i="9" s="1"/>
  <c r="D22" i="9"/>
  <c r="D23" i="9" s="1"/>
  <c r="D19" i="9"/>
  <c r="D20" i="9" s="1"/>
  <c r="G31" i="9"/>
  <c r="R30" i="9"/>
  <c r="J30" i="9"/>
  <c r="H30" i="9"/>
  <c r="H31" i="9" s="1"/>
  <c r="R29" i="9"/>
  <c r="I29" i="9"/>
  <c r="E29" i="9"/>
  <c r="F29" i="9" s="1"/>
  <c r="F30" i="9" s="1"/>
  <c r="F31" i="9" s="1"/>
  <c r="R27" i="9"/>
  <c r="J27" i="9"/>
  <c r="H27" i="9"/>
  <c r="I27" i="9" s="1"/>
  <c r="I28" i="9" s="1"/>
  <c r="R26" i="9"/>
  <c r="I26" i="9"/>
  <c r="E26" i="9"/>
  <c r="E27" i="9" s="1"/>
  <c r="E28" i="9" s="1"/>
  <c r="P29" i="9"/>
  <c r="P26" i="9"/>
  <c r="E30" i="9" l="1"/>
  <c r="E31" i="9" s="1"/>
  <c r="P30" i="9"/>
  <c r="P27" i="9"/>
  <c r="F26" i="9"/>
  <c r="F27" i="9" s="1"/>
  <c r="F28" i="9" s="1"/>
  <c r="H28" i="9"/>
  <c r="I30" i="9"/>
  <c r="I31" i="9" s="1"/>
  <c r="U30" i="9"/>
  <c r="U27" i="9"/>
  <c r="V27" i="9"/>
  <c r="V26" i="9"/>
  <c r="V30" i="9"/>
  <c r="V29" i="9"/>
  <c r="L29" i="9"/>
  <c r="L27" i="9"/>
  <c r="L30" i="9"/>
  <c r="U29" i="9"/>
  <c r="U26" i="9"/>
  <c r="L26" i="9"/>
  <c r="O29" i="9" l="1"/>
  <c r="O26" i="9"/>
  <c r="U31" i="9"/>
  <c r="U28" i="9"/>
  <c r="V28" i="9"/>
  <c r="L28" i="9"/>
  <c r="O27" i="9"/>
  <c r="L31" i="9"/>
  <c r="O30" i="9"/>
  <c r="V31" i="9"/>
  <c r="G28" i="9"/>
  <c r="P28" i="9"/>
  <c r="N28" i="9" s="1"/>
  <c r="P31" i="9"/>
  <c r="N31" i="9" s="1"/>
  <c r="O28" i="9" l="1"/>
  <c r="T28" i="9" s="1"/>
  <c r="O31" i="9"/>
  <c r="T31" i="9" s="1"/>
  <c r="D53" i="2" l="1"/>
  <c r="I42" i="2"/>
  <c r="D42" i="2"/>
  <c r="D40" i="2" l="1"/>
  <c r="F44" i="2"/>
  <c r="R8" i="1" l="1"/>
  <c r="I8" i="1"/>
  <c r="E8" i="1"/>
  <c r="F8" i="1" s="1"/>
  <c r="P8" i="1"/>
  <c r="N8" i="1" l="1"/>
  <c r="V8" i="1"/>
  <c r="L8" i="1"/>
  <c r="U8" i="1"/>
  <c r="O8" i="1" l="1"/>
  <c r="T8" i="1" s="1"/>
  <c r="F27" i="2"/>
  <c r="S40" i="2" l="1"/>
  <c r="R22" i="9" l="1"/>
  <c r="J22" i="9"/>
  <c r="H22" i="9"/>
  <c r="H23" i="9" s="1"/>
  <c r="R21" i="9"/>
  <c r="I21" i="9"/>
  <c r="E21" i="9"/>
  <c r="F21" i="9" s="1"/>
  <c r="F22" i="9" s="1"/>
  <c r="F23" i="9" s="1"/>
  <c r="R19" i="9"/>
  <c r="J19" i="9"/>
  <c r="H19" i="9"/>
  <c r="H20" i="9" s="1"/>
  <c r="R18" i="9"/>
  <c r="I18" i="9"/>
  <c r="E18" i="9"/>
  <c r="F18" i="9" s="1"/>
  <c r="F19" i="9" s="1"/>
  <c r="F20" i="9" s="1"/>
  <c r="P18" i="9"/>
  <c r="P21" i="9"/>
  <c r="E22" i="9" l="1"/>
  <c r="E23" i="9" s="1"/>
  <c r="P22" i="9"/>
  <c r="I22" i="9"/>
  <c r="I23" i="9" s="1"/>
  <c r="I19" i="9"/>
  <c r="I20" i="9" s="1"/>
  <c r="E19" i="9"/>
  <c r="E20" i="9" s="1"/>
  <c r="P19" i="9"/>
  <c r="U22" i="9"/>
  <c r="U18" i="9"/>
  <c r="U21" i="9"/>
  <c r="L18" i="9"/>
  <c r="V21" i="9"/>
  <c r="L21" i="9"/>
  <c r="V19" i="9"/>
  <c r="L19" i="9"/>
  <c r="V18" i="9"/>
  <c r="U19" i="9"/>
  <c r="V22" i="9"/>
  <c r="L22" i="9"/>
  <c r="O21" i="9" l="1"/>
  <c r="U23" i="9"/>
  <c r="L23" i="9"/>
  <c r="O22" i="9"/>
  <c r="V23" i="9"/>
  <c r="P23" i="9"/>
  <c r="N23" i="9" s="1"/>
  <c r="G23" i="9"/>
  <c r="G20" i="9"/>
  <c r="U20" i="9"/>
  <c r="V20" i="9"/>
  <c r="O18" i="9"/>
  <c r="O19" i="9"/>
  <c r="L20" i="9"/>
  <c r="P20" i="9"/>
  <c r="N20" i="9" s="1"/>
  <c r="O23" i="9" l="1"/>
  <c r="T23" i="9" s="1"/>
  <c r="O20" i="9"/>
  <c r="T20" i="9" s="1"/>
  <c r="A10" i="10" l="1"/>
  <c r="B10" i="10"/>
  <c r="E10" i="10"/>
  <c r="F10" i="10"/>
  <c r="G10" i="10"/>
  <c r="H10" i="10"/>
  <c r="J10" i="10"/>
  <c r="M10" i="10"/>
  <c r="O10" i="10"/>
  <c r="P10" i="10"/>
  <c r="A11" i="10"/>
  <c r="B11" i="10"/>
  <c r="E11" i="10"/>
  <c r="F11" i="10"/>
  <c r="G11" i="10"/>
  <c r="H11" i="10"/>
  <c r="J11" i="10"/>
  <c r="M11" i="10"/>
  <c r="O11" i="10"/>
  <c r="P11" i="10"/>
  <c r="A12" i="10"/>
  <c r="B12" i="10"/>
  <c r="E12" i="10"/>
  <c r="F12" i="10"/>
  <c r="G12" i="10"/>
  <c r="H12" i="10"/>
  <c r="J12" i="10"/>
  <c r="M12" i="10"/>
  <c r="O12" i="10"/>
  <c r="P12" i="10"/>
  <c r="A13" i="10"/>
  <c r="B13" i="10"/>
  <c r="E13" i="10"/>
  <c r="F13" i="10"/>
  <c r="G13" i="10"/>
  <c r="H13" i="10"/>
  <c r="J13" i="10"/>
  <c r="M13" i="10"/>
  <c r="O13" i="10"/>
  <c r="P13" i="10"/>
  <c r="A14" i="10"/>
  <c r="B14" i="10"/>
  <c r="E14" i="10"/>
  <c r="F14" i="10"/>
  <c r="G14" i="10"/>
  <c r="H14" i="10"/>
  <c r="J14" i="10"/>
  <c r="M14" i="10"/>
  <c r="O14" i="10"/>
  <c r="P14" i="10"/>
  <c r="A15" i="10"/>
  <c r="B15" i="10"/>
  <c r="E15" i="10"/>
  <c r="F15" i="10"/>
  <c r="G15" i="10"/>
  <c r="H15" i="10"/>
  <c r="J15" i="10"/>
  <c r="M15" i="10"/>
  <c r="O15" i="10"/>
  <c r="P15" i="10"/>
  <c r="T12" i="8"/>
  <c r="R11" i="10" s="1"/>
  <c r="T13" i="8"/>
  <c r="R12" i="10" s="1"/>
  <c r="T14" i="8"/>
  <c r="R13" i="10" s="1"/>
  <c r="T15" i="8"/>
  <c r="R14" i="10" s="1"/>
  <c r="T16" i="8"/>
  <c r="R15" i="10" s="1"/>
  <c r="T11" i="8"/>
  <c r="R10" i="10" s="1"/>
  <c r="P16" i="8" l="1"/>
  <c r="M16" i="8"/>
  <c r="E16" i="8"/>
  <c r="C15" i="10" s="1"/>
  <c r="P15" i="8"/>
  <c r="M15" i="8"/>
  <c r="E15" i="8"/>
  <c r="C14" i="10" s="1"/>
  <c r="P14" i="8"/>
  <c r="M14" i="8"/>
  <c r="E14" i="8"/>
  <c r="C13" i="10" s="1"/>
  <c r="P13" i="8"/>
  <c r="M13" i="8"/>
  <c r="E13" i="8"/>
  <c r="C12" i="10" s="1"/>
  <c r="P12" i="8"/>
  <c r="M12" i="8"/>
  <c r="E12" i="8"/>
  <c r="C11" i="10" s="1"/>
  <c r="P11" i="8"/>
  <c r="M11" i="8"/>
  <c r="E11" i="8"/>
  <c r="C10" i="10" s="1"/>
  <c r="K14" i="9"/>
  <c r="D15" i="9"/>
  <c r="D16" i="9" s="1"/>
  <c r="R15" i="9"/>
  <c r="J15" i="9"/>
  <c r="H15" i="9"/>
  <c r="H16" i="9" s="1"/>
  <c r="R14" i="9"/>
  <c r="I14" i="9"/>
  <c r="E14" i="9"/>
  <c r="F14" i="9" s="1"/>
  <c r="F15" i="9" s="1"/>
  <c r="F16" i="9" s="1"/>
  <c r="K14" i="8"/>
  <c r="P14" i="9"/>
  <c r="K16" i="8"/>
  <c r="K11" i="8"/>
  <c r="K12" i="8"/>
  <c r="K13" i="8"/>
  <c r="K15" i="8"/>
  <c r="I12" i="10" l="1"/>
  <c r="I15" i="10"/>
  <c r="I10" i="10"/>
  <c r="I11" i="10"/>
  <c r="I14" i="10"/>
  <c r="I13" i="10"/>
  <c r="U14" i="8"/>
  <c r="S13" i="10" s="1"/>
  <c r="N13" i="10"/>
  <c r="U12" i="8"/>
  <c r="S11" i="10" s="1"/>
  <c r="N11" i="10"/>
  <c r="U15" i="8"/>
  <c r="S14" i="10" s="1"/>
  <c r="N14" i="10"/>
  <c r="U13" i="8"/>
  <c r="S12" i="10" s="1"/>
  <c r="N12" i="10"/>
  <c r="U16" i="8"/>
  <c r="S15" i="10" s="1"/>
  <c r="N15" i="10"/>
  <c r="U11" i="8"/>
  <c r="S10" i="10" s="1"/>
  <c r="N10" i="10"/>
  <c r="N12" i="8"/>
  <c r="L11" i="10" s="1"/>
  <c r="K11" i="10"/>
  <c r="N15" i="8"/>
  <c r="L14" i="10" s="1"/>
  <c r="K14" i="10"/>
  <c r="N13" i="8"/>
  <c r="L12" i="10" s="1"/>
  <c r="K12" i="10"/>
  <c r="N16" i="8"/>
  <c r="L15" i="10" s="1"/>
  <c r="K15" i="10"/>
  <c r="N11" i="8"/>
  <c r="L10" i="10" s="1"/>
  <c r="K10" i="10"/>
  <c r="N14" i="8"/>
  <c r="L13" i="10" s="1"/>
  <c r="K13" i="10"/>
  <c r="E15" i="9"/>
  <c r="E16" i="9" s="1"/>
  <c r="P15" i="9"/>
  <c r="I15" i="9"/>
  <c r="I16" i="9" s="1"/>
  <c r="X13" i="8"/>
  <c r="V14" i="9"/>
  <c r="L14" i="9"/>
  <c r="S12" i="8"/>
  <c r="X14" i="8"/>
  <c r="X12" i="8"/>
  <c r="Y12" i="8"/>
  <c r="S13" i="8"/>
  <c r="Y16" i="8"/>
  <c r="S15" i="8"/>
  <c r="Y15" i="8"/>
  <c r="S11" i="8"/>
  <c r="X15" i="8"/>
  <c r="U14" i="9"/>
  <c r="Y11" i="8"/>
  <c r="Y13" i="8"/>
  <c r="Y14" i="8"/>
  <c r="S14" i="8"/>
  <c r="S16" i="8"/>
  <c r="X11" i="8"/>
  <c r="X16" i="8"/>
  <c r="Q13" i="10" l="1"/>
  <c r="Q10" i="10"/>
  <c r="Q14" i="10"/>
  <c r="Q12" i="10"/>
  <c r="Q11" i="10"/>
  <c r="Q15" i="10"/>
  <c r="V11" i="8"/>
  <c r="W11" i="8" s="1"/>
  <c r="V14" i="8"/>
  <c r="W14" i="8" s="1"/>
  <c r="V16" i="8"/>
  <c r="T15" i="10" s="1"/>
  <c r="V12" i="8"/>
  <c r="T11" i="10" s="1"/>
  <c r="V13" i="8"/>
  <c r="V15" i="8"/>
  <c r="O14" i="9"/>
  <c r="P16" i="9"/>
  <c r="N16" i="9" s="1"/>
  <c r="G16" i="9"/>
  <c r="N40" i="2"/>
  <c r="L15" i="9"/>
  <c r="U15" i="9"/>
  <c r="V15" i="9"/>
  <c r="T10" i="10" l="1"/>
  <c r="W16" i="8"/>
  <c r="T13" i="10"/>
  <c r="W12" i="8"/>
  <c r="W13" i="8"/>
  <c r="T12" i="10"/>
  <c r="W15" i="8"/>
  <c r="T14" i="10"/>
  <c r="O15" i="9"/>
  <c r="L16" i="9"/>
  <c r="O16" i="9" s="1"/>
  <c r="T16" i="9" s="1"/>
  <c r="U16" i="9"/>
  <c r="V16" i="9"/>
  <c r="D13" i="9"/>
  <c r="R12" i="9"/>
  <c r="J12" i="9"/>
  <c r="H12" i="9"/>
  <c r="H13" i="9" s="1"/>
  <c r="R11" i="9"/>
  <c r="I11" i="9"/>
  <c r="E11" i="9"/>
  <c r="E12" i="9" s="1"/>
  <c r="E13" i="9" s="1"/>
  <c r="P11" i="9"/>
  <c r="G11" i="9" l="1"/>
  <c r="P12" i="9"/>
  <c r="I12" i="9"/>
  <c r="I13" i="9" s="1"/>
  <c r="F11" i="9"/>
  <c r="F12" i="9" s="1"/>
  <c r="F13" i="9" s="1"/>
  <c r="P13" i="9" l="1"/>
  <c r="N13" i="9" s="1"/>
  <c r="I40" i="2" l="1"/>
  <c r="N10" i="1" l="1"/>
  <c r="I9" i="1" l="1"/>
  <c r="R9" i="1"/>
  <c r="E9" i="1"/>
  <c r="F9" i="1" s="1"/>
  <c r="N9" i="1" l="1"/>
  <c r="L9" i="1"/>
  <c r="U9" i="1"/>
  <c r="V9" i="1"/>
  <c r="O9" i="1" l="1"/>
  <c r="T9" i="1" s="1"/>
  <c r="I26" i="2" l="1"/>
  <c r="I23" i="2"/>
  <c r="X23" i="2" l="1"/>
  <c r="S23" i="2"/>
  <c r="X26" i="2"/>
  <c r="S26" i="2"/>
  <c r="N26" i="2" l="1"/>
  <c r="N23" i="2"/>
  <c r="D26" i="2" l="1"/>
  <c r="D10" i="9" l="1"/>
  <c r="J9" i="9" l="1"/>
  <c r="N8" i="2" l="1"/>
  <c r="G10" i="9" l="1"/>
  <c r="P10" i="9"/>
  <c r="H9" i="9"/>
  <c r="I9" i="9" s="1"/>
  <c r="I10" i="9" s="1"/>
  <c r="R9" i="9"/>
  <c r="I8" i="9"/>
  <c r="E8" i="9"/>
  <c r="F8" i="9" s="1"/>
  <c r="F9" i="9" s="1"/>
  <c r="F10" i="9" s="1"/>
  <c r="R8" i="9"/>
  <c r="U9" i="9"/>
  <c r="V8" i="9"/>
  <c r="N10" i="9" l="1"/>
  <c r="H10" i="9"/>
  <c r="E9" i="9"/>
  <c r="E10" i="9" s="1"/>
  <c r="V9" i="9"/>
  <c r="L9" i="9"/>
  <c r="U8" i="9"/>
  <c r="L8" i="9"/>
  <c r="O9" i="9" l="1"/>
  <c r="O8" i="9"/>
  <c r="U10" i="9"/>
  <c r="L10" i="9"/>
  <c r="V10" i="9"/>
  <c r="O10" i="9" l="1"/>
  <c r="T10" i="9" s="1"/>
  <c r="D8" i="2"/>
  <c r="M10" i="7" l="1"/>
  <c r="J10" i="7"/>
  <c r="K10" i="7" s="1"/>
  <c r="E10" i="7"/>
  <c r="M9" i="7"/>
  <c r="J9" i="7"/>
  <c r="K9" i="7" s="1"/>
  <c r="E9" i="7"/>
  <c r="M8" i="7"/>
  <c r="J8" i="7"/>
  <c r="K8" i="7" s="1"/>
  <c r="E8" i="7"/>
  <c r="P9" i="8"/>
  <c r="U9" i="8" s="1"/>
  <c r="M9" i="8"/>
  <c r="N9" i="8" s="1"/>
  <c r="E9" i="8"/>
  <c r="P8" i="8"/>
  <c r="M8" i="8"/>
  <c r="N8" i="8" s="1"/>
  <c r="E8" i="8"/>
  <c r="O9" i="7"/>
  <c r="T9" i="7"/>
  <c r="O10" i="7"/>
  <c r="H8" i="7"/>
  <c r="U10" i="7"/>
  <c r="H8" i="8"/>
  <c r="T10" i="7"/>
  <c r="U9" i="7"/>
  <c r="K9" i="8"/>
  <c r="U8" i="8" l="1"/>
  <c r="Q9" i="7"/>
  <c r="R9" i="7" s="1"/>
  <c r="S9" i="7" s="1"/>
  <c r="Q10" i="7"/>
  <c r="R10" i="7" s="1"/>
  <c r="S10" i="7" s="1"/>
  <c r="Q8" i="7"/>
  <c r="Y9" i="8"/>
  <c r="O8" i="7"/>
  <c r="T8" i="7"/>
  <c r="U8" i="7"/>
  <c r="S9" i="8"/>
  <c r="K8" i="8"/>
  <c r="X9" i="8"/>
  <c r="V9" i="8" l="1"/>
  <c r="W9" i="8" s="1"/>
  <c r="R8" i="7"/>
  <c r="S8" i="7" s="1"/>
  <c r="Y8" i="8"/>
  <c r="S8" i="8"/>
  <c r="X8" i="8"/>
  <c r="V8" i="8" l="1"/>
  <c r="W8" i="8" s="1"/>
  <c r="G12" i="9" l="1"/>
  <c r="G13" i="9" s="1"/>
  <c r="V12" i="9"/>
  <c r="L11" i="9"/>
  <c r="U11" i="9"/>
  <c r="L12" i="9"/>
  <c r="V11" i="9"/>
  <c r="U12" i="9"/>
  <c r="O11" i="9" l="1"/>
  <c r="V13" i="9"/>
  <c r="U13" i="9"/>
  <c r="L13" i="9"/>
  <c r="O13" i="9" s="1"/>
  <c r="T13" i="9" s="1"/>
  <c r="O12" i="9"/>
</calcChain>
</file>

<file path=xl/sharedStrings.xml><?xml version="1.0" encoding="utf-8"?>
<sst xmlns="http://schemas.openxmlformats.org/spreadsheetml/2006/main" count="1170" uniqueCount="256">
  <si>
    <t>日期</t>
    <phoneticPr fontId="2" type="noConversion"/>
  </si>
  <si>
    <t>利率</t>
    <phoneticPr fontId="2" type="noConversion"/>
  </si>
  <si>
    <t>交易对手</t>
    <phoneticPr fontId="2" type="noConversion"/>
  </si>
  <si>
    <t>Notes</t>
  </si>
  <si>
    <t>中信寰球</t>
    <phoneticPr fontId="2" type="noConversion"/>
  </si>
  <si>
    <t>中友信德</t>
    <phoneticPr fontId="2" type="noConversion"/>
  </si>
  <si>
    <t>杭州昊广</t>
    <phoneticPr fontId="2" type="noConversion"/>
  </si>
  <si>
    <t>执行价</t>
    <phoneticPr fontId="2" type="noConversion"/>
  </si>
  <si>
    <t>入场价</t>
    <phoneticPr fontId="2" type="noConversion"/>
  </si>
  <si>
    <t>交易日</t>
    <phoneticPr fontId="2" type="noConversion"/>
  </si>
  <si>
    <t>到期日</t>
    <phoneticPr fontId="2" type="noConversion"/>
  </si>
  <si>
    <t>天数</t>
    <phoneticPr fontId="2" type="noConversion"/>
  </si>
  <si>
    <t>天数(y)</t>
    <phoneticPr fontId="2" type="noConversion"/>
  </si>
  <si>
    <t>波动率</t>
    <phoneticPr fontId="2" type="noConversion"/>
  </si>
  <si>
    <t>成本价</t>
    <phoneticPr fontId="2" type="noConversion"/>
  </si>
  <si>
    <t>报价</t>
    <phoneticPr fontId="2" type="noConversion"/>
  </si>
  <si>
    <t xml:space="preserve">delta </t>
    <phoneticPr fontId="2" type="noConversion"/>
  </si>
  <si>
    <t>vega</t>
    <phoneticPr fontId="2" type="noConversion"/>
  </si>
  <si>
    <t>delta差分</t>
    <phoneticPr fontId="2" type="noConversion"/>
  </si>
  <si>
    <t>中金买入</t>
    <phoneticPr fontId="2" type="noConversion"/>
  </si>
  <si>
    <t>中金卖出</t>
  </si>
  <si>
    <t>中金卖出</t>
    <phoneticPr fontId="2" type="noConversion"/>
  </si>
  <si>
    <t>RB1805</t>
    <phoneticPr fontId="2" type="noConversion"/>
  </si>
  <si>
    <t>C/P</t>
    <phoneticPr fontId="2" type="noConversion"/>
  </si>
  <si>
    <t>c</t>
    <phoneticPr fontId="2" type="noConversion"/>
  </si>
  <si>
    <t>p</t>
    <phoneticPr fontId="2" type="noConversion"/>
  </si>
  <si>
    <t>加点(bp)</t>
    <phoneticPr fontId="2" type="noConversion"/>
  </si>
  <si>
    <t>c</t>
    <phoneticPr fontId="2" type="noConversion"/>
  </si>
  <si>
    <t>加点(绝对值)</t>
    <phoneticPr fontId="2" type="noConversion"/>
  </si>
  <si>
    <t>备注</t>
    <phoneticPr fontId="2" type="noConversion"/>
  </si>
  <si>
    <t>交易方向</t>
    <phoneticPr fontId="2" type="noConversion"/>
  </si>
  <si>
    <t>中金卖出</t>
    <phoneticPr fontId="2" type="noConversion"/>
  </si>
  <si>
    <t>期权标的</t>
    <phoneticPr fontId="2" type="noConversion"/>
  </si>
  <si>
    <t>报价(%)</t>
    <phoneticPr fontId="2" type="noConversion"/>
  </si>
  <si>
    <t>Recap</t>
    <phoneticPr fontId="2" type="noConversion"/>
  </si>
  <si>
    <t>深万智富</t>
    <phoneticPr fontId="2" type="noConversion"/>
  </si>
  <si>
    <t>中金公司</t>
    <phoneticPr fontId="2" type="noConversion"/>
  </si>
  <si>
    <t>期权定价_VAN</t>
    <phoneticPr fontId="2" type="noConversion"/>
  </si>
  <si>
    <t>期权定价_SF</t>
    <phoneticPr fontId="2" type="noConversion"/>
  </si>
  <si>
    <t>c</t>
  </si>
  <si>
    <t>RB1805</t>
    <phoneticPr fontId="2" type="noConversion"/>
  </si>
  <si>
    <t>中信寰球</t>
  </si>
  <si>
    <t>WM</t>
    <phoneticPr fontId="2" type="noConversion"/>
  </si>
  <si>
    <t>中投期货</t>
    <phoneticPr fontId="2" type="noConversion"/>
  </si>
  <si>
    <t>敲出价</t>
    <phoneticPr fontId="2" type="noConversion"/>
  </si>
  <si>
    <t xml:space="preserve">敲出价(adj) </t>
    <phoneticPr fontId="2" type="noConversion"/>
  </si>
  <si>
    <t>敲出收益</t>
    <phoneticPr fontId="2" type="noConversion"/>
  </si>
  <si>
    <t>Carry</t>
    <phoneticPr fontId="2" type="noConversion"/>
  </si>
  <si>
    <t>cuo</t>
  </si>
  <si>
    <t>1M Vol</t>
  </si>
  <si>
    <t xml:space="preserve">3M Vol </t>
  </si>
  <si>
    <t>Code</t>
  </si>
  <si>
    <t>名称2</t>
  </si>
  <si>
    <t>bid1m</t>
  </si>
  <si>
    <t>ask1m</t>
  </si>
  <si>
    <t>bid3m</t>
  </si>
  <si>
    <t>ask3m</t>
  </si>
  <si>
    <t>zn</t>
  </si>
  <si>
    <t>锌</t>
  </si>
  <si>
    <t>al</t>
  </si>
  <si>
    <t>铝</t>
  </si>
  <si>
    <t>sn</t>
  </si>
  <si>
    <t>锡</t>
  </si>
  <si>
    <t>ni</t>
  </si>
  <si>
    <t>镍</t>
  </si>
  <si>
    <t>cu</t>
  </si>
  <si>
    <t>铜</t>
  </si>
  <si>
    <t>jm</t>
  </si>
  <si>
    <t>焦煤</t>
  </si>
  <si>
    <t>j</t>
  </si>
  <si>
    <t>焦炭</t>
  </si>
  <si>
    <t>hc</t>
  </si>
  <si>
    <t>热轧</t>
  </si>
  <si>
    <t>i</t>
  </si>
  <si>
    <t>铁矿石</t>
  </si>
  <si>
    <t>rb</t>
  </si>
  <si>
    <t>螺纹钢</t>
  </si>
  <si>
    <t>au</t>
  </si>
  <si>
    <t>黄金</t>
  </si>
  <si>
    <t>ag</t>
  </si>
  <si>
    <t>白银</t>
  </si>
  <si>
    <t>cs</t>
  </si>
  <si>
    <t>玉米淀粉</t>
  </si>
  <si>
    <t>jd</t>
  </si>
  <si>
    <t>鸡蛋</t>
  </si>
  <si>
    <t>p</t>
  </si>
  <si>
    <t>棕榈油</t>
  </si>
  <si>
    <t>ro</t>
  </si>
  <si>
    <t>菜油</t>
  </si>
  <si>
    <t>rm</t>
  </si>
  <si>
    <t>菜粕</t>
  </si>
  <si>
    <t>cf</t>
  </si>
  <si>
    <t>郑棉</t>
  </si>
  <si>
    <t>a</t>
  </si>
  <si>
    <t>豆一</t>
  </si>
  <si>
    <t>y</t>
  </si>
  <si>
    <t>豆油</t>
  </si>
  <si>
    <t>m</t>
  </si>
  <si>
    <t>豆粕</t>
  </si>
  <si>
    <t>玉米</t>
  </si>
  <si>
    <t>sr</t>
  </si>
  <si>
    <t>白糖</t>
  </si>
  <si>
    <t>zc</t>
  </si>
  <si>
    <t>动力煤</t>
  </si>
  <si>
    <t>bu</t>
  </si>
  <si>
    <t>沥青</t>
  </si>
  <si>
    <t>ma</t>
  </si>
  <si>
    <t>甲醇</t>
  </si>
  <si>
    <t>pp</t>
  </si>
  <si>
    <t>聚丙烯</t>
  </si>
  <si>
    <t>l</t>
  </si>
  <si>
    <t>塑料</t>
  </si>
  <si>
    <t>fg</t>
  </si>
  <si>
    <t>玻璃</t>
  </si>
  <si>
    <t>ru</t>
  </si>
  <si>
    <t>橡胶</t>
  </si>
  <si>
    <t>ta</t>
  </si>
  <si>
    <t>PTA</t>
  </si>
  <si>
    <t>成交回报表</t>
    <phoneticPr fontId="2" type="noConversion"/>
  </si>
  <si>
    <t>中文版 Temp</t>
    <phoneticPr fontId="2" type="noConversion"/>
  </si>
  <si>
    <t>English Version Temp</t>
    <phoneticPr fontId="2" type="noConversion"/>
  </si>
  <si>
    <t>成交回报</t>
    <phoneticPr fontId="2" type="noConversion"/>
  </si>
  <si>
    <t>交易日：</t>
    <phoneticPr fontId="2" type="noConversion"/>
  </si>
  <si>
    <t>Trade Date:</t>
    <phoneticPr fontId="2" type="noConversion"/>
  </si>
  <si>
    <t>买方：</t>
    <phoneticPr fontId="2" type="noConversion"/>
  </si>
  <si>
    <t>XXXX</t>
    <phoneticPr fontId="2" type="noConversion"/>
  </si>
  <si>
    <t>Seller:</t>
    <phoneticPr fontId="2" type="noConversion"/>
  </si>
  <si>
    <t>卖方:</t>
    <phoneticPr fontId="2" type="noConversion"/>
  </si>
  <si>
    <t>Buyer:</t>
    <phoneticPr fontId="2" type="noConversion"/>
  </si>
  <si>
    <t>权利金总额（元）：</t>
    <phoneticPr fontId="2" type="noConversion"/>
  </si>
  <si>
    <t>Option Type:</t>
    <phoneticPr fontId="2" type="noConversion"/>
  </si>
  <si>
    <t>结构:</t>
    <phoneticPr fontId="2" type="noConversion"/>
  </si>
  <si>
    <t>看跌期权</t>
    <phoneticPr fontId="2" type="noConversion"/>
  </si>
  <si>
    <t>Commodity:</t>
    <phoneticPr fontId="2" type="noConversion"/>
  </si>
  <si>
    <t>到期日:</t>
    <phoneticPr fontId="2" type="noConversion"/>
  </si>
  <si>
    <t>Contract Month:</t>
    <phoneticPr fontId="2" type="noConversion"/>
  </si>
  <si>
    <t>期初价格:</t>
    <phoneticPr fontId="2" type="noConversion"/>
  </si>
  <si>
    <t>Quantity(t):</t>
    <phoneticPr fontId="2" type="noConversion"/>
  </si>
  <si>
    <t>行权价:</t>
    <phoneticPr fontId="2" type="noConversion"/>
  </si>
  <si>
    <t>Strike:</t>
    <phoneticPr fontId="2" type="noConversion"/>
  </si>
  <si>
    <t>权利金（每吨）：</t>
    <phoneticPr fontId="2" type="noConversion"/>
  </si>
  <si>
    <t>Price:</t>
    <phoneticPr fontId="2" type="noConversion"/>
  </si>
  <si>
    <t>标的:</t>
    <phoneticPr fontId="2" type="noConversion"/>
  </si>
  <si>
    <t>rb1801</t>
    <phoneticPr fontId="2" type="noConversion"/>
  </si>
  <si>
    <t>Premium:</t>
    <phoneticPr fontId="2" type="noConversion"/>
  </si>
  <si>
    <t>交易量（吨）：</t>
    <phoneticPr fontId="2" type="noConversion"/>
  </si>
  <si>
    <t>Expiration Date:</t>
    <phoneticPr fontId="2" type="noConversion"/>
  </si>
  <si>
    <t>结算货币:</t>
    <phoneticPr fontId="2" type="noConversion"/>
  </si>
  <si>
    <t>人民币</t>
    <phoneticPr fontId="2" type="noConversion"/>
  </si>
  <si>
    <t>Currency:</t>
    <phoneticPr fontId="2" type="noConversion"/>
  </si>
  <si>
    <t>Real Trades</t>
    <phoneticPr fontId="2" type="noConversion"/>
  </si>
  <si>
    <t>中金买入</t>
  </si>
  <si>
    <t>1st virsion</t>
    <phoneticPr fontId="2" type="noConversion"/>
  </si>
  <si>
    <t>cuo</t>
    <phoneticPr fontId="2" type="noConversion"/>
  </si>
  <si>
    <t>pdo</t>
    <phoneticPr fontId="2" type="noConversion"/>
  </si>
  <si>
    <t>v1:</t>
    <phoneticPr fontId="2" type="noConversion"/>
  </si>
  <si>
    <t>v2:</t>
    <phoneticPr fontId="2" type="noConversion"/>
  </si>
  <si>
    <t>1 add combo model; 2 modify markup algos</t>
    <phoneticPr fontId="2" type="noConversion"/>
  </si>
  <si>
    <t>期权报价表</t>
    <phoneticPr fontId="2" type="noConversion"/>
  </si>
  <si>
    <t>RB1805</t>
  </si>
  <si>
    <t>Example</t>
  </si>
  <si>
    <t>Example</t>
    <phoneticPr fontId="2" type="noConversion"/>
  </si>
  <si>
    <t>Example</t>
    <phoneticPr fontId="2" type="noConversion"/>
  </si>
  <si>
    <t>行权价1:</t>
    <phoneticPr fontId="2" type="noConversion"/>
  </si>
  <si>
    <t>行权价2:</t>
    <phoneticPr fontId="2" type="noConversion"/>
  </si>
  <si>
    <t>中文版 Temp 2</t>
    <phoneticPr fontId="2" type="noConversion"/>
  </si>
  <si>
    <t>English Version Temp 2</t>
    <phoneticPr fontId="2" type="noConversion"/>
  </si>
  <si>
    <t>Strike 1:</t>
    <phoneticPr fontId="2" type="noConversion"/>
  </si>
  <si>
    <t>Strike 2:</t>
    <phoneticPr fontId="2" type="noConversion"/>
  </si>
  <si>
    <t>厦门利青弘</t>
  </si>
  <si>
    <t>备注</t>
    <phoneticPr fontId="2" type="noConversion"/>
  </si>
  <si>
    <t>Temp1</t>
  </si>
  <si>
    <t>Temp2(per)</t>
  </si>
  <si>
    <t>Leg1</t>
  </si>
  <si>
    <t>Leg2</t>
  </si>
  <si>
    <t>Combo</t>
  </si>
  <si>
    <t>ZKHM</t>
    <phoneticPr fontId="2" type="noConversion"/>
  </si>
  <si>
    <t>ZHGJ</t>
    <phoneticPr fontId="2" type="noConversion"/>
  </si>
  <si>
    <t>TZ</t>
    <phoneticPr fontId="2" type="noConversion"/>
  </si>
  <si>
    <t>权利金总额（元）：</t>
    <phoneticPr fontId="2" type="noConversion"/>
  </si>
  <si>
    <t>起始日期</t>
    <phoneticPr fontId="2" type="noConversion"/>
  </si>
  <si>
    <t>标的</t>
    <phoneticPr fontId="2" type="noConversion"/>
  </si>
  <si>
    <t>期权价格</t>
    <phoneticPr fontId="2" type="noConversion"/>
  </si>
  <si>
    <t>起始日</t>
    <phoneticPr fontId="2" type="noConversion"/>
  </si>
  <si>
    <t>行权价</t>
    <phoneticPr fontId="2" type="noConversion"/>
  </si>
  <si>
    <t>中金公司</t>
    <phoneticPr fontId="2" type="noConversion"/>
  </si>
  <si>
    <t>华泰长城</t>
    <phoneticPr fontId="2" type="noConversion"/>
  </si>
  <si>
    <t>成交回报1</t>
    <phoneticPr fontId="2" type="noConversion"/>
  </si>
  <si>
    <t>成交回报2</t>
    <phoneticPr fontId="2" type="noConversion"/>
  </si>
  <si>
    <t>看跌期权</t>
    <phoneticPr fontId="2" type="noConversion"/>
  </si>
  <si>
    <t>看涨期权</t>
    <phoneticPr fontId="2" type="noConversion"/>
  </si>
  <si>
    <t>i1805</t>
    <phoneticPr fontId="2" type="noConversion"/>
  </si>
  <si>
    <t>LME20180122-CICC-MRJH-NI-SWP-4</t>
    <phoneticPr fontId="19" type="noConversion"/>
  </si>
  <si>
    <t>rb1810</t>
    <phoneticPr fontId="2" type="noConversion"/>
  </si>
  <si>
    <t>天物国际</t>
    <phoneticPr fontId="2" type="noConversion"/>
  </si>
  <si>
    <t>rb1805</t>
    <phoneticPr fontId="2" type="noConversion"/>
  </si>
  <si>
    <t>看涨期权</t>
    <phoneticPr fontId="2" type="noConversion"/>
  </si>
  <si>
    <t>权利金（每吨）：</t>
    <phoneticPr fontId="2" type="noConversion"/>
  </si>
  <si>
    <t>标的:</t>
    <phoneticPr fontId="2" type="noConversion"/>
  </si>
  <si>
    <t>交易量（吨）：</t>
    <phoneticPr fontId="2" type="noConversion"/>
  </si>
  <si>
    <t>last_trd_date</t>
    <phoneticPr fontId="8" type="noConversion"/>
  </si>
  <si>
    <t>i1809</t>
    <phoneticPr fontId="2" type="noConversion"/>
  </si>
  <si>
    <t>al1808</t>
    <phoneticPr fontId="2" type="noConversion"/>
  </si>
  <si>
    <t>中金公司</t>
  </si>
  <si>
    <t>RMB</t>
    <phoneticPr fontId="2" type="noConversion"/>
  </si>
  <si>
    <t>成交回报(平仓交易)</t>
    <phoneticPr fontId="2" type="noConversion"/>
  </si>
  <si>
    <t>RMB</t>
  </si>
  <si>
    <t xml:space="preserve">    看跌期权 </t>
    <phoneticPr fontId="2" type="noConversion"/>
  </si>
  <si>
    <t>ni1809</t>
    <phoneticPr fontId="2" type="noConversion"/>
  </si>
  <si>
    <t>al1807</t>
    <phoneticPr fontId="2" type="noConversion"/>
  </si>
  <si>
    <t>rb1810</t>
    <phoneticPr fontId="2" type="noConversion"/>
  </si>
  <si>
    <t>i1809</t>
    <phoneticPr fontId="2" type="noConversion"/>
  </si>
  <si>
    <t>ru1809</t>
    <phoneticPr fontId="2" type="noConversion"/>
  </si>
  <si>
    <t>sc1809</t>
    <phoneticPr fontId="2" type="noConversion"/>
  </si>
  <si>
    <t>i</t>
    <phoneticPr fontId="2" type="noConversion"/>
  </si>
  <si>
    <t>ru</t>
    <phoneticPr fontId="2" type="noConversion"/>
  </si>
  <si>
    <t>sc</t>
    <phoneticPr fontId="2" type="noConversion"/>
  </si>
  <si>
    <t>中信寰球</t>
    <phoneticPr fontId="2" type="noConversion"/>
  </si>
  <si>
    <t>看跌期权</t>
    <phoneticPr fontId="2" type="noConversion"/>
  </si>
  <si>
    <t>al1807</t>
    <phoneticPr fontId="2" type="noConversion"/>
  </si>
  <si>
    <t xml:space="preserve">成交回报(平仓) </t>
    <phoneticPr fontId="2" type="noConversion"/>
  </si>
  <si>
    <t>江铜国贸</t>
    <phoneticPr fontId="2" type="noConversion"/>
  </si>
  <si>
    <t>中金公司</t>
    <phoneticPr fontId="2" type="noConversion"/>
  </si>
  <si>
    <t>看涨期权</t>
    <phoneticPr fontId="2" type="noConversion"/>
  </si>
  <si>
    <t>RMB</t>
    <phoneticPr fontId="2" type="noConversion"/>
  </si>
  <si>
    <t>j1809</t>
  </si>
  <si>
    <t>成交回报 l</t>
    <phoneticPr fontId="2" type="noConversion"/>
  </si>
  <si>
    <t>成交回报 2</t>
    <phoneticPr fontId="2" type="noConversion"/>
  </si>
  <si>
    <t>m1809</t>
    <phoneticPr fontId="2" type="noConversion"/>
  </si>
  <si>
    <t>al1808</t>
  </si>
  <si>
    <t>cu1808</t>
  </si>
  <si>
    <t>al1809</t>
    <phoneticPr fontId="2" type="noConversion"/>
  </si>
  <si>
    <t>中天科技</t>
    <phoneticPr fontId="2" type="noConversion"/>
  </si>
  <si>
    <t>al1808</t>
    <phoneticPr fontId="2" type="noConversion"/>
  </si>
  <si>
    <t>成交回报3</t>
    <phoneticPr fontId="2" type="noConversion"/>
  </si>
  <si>
    <t>al1809</t>
  </si>
  <si>
    <t>al1809</t>
    <phoneticPr fontId="2" type="noConversion"/>
  </si>
  <si>
    <t>华泰长城</t>
    <phoneticPr fontId="2" type="noConversion"/>
  </si>
  <si>
    <t>看涨期权</t>
    <phoneticPr fontId="2" type="noConversion"/>
  </si>
  <si>
    <t>成交回报-跨式leg1</t>
    <phoneticPr fontId="2" type="noConversion"/>
  </si>
  <si>
    <t>成交回报-跨式leg2</t>
    <phoneticPr fontId="2" type="noConversion"/>
  </si>
  <si>
    <t>al1810</t>
  </si>
  <si>
    <t>i1809</t>
  </si>
  <si>
    <t>i1809</t>
    <phoneticPr fontId="2" type="noConversion"/>
  </si>
  <si>
    <t>ap810</t>
  </si>
  <si>
    <t>ap810</t>
    <phoneticPr fontId="2" type="noConversion"/>
  </si>
  <si>
    <t>cu1808</t>
    <phoneticPr fontId="2" type="noConversion"/>
  </si>
  <si>
    <t>i1905</t>
    <phoneticPr fontId="2" type="noConversion"/>
  </si>
  <si>
    <t>c</t>
    <phoneticPr fontId="2" type="noConversion"/>
  </si>
  <si>
    <t>cf901</t>
  </si>
  <si>
    <t>ta809</t>
  </si>
  <si>
    <t>sc1809</t>
  </si>
  <si>
    <t>pp1809</t>
  </si>
  <si>
    <t>rb1810</t>
  </si>
  <si>
    <t>hc1810</t>
  </si>
  <si>
    <t>cf901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</si>
</sst>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###,###,##0.0000"/>
    <numFmt numFmtId="177" formatCode="0.0000"/>
    <numFmt numFmtId="178" formatCode="###,###,##0"/>
    <numFmt numFmtId="179" formatCode="###,###,##0.0"/>
    <numFmt numFmtId="180" formatCode="#,##0.0_ "/>
    <numFmt numFmtId="181" formatCode="#,##0_ "/>
  </numFmts>
  <fonts count="36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2"/>
      <scheme val="minor"/>
    </font>
    <font>
      <sz val="9"/>
      <color theme="1"/>
      <name val="宋体"/>
      <family val="3"/>
      <charset val="134"/>
      <scheme val="minor"/>
    </font>
    <font>
      <sz val="9"/>
      <color theme="1"/>
      <name val="宋体"/>
      <family val="2"/>
      <scheme val="minor"/>
    </font>
    <font>
      <b/>
      <sz val="11"/>
      <color theme="3" tint="0.3999755851924192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b/>
      <sz val="11"/>
      <color theme="4" tint="-0.499984740745262"/>
      <name val="宋体"/>
      <family val="3"/>
      <charset val="134"/>
      <scheme val="minor"/>
    </font>
    <font>
      <b/>
      <sz val="11"/>
      <color theme="4" tint="-0.499984740745262"/>
      <name val="宋体"/>
      <family val="2"/>
      <scheme val="minor"/>
    </font>
    <font>
      <sz val="9"/>
      <color rgb="FFC00000"/>
      <name val="宋体"/>
      <family val="3"/>
      <charset val="134"/>
      <scheme val="minor"/>
    </font>
    <font>
      <sz val="9"/>
      <color rgb="FFC00000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rgb="FFC0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rgb="FFFFFFFF"/>
      <name val="Calibri"/>
      <family val="2"/>
    </font>
    <font>
      <b/>
      <sz val="11"/>
      <color rgb="FFFFFFFF"/>
      <name val="宋体"/>
      <family val="3"/>
      <charset val="134"/>
    </font>
    <font>
      <sz val="11"/>
      <color rgb="FF000000"/>
      <name val="Calibri"/>
      <family val="2"/>
    </font>
    <font>
      <sz val="11"/>
      <color rgb="FF000000"/>
      <name val="宋体"/>
      <family val="3"/>
      <charset val="134"/>
    </font>
    <font>
      <sz val="10.5"/>
      <color rgb="FF000000"/>
      <name val="Calibri"/>
      <family val="2"/>
    </font>
    <font>
      <sz val="10.5"/>
      <color rgb="FF000000"/>
      <name val="宋体"/>
      <family val="3"/>
      <charset val="134"/>
    </font>
    <font>
      <b/>
      <sz val="8"/>
      <color theme="4" tint="-0.499984740745262"/>
      <name val="宋体"/>
      <family val="3"/>
      <charset val="134"/>
      <scheme val="minor"/>
    </font>
    <font>
      <sz val="8"/>
      <color theme="1"/>
      <name val="宋体"/>
      <family val="2"/>
      <scheme val="minor"/>
    </font>
    <font>
      <b/>
      <sz val="8"/>
      <color theme="5" tint="-0.249977111117893"/>
      <name val="宋体"/>
      <family val="3"/>
      <charset val="134"/>
      <scheme val="minor"/>
    </font>
    <font>
      <b/>
      <sz val="8"/>
      <color theme="4" tint="-0.249977111117893"/>
      <name val="宋体"/>
      <family val="3"/>
      <charset val="134"/>
      <scheme val="minor"/>
    </font>
    <font>
      <b/>
      <sz val="8"/>
      <name val="宋体"/>
      <family val="3"/>
      <charset val="134"/>
      <scheme val="minor"/>
    </font>
    <font>
      <sz val="8"/>
      <name val="宋体"/>
      <family val="3"/>
      <charset val="134"/>
      <scheme val="minor"/>
    </font>
    <font>
      <sz val="8"/>
      <name val="宋体"/>
      <family val="3"/>
      <charset val="134"/>
    </font>
    <font>
      <sz val="8"/>
      <color theme="1"/>
      <name val="宋体"/>
      <family val="3"/>
      <charset val="134"/>
    </font>
    <font>
      <b/>
      <sz val="8"/>
      <color theme="1"/>
      <name val="宋体"/>
      <family val="3"/>
      <charset val="134"/>
      <scheme val="minor"/>
    </font>
    <font>
      <b/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3"/>
      <charset val="134"/>
    </font>
    <font>
      <sz val="9"/>
      <color theme="6" tint="-0.499984740745262"/>
      <name val="宋体"/>
      <family val="2"/>
      <scheme val="minor"/>
    </font>
    <font>
      <sz val="11"/>
      <color theme="1"/>
      <name val="宋体"/>
      <family val="2"/>
      <charset val="136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CE6F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medium">
        <color rgb="FF95B3D7"/>
      </top>
      <bottom style="medium">
        <color rgb="FF95B3D7"/>
      </bottom>
      <diagonal/>
    </border>
    <border>
      <left/>
      <right style="medium">
        <color rgb="FF95B3D7"/>
      </right>
      <top style="medium">
        <color rgb="FF95B3D7"/>
      </top>
      <bottom style="medium">
        <color rgb="FF95B3D7"/>
      </bottom>
      <diagonal/>
    </border>
    <border>
      <left/>
      <right/>
      <top/>
      <bottom style="medium">
        <color rgb="FF95B3D7"/>
      </bottom>
      <diagonal/>
    </border>
    <border>
      <left/>
      <right style="medium">
        <color rgb="FF95B3D7"/>
      </right>
      <top/>
      <bottom style="medium">
        <color rgb="FF95B3D7"/>
      </bottom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 style="medium">
        <color rgb="FFFF0000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/>
    <xf numFmtId="9" fontId="3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35" fillId="0" borderId="0"/>
    <xf numFmtId="9" fontId="35" fillId="0" borderId="0" applyFont="0" applyFill="0" applyBorder="0" applyAlignment="0" applyProtection="0"/>
  </cellStyleXfs>
  <cellXfs count="164">
    <xf numFmtId="0" fontId="0" fillId="0" borderId="0" xfId="0"/>
    <xf numFmtId="0" fontId="4" fillId="0" borderId="0" xfId="0" applyFont="1"/>
    <xf numFmtId="0" fontId="4" fillId="2" borderId="0" xfId="0" applyFont="1" applyFill="1"/>
    <xf numFmtId="0" fontId="6" fillId="0" borderId="0" xfId="0" applyFont="1" applyBorder="1"/>
    <xf numFmtId="14" fontId="5" fillId="0" borderId="0" xfId="0" applyNumberFormat="1" applyFont="1" applyBorder="1"/>
    <xf numFmtId="0" fontId="6" fillId="0" borderId="1" xfId="0" applyFont="1" applyBorder="1"/>
    <xf numFmtId="0" fontId="6" fillId="6" borderId="0" xfId="0" applyFont="1" applyFill="1"/>
    <xf numFmtId="0" fontId="6" fillId="6" borderId="1" xfId="0" applyFont="1" applyFill="1" applyBorder="1"/>
    <xf numFmtId="14" fontId="6" fillId="5" borderId="2" xfId="0" applyNumberFormat="1" applyFont="1" applyFill="1" applyBorder="1"/>
    <xf numFmtId="0" fontId="6" fillId="4" borderId="2" xfId="0" applyFont="1" applyFill="1" applyBorder="1"/>
    <xf numFmtId="0" fontId="6" fillId="9" borderId="2" xfId="0" applyFont="1" applyFill="1" applyBorder="1"/>
    <xf numFmtId="178" fontId="6" fillId="9" borderId="2" xfId="0" applyNumberFormat="1" applyFont="1" applyFill="1" applyBorder="1"/>
    <xf numFmtId="177" fontId="6" fillId="9" borderId="2" xfId="0" applyNumberFormat="1" applyFont="1" applyFill="1" applyBorder="1"/>
    <xf numFmtId="2" fontId="6" fillId="9" borderId="2" xfId="0" applyNumberFormat="1" applyFont="1" applyFill="1" applyBorder="1"/>
    <xf numFmtId="10" fontId="6" fillId="9" borderId="2" xfId="1" applyNumberFormat="1" applyFont="1" applyFill="1" applyBorder="1" applyAlignment="1"/>
    <xf numFmtId="0" fontId="6" fillId="8" borderId="2" xfId="0" applyFont="1" applyFill="1" applyBorder="1"/>
    <xf numFmtId="0" fontId="8" fillId="11" borderId="0" xfId="0" applyFont="1" applyFill="1"/>
    <xf numFmtId="0" fontId="6" fillId="7" borderId="1" xfId="0" applyFont="1" applyFill="1" applyBorder="1"/>
    <xf numFmtId="0" fontId="6" fillId="3" borderId="1" xfId="0" applyFont="1" applyFill="1" applyBorder="1"/>
    <xf numFmtId="0" fontId="6" fillId="9" borderId="6" xfId="0" applyFont="1" applyFill="1" applyBorder="1"/>
    <xf numFmtId="176" fontId="6" fillId="9" borderId="6" xfId="0" applyNumberFormat="1" applyFont="1" applyFill="1" applyBorder="1"/>
    <xf numFmtId="14" fontId="6" fillId="5" borderId="6" xfId="0" applyNumberFormat="1" applyFont="1" applyFill="1" applyBorder="1"/>
    <xf numFmtId="177" fontId="6" fillId="9" borderId="6" xfId="0" applyNumberFormat="1" applyFont="1" applyFill="1" applyBorder="1"/>
    <xf numFmtId="0" fontId="6" fillId="4" borderId="6" xfId="0" applyFont="1" applyFill="1" applyBorder="1"/>
    <xf numFmtId="2" fontId="6" fillId="9" borderId="6" xfId="0" applyNumberFormat="1" applyFont="1" applyFill="1" applyBorder="1"/>
    <xf numFmtId="0" fontId="6" fillId="8" borderId="6" xfId="0" applyFont="1" applyFill="1" applyBorder="1"/>
    <xf numFmtId="10" fontId="6" fillId="9" borderId="6" xfId="1" applyNumberFormat="1" applyFont="1" applyFill="1" applyBorder="1" applyAlignment="1"/>
    <xf numFmtId="0" fontId="5" fillId="6" borderId="0" xfId="0" applyFont="1" applyFill="1"/>
    <xf numFmtId="0" fontId="6" fillId="6" borderId="2" xfId="0" applyFont="1" applyFill="1" applyBorder="1"/>
    <xf numFmtId="0" fontId="5" fillId="0" borderId="0" xfId="0" applyFont="1" applyBorder="1"/>
    <xf numFmtId="0" fontId="5" fillId="0" borderId="1" xfId="0" applyFont="1" applyBorder="1"/>
    <xf numFmtId="0" fontId="5" fillId="6" borderId="1" xfId="0" applyFont="1" applyFill="1" applyBorder="1"/>
    <xf numFmtId="0" fontId="0" fillId="5" borderId="0" xfId="0" applyFill="1"/>
    <xf numFmtId="0" fontId="6" fillId="7" borderId="2" xfId="0" applyFont="1" applyFill="1" applyBorder="1" applyAlignment="1">
      <alignment horizontal="center"/>
    </xf>
    <xf numFmtId="0" fontId="11" fillId="6" borderId="0" xfId="0" applyFont="1" applyFill="1"/>
    <xf numFmtId="0" fontId="12" fillId="6" borderId="0" xfId="0" applyFont="1" applyFill="1"/>
    <xf numFmtId="9" fontId="6" fillId="9" borderId="6" xfId="1" applyFont="1" applyFill="1" applyBorder="1" applyAlignment="1"/>
    <xf numFmtId="9" fontId="6" fillId="9" borderId="2" xfId="1" applyFont="1" applyFill="1" applyBorder="1" applyAlignment="1"/>
    <xf numFmtId="14" fontId="6" fillId="9" borderId="2" xfId="0" applyNumberFormat="1" applyFont="1" applyFill="1" applyBorder="1"/>
    <xf numFmtId="0" fontId="0" fillId="6" borderId="0" xfId="0" applyFont="1" applyFill="1"/>
    <xf numFmtId="0" fontId="0" fillId="3" borderId="1" xfId="0" applyFont="1" applyFill="1" applyBorder="1"/>
    <xf numFmtId="0" fontId="13" fillId="7" borderId="1" xfId="0" applyFont="1" applyFill="1" applyBorder="1"/>
    <xf numFmtId="0" fontId="14" fillId="6" borderId="0" xfId="0" applyFont="1" applyFill="1"/>
    <xf numFmtId="2" fontId="13" fillId="9" borderId="6" xfId="0" applyNumberFormat="1" applyFont="1" applyFill="1" applyBorder="1"/>
    <xf numFmtId="0" fontId="13" fillId="9" borderId="6" xfId="0" applyFont="1" applyFill="1" applyBorder="1"/>
    <xf numFmtId="176" fontId="13" fillId="9" borderId="6" xfId="0" applyNumberFormat="1" applyFont="1" applyFill="1" applyBorder="1"/>
    <xf numFmtId="14" fontId="13" fillId="5" borderId="6" xfId="0" applyNumberFormat="1" applyFont="1" applyFill="1" applyBorder="1"/>
    <xf numFmtId="177" fontId="13" fillId="9" borderId="6" xfId="0" applyNumberFormat="1" applyFont="1" applyFill="1" applyBorder="1"/>
    <xf numFmtId="0" fontId="13" fillId="4" borderId="6" xfId="0" applyFont="1" applyFill="1" applyBorder="1"/>
    <xf numFmtId="0" fontId="13" fillId="8" borderId="6" xfId="0" applyFont="1" applyFill="1" applyBorder="1"/>
    <xf numFmtId="10" fontId="13" fillId="9" borderId="6" xfId="1" applyNumberFormat="1" applyFont="1" applyFill="1" applyBorder="1" applyAlignment="1"/>
    <xf numFmtId="2" fontId="13" fillId="9" borderId="2" xfId="0" applyNumberFormat="1" applyFont="1" applyFill="1" applyBorder="1"/>
    <xf numFmtId="0" fontId="13" fillId="9" borderId="2" xfId="0" applyFont="1" applyFill="1" applyBorder="1"/>
    <xf numFmtId="178" fontId="13" fillId="9" borderId="2" xfId="0" applyNumberFormat="1" applyFont="1" applyFill="1" applyBorder="1"/>
    <xf numFmtId="14" fontId="13" fillId="5" borderId="2" xfId="0" applyNumberFormat="1" applyFont="1" applyFill="1" applyBorder="1"/>
    <xf numFmtId="177" fontId="13" fillId="9" borderId="2" xfId="0" applyNumberFormat="1" applyFont="1" applyFill="1" applyBorder="1"/>
    <xf numFmtId="0" fontId="13" fillId="4" borderId="2" xfId="0" applyFont="1" applyFill="1" applyBorder="1"/>
    <xf numFmtId="0" fontId="13" fillId="8" borderId="2" xfId="0" applyFont="1" applyFill="1" applyBorder="1"/>
    <xf numFmtId="10" fontId="13" fillId="9" borderId="2" xfId="1" applyNumberFormat="1" applyFont="1" applyFill="1" applyBorder="1" applyAlignment="1"/>
    <xf numFmtId="2" fontId="13" fillId="12" borderId="2" xfId="0" applyNumberFormat="1" applyFont="1" applyFill="1" applyBorder="1"/>
    <xf numFmtId="0" fontId="13" fillId="12" borderId="2" xfId="0" applyFont="1" applyFill="1" applyBorder="1"/>
    <xf numFmtId="178" fontId="13" fillId="12" borderId="2" xfId="0" applyNumberFormat="1" applyFont="1" applyFill="1" applyBorder="1"/>
    <xf numFmtId="14" fontId="13" fillId="12" borderId="2" xfId="0" applyNumberFormat="1" applyFont="1" applyFill="1" applyBorder="1"/>
    <xf numFmtId="177" fontId="13" fillId="12" borderId="2" xfId="0" applyNumberFormat="1" applyFont="1" applyFill="1" applyBorder="1"/>
    <xf numFmtId="10" fontId="13" fillId="12" borderId="2" xfId="1" applyNumberFormat="1" applyFont="1" applyFill="1" applyBorder="1" applyAlignment="1"/>
    <xf numFmtId="14" fontId="16" fillId="13" borderId="9" xfId="0" applyNumberFormat="1" applyFont="1" applyFill="1" applyBorder="1" applyAlignment="1">
      <alignment horizontal="right" vertical="center" wrapText="1"/>
    </xf>
    <xf numFmtId="0" fontId="17" fillId="13" borderId="9" xfId="0" applyFont="1" applyFill="1" applyBorder="1" applyAlignment="1">
      <alignment vertical="center" wrapText="1"/>
    </xf>
    <xf numFmtId="0" fontId="16" fillId="13" borderId="9" xfId="0" applyFont="1" applyFill="1" applyBorder="1" applyAlignment="1">
      <alignment vertical="center" wrapText="1"/>
    </xf>
    <xf numFmtId="0" fontId="17" fillId="13" borderId="10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vertical="center" wrapText="1"/>
    </xf>
    <xf numFmtId="0" fontId="19" fillId="14" borderId="11" xfId="0" applyFont="1" applyFill="1" applyBorder="1" applyAlignment="1">
      <alignment vertical="center" wrapText="1"/>
    </xf>
    <xf numFmtId="0" fontId="18" fillId="14" borderId="11" xfId="0" applyFont="1" applyFill="1" applyBorder="1" applyAlignment="1">
      <alignment horizontal="right" vertical="center" wrapText="1"/>
    </xf>
    <xf numFmtId="0" fontId="18" fillId="14" borderId="12" xfId="0" applyFont="1" applyFill="1" applyBorder="1" applyAlignment="1">
      <alignment horizontal="right" vertical="center" wrapText="1"/>
    </xf>
    <xf numFmtId="0" fontId="18" fillId="0" borderId="11" xfId="0" applyFont="1" applyBorder="1" applyAlignment="1">
      <alignment vertical="center" wrapText="1"/>
    </xf>
    <xf numFmtId="0" fontId="19" fillId="0" borderId="11" xfId="0" applyFont="1" applyBorder="1" applyAlignment="1">
      <alignment vertical="center" wrapText="1"/>
    </xf>
    <xf numFmtId="10" fontId="18" fillId="0" borderId="11" xfId="0" applyNumberFormat="1" applyFont="1" applyBorder="1" applyAlignment="1">
      <alignment horizontal="right" vertical="center" wrapText="1"/>
    </xf>
    <xf numFmtId="0" fontId="19" fillId="0" borderId="11" xfId="0" applyFont="1" applyBorder="1" applyAlignment="1">
      <alignment horizontal="right" vertical="center" wrapText="1"/>
    </xf>
    <xf numFmtId="10" fontId="18" fillId="0" borderId="12" xfId="0" applyNumberFormat="1" applyFont="1" applyBorder="1" applyAlignment="1">
      <alignment horizontal="right" vertical="center" wrapText="1"/>
    </xf>
    <xf numFmtId="0" fontId="20" fillId="14" borderId="11" xfId="0" applyFont="1" applyFill="1" applyBorder="1" applyAlignment="1">
      <alignment horizontal="right" vertical="center" wrapText="1"/>
    </xf>
    <xf numFmtId="0" fontId="20" fillId="14" borderId="12" xfId="0" applyFont="1" applyFill="1" applyBorder="1" applyAlignment="1">
      <alignment horizontal="right" vertical="center" wrapText="1"/>
    </xf>
    <xf numFmtId="0" fontId="19" fillId="0" borderId="12" xfId="0" applyFont="1" applyBorder="1" applyAlignment="1">
      <alignment horizontal="right" vertical="center" wrapText="1"/>
    </xf>
    <xf numFmtId="10" fontId="18" fillId="14" borderId="11" xfId="0" applyNumberFormat="1" applyFont="1" applyFill="1" applyBorder="1" applyAlignment="1">
      <alignment horizontal="right" vertical="center" wrapText="1"/>
    </xf>
    <xf numFmtId="10" fontId="18" fillId="14" borderId="12" xfId="0" applyNumberFormat="1" applyFont="1" applyFill="1" applyBorder="1" applyAlignment="1">
      <alignment horizontal="right" vertical="center" wrapText="1"/>
    </xf>
    <xf numFmtId="0" fontId="20" fillId="0" borderId="11" xfId="0" applyFont="1" applyBorder="1" applyAlignment="1">
      <alignment horizontal="right" vertical="center" wrapText="1"/>
    </xf>
    <xf numFmtId="0" fontId="20" fillId="0" borderId="12" xfId="0" applyFont="1" applyBorder="1" applyAlignment="1">
      <alignment horizontal="right" vertical="center" wrapText="1"/>
    </xf>
    <xf numFmtId="0" fontId="21" fillId="14" borderId="11" xfId="0" applyFont="1" applyFill="1" applyBorder="1" applyAlignment="1">
      <alignment vertical="center" wrapText="1"/>
    </xf>
    <xf numFmtId="0" fontId="21" fillId="14" borderId="12" xfId="0" applyFont="1" applyFill="1" applyBorder="1" applyAlignment="1">
      <alignment vertical="center" wrapText="1"/>
    </xf>
    <xf numFmtId="0" fontId="21" fillId="0" borderId="11" xfId="0" applyFont="1" applyBorder="1" applyAlignment="1">
      <alignment vertical="center" wrapText="1"/>
    </xf>
    <xf numFmtId="0" fontId="21" fillId="0" borderId="12" xfId="0" applyFont="1" applyBorder="1" applyAlignment="1">
      <alignment vertical="center" wrapText="1"/>
    </xf>
    <xf numFmtId="0" fontId="19" fillId="14" borderId="11" xfId="0" applyFont="1" applyFill="1" applyBorder="1" applyAlignment="1">
      <alignment horizontal="right" vertical="center" wrapText="1"/>
    </xf>
    <xf numFmtId="0" fontId="19" fillId="14" borderId="12" xfId="0" applyFont="1" applyFill="1" applyBorder="1" applyAlignment="1">
      <alignment horizontal="right" vertical="center" wrapText="1"/>
    </xf>
    <xf numFmtId="0" fontId="6" fillId="3" borderId="2" xfId="0" applyFont="1" applyFill="1" applyBorder="1" applyAlignment="1">
      <alignment horizontal="center"/>
    </xf>
    <xf numFmtId="0" fontId="6" fillId="9" borderId="0" xfId="0" applyFont="1" applyFill="1" applyAlignment="1">
      <alignment horizontal="center"/>
    </xf>
    <xf numFmtId="14" fontId="6" fillId="9" borderId="0" xfId="0" applyNumberFormat="1" applyFont="1" applyFill="1" applyAlignment="1">
      <alignment horizontal="center"/>
    </xf>
    <xf numFmtId="179" fontId="13" fillId="9" borderId="2" xfId="0" applyNumberFormat="1" applyFont="1" applyFill="1" applyBorder="1"/>
    <xf numFmtId="0" fontId="6" fillId="6" borderId="0" xfId="0" applyFont="1" applyFill="1" applyBorder="1"/>
    <xf numFmtId="0" fontId="15" fillId="6" borderId="15" xfId="0" applyFont="1" applyFill="1" applyBorder="1"/>
    <xf numFmtId="0" fontId="15" fillId="6" borderId="13" xfId="0" applyFont="1" applyFill="1" applyBorder="1"/>
    <xf numFmtId="0" fontId="6" fillId="6" borderId="14" xfId="0" applyFont="1" applyFill="1" applyBorder="1"/>
    <xf numFmtId="2" fontId="6" fillId="9" borderId="0" xfId="0" applyNumberFormat="1" applyFont="1" applyFill="1" applyAlignment="1">
      <alignment horizontal="center"/>
    </xf>
    <xf numFmtId="0" fontId="23" fillId="6" borderId="0" xfId="0" applyFont="1" applyFill="1"/>
    <xf numFmtId="0" fontId="27" fillId="10" borderId="0" xfId="0" applyFont="1" applyFill="1" applyBorder="1" applyAlignment="1">
      <alignment horizontal="left"/>
    </xf>
    <xf numFmtId="0" fontId="26" fillId="10" borderId="0" xfId="0" applyFont="1" applyFill="1" applyBorder="1" applyAlignment="1">
      <alignment horizontal="center"/>
    </xf>
    <xf numFmtId="0" fontId="26" fillId="10" borderId="7" xfId="0" applyFont="1" applyFill="1" applyBorder="1" applyAlignment="1">
      <alignment horizontal="center"/>
    </xf>
    <xf numFmtId="0" fontId="26" fillId="10" borderId="8" xfId="0" applyFont="1" applyFill="1" applyBorder="1" applyAlignment="1">
      <alignment horizontal="center"/>
    </xf>
    <xf numFmtId="0" fontId="28" fillId="10" borderId="0" xfId="0" applyFont="1" applyFill="1" applyBorder="1" applyAlignment="1">
      <alignment horizontal="left" vertical="center"/>
    </xf>
    <xf numFmtId="0" fontId="29" fillId="10" borderId="3" xfId="0" applyFont="1" applyFill="1" applyBorder="1" applyAlignment="1">
      <alignment horizontal="right" vertical="center"/>
    </xf>
    <xf numFmtId="0" fontId="29" fillId="10" borderId="0" xfId="0" applyFont="1" applyFill="1" applyBorder="1" applyAlignment="1">
      <alignment horizontal="right" vertical="center"/>
    </xf>
    <xf numFmtId="0" fontId="30" fillId="6" borderId="0" xfId="0" applyFont="1" applyFill="1"/>
    <xf numFmtId="0" fontId="23" fillId="6" borderId="1" xfId="0" applyFont="1" applyFill="1" applyBorder="1"/>
    <xf numFmtId="179" fontId="13" fillId="9" borderId="6" xfId="0" applyNumberFormat="1" applyFont="1" applyFill="1" applyBorder="1"/>
    <xf numFmtId="179" fontId="13" fillId="12" borderId="2" xfId="0" applyNumberFormat="1" applyFont="1" applyFill="1" applyBorder="1"/>
    <xf numFmtId="0" fontId="7" fillId="6" borderId="0" xfId="0" applyFont="1" applyFill="1"/>
    <xf numFmtId="180" fontId="13" fillId="9" borderId="6" xfId="0" applyNumberFormat="1" applyFont="1" applyFill="1" applyBorder="1"/>
    <xf numFmtId="178" fontId="6" fillId="6" borderId="0" xfId="0" applyNumberFormat="1" applyFont="1" applyFill="1"/>
    <xf numFmtId="179" fontId="6" fillId="6" borderId="0" xfId="0" applyNumberFormat="1" applyFont="1" applyFill="1"/>
    <xf numFmtId="0" fontId="34" fillId="4" borderId="2" xfId="0" applyFont="1" applyFill="1" applyBorder="1"/>
    <xf numFmtId="10" fontId="6" fillId="6" borderId="0" xfId="0" applyNumberFormat="1" applyFont="1" applyFill="1"/>
    <xf numFmtId="181" fontId="13" fillId="9" borderId="6" xfId="0" applyNumberFormat="1" applyFont="1" applyFill="1" applyBorder="1"/>
    <xf numFmtId="181" fontId="13" fillId="9" borderId="2" xfId="0" applyNumberFormat="1" applyFont="1" applyFill="1" applyBorder="1"/>
    <xf numFmtId="2" fontId="6" fillId="6" borderId="0" xfId="0" applyNumberFormat="1" applyFont="1" applyFill="1"/>
    <xf numFmtId="0" fontId="6" fillId="3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/>
    </xf>
    <xf numFmtId="0" fontId="6" fillId="9" borderId="17" xfId="0" applyFont="1" applyFill="1" applyBorder="1" applyAlignment="1">
      <alignment horizontal="center"/>
    </xf>
    <xf numFmtId="0" fontId="6" fillId="9" borderId="18" xfId="0" applyFont="1" applyFill="1" applyBorder="1" applyAlignment="1">
      <alignment horizontal="center"/>
    </xf>
    <xf numFmtId="14" fontId="6" fillId="9" borderId="18" xfId="0" applyNumberFormat="1" applyFont="1" applyFill="1" applyBorder="1" applyAlignment="1">
      <alignment horizontal="center"/>
    </xf>
    <xf numFmtId="2" fontId="6" fillId="9" borderId="18" xfId="0" applyNumberFormat="1" applyFont="1" applyFill="1" applyBorder="1" applyAlignment="1">
      <alignment horizontal="center"/>
    </xf>
    <xf numFmtId="0" fontId="6" fillId="9" borderId="22" xfId="0" applyFont="1" applyFill="1" applyBorder="1" applyAlignment="1">
      <alignment horizontal="center"/>
    </xf>
    <xf numFmtId="0" fontId="6" fillId="9" borderId="20" xfId="0" applyFont="1" applyFill="1" applyBorder="1" applyAlignment="1">
      <alignment horizontal="center"/>
    </xf>
    <xf numFmtId="0" fontId="6" fillId="9" borderId="21" xfId="0" applyFont="1" applyFill="1" applyBorder="1" applyAlignment="1">
      <alignment horizontal="center"/>
    </xf>
    <xf numFmtId="14" fontId="6" fillId="9" borderId="21" xfId="0" applyNumberFormat="1" applyFont="1" applyFill="1" applyBorder="1" applyAlignment="1">
      <alignment horizontal="center"/>
    </xf>
    <xf numFmtId="2" fontId="6" fillId="9" borderId="21" xfId="0" applyNumberFormat="1" applyFont="1" applyFill="1" applyBorder="1" applyAlignment="1">
      <alignment horizontal="center"/>
    </xf>
    <xf numFmtId="0" fontId="6" fillId="9" borderId="23" xfId="0" applyFont="1" applyFill="1" applyBorder="1" applyAlignment="1">
      <alignment horizontal="center"/>
    </xf>
    <xf numFmtId="0" fontId="6" fillId="9" borderId="19" xfId="0" applyFont="1" applyFill="1" applyBorder="1" applyAlignment="1">
      <alignment horizontal="center"/>
    </xf>
    <xf numFmtId="0" fontId="6" fillId="9" borderId="0" xfId="0" applyFont="1" applyFill="1" applyBorder="1" applyAlignment="1">
      <alignment horizontal="center"/>
    </xf>
    <xf numFmtId="14" fontId="6" fillId="9" borderId="0" xfId="0" applyNumberFormat="1" applyFont="1" applyFill="1" applyBorder="1" applyAlignment="1">
      <alignment horizontal="center"/>
    </xf>
    <xf numFmtId="2" fontId="6" fillId="9" borderId="0" xfId="0" applyNumberFormat="1" applyFont="1" applyFill="1" applyBorder="1" applyAlignment="1">
      <alignment horizontal="center"/>
    </xf>
    <xf numFmtId="0" fontId="6" fillId="9" borderId="24" xfId="0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0" fontId="32" fillId="10" borderId="0" xfId="0" applyFont="1" applyFill="1" applyBorder="1" applyAlignment="1">
      <alignment horizontal="left" vertical="center"/>
    </xf>
    <xf numFmtId="0" fontId="33" fillId="10" borderId="3" xfId="0" applyFont="1" applyFill="1" applyBorder="1" applyAlignment="1">
      <alignment horizontal="right" vertical="center"/>
    </xf>
    <xf numFmtId="0" fontId="33" fillId="10" borderId="0" xfId="0" applyFont="1" applyFill="1" applyBorder="1" applyAlignment="1">
      <alignment horizontal="right" vertical="center"/>
    </xf>
    <xf numFmtId="0" fontId="32" fillId="10" borderId="1" xfId="0" applyFont="1" applyFill="1" applyBorder="1" applyAlignment="1">
      <alignment horizontal="left" vertical="center"/>
    </xf>
    <xf numFmtId="0" fontId="33" fillId="10" borderId="5" xfId="0" applyFont="1" applyFill="1" applyBorder="1" applyAlignment="1">
      <alignment horizontal="right" vertical="center"/>
    </xf>
    <xf numFmtId="0" fontId="33" fillId="10" borderId="1" xfId="0" applyFont="1" applyFill="1" applyBorder="1" applyAlignment="1">
      <alignment horizontal="right" vertical="center"/>
    </xf>
    <xf numFmtId="14" fontId="33" fillId="10" borderId="3" xfId="0" applyNumberFormat="1" applyFont="1" applyFill="1" applyBorder="1" applyAlignment="1">
      <alignment horizontal="right" vertical="center"/>
    </xf>
    <xf numFmtId="0" fontId="31" fillId="10" borderId="1" xfId="0" applyFont="1" applyFill="1" applyBorder="1" applyAlignment="1">
      <alignment horizontal="center"/>
    </xf>
    <xf numFmtId="14" fontId="33" fillId="10" borderId="0" xfId="0" applyNumberFormat="1" applyFont="1" applyFill="1" applyBorder="1" applyAlignment="1">
      <alignment horizontal="right" vertical="center"/>
    </xf>
    <xf numFmtId="0" fontId="32" fillId="10" borderId="16" xfId="0" applyFont="1" applyFill="1" applyBorder="1" applyAlignment="1">
      <alignment horizontal="left" vertical="center"/>
    </xf>
    <xf numFmtId="0" fontId="26" fillId="10" borderId="1" xfId="0" applyFont="1" applyFill="1" applyBorder="1" applyAlignment="1">
      <alignment horizontal="center"/>
    </xf>
    <xf numFmtId="0" fontId="28" fillId="10" borderId="1" xfId="0" applyFont="1" applyFill="1" applyBorder="1" applyAlignment="1">
      <alignment horizontal="left" vertical="center"/>
    </xf>
    <xf numFmtId="0" fontId="29" fillId="10" borderId="5" xfId="0" applyFont="1" applyFill="1" applyBorder="1" applyAlignment="1">
      <alignment horizontal="right" vertical="center"/>
    </xf>
    <xf numFmtId="0" fontId="29" fillId="10" borderId="1" xfId="0" applyFont="1" applyFill="1" applyBorder="1" applyAlignment="1">
      <alignment horizontal="right" vertical="center"/>
    </xf>
    <xf numFmtId="0" fontId="28" fillId="10" borderId="0" xfId="0" applyFont="1" applyFill="1" applyBorder="1" applyAlignment="1">
      <alignment horizontal="left" vertical="center"/>
    </xf>
    <xf numFmtId="0" fontId="29" fillId="10" borderId="3" xfId="0" applyFont="1" applyFill="1" applyBorder="1" applyAlignment="1">
      <alignment horizontal="right" vertical="center"/>
    </xf>
    <xf numFmtId="0" fontId="29" fillId="10" borderId="0" xfId="0" applyFont="1" applyFill="1" applyBorder="1" applyAlignment="1">
      <alignment horizontal="right" vertical="center"/>
    </xf>
    <xf numFmtId="0" fontId="25" fillId="6" borderId="1" xfId="0" applyFont="1" applyFill="1" applyBorder="1" applyAlignment="1">
      <alignment horizontal="center"/>
    </xf>
    <xf numFmtId="0" fontId="24" fillId="6" borderId="1" xfId="0" applyFont="1" applyFill="1" applyBorder="1" applyAlignment="1">
      <alignment horizontal="center"/>
    </xf>
    <xf numFmtId="0" fontId="22" fillId="0" borderId="1" xfId="0" applyFont="1" applyBorder="1" applyAlignment="1">
      <alignment horizontal="center"/>
    </xf>
    <xf numFmtId="0" fontId="26" fillId="10" borderId="7" xfId="0" applyFont="1" applyFill="1" applyBorder="1" applyAlignment="1">
      <alignment horizontal="center"/>
    </xf>
    <xf numFmtId="0" fontId="26" fillId="10" borderId="8" xfId="0" applyFont="1" applyFill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5">
    <cellStyle name="百分比" xfId="1" builtinId="5"/>
    <cellStyle name="百分比 2" xfId="4"/>
    <cellStyle name="常规" xfId="0" builtinId="0"/>
    <cellStyle name="常规 2" xfId="3"/>
    <cellStyle name="常规 3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wdf.rtq">
      <tp>
        <v>15005</v>
        <stp/>
        <stp>al1809</stp>
        <stp>LastPrice</stp>
        <tr r="P16" s="1"/>
        <tr r="P15" s="1"/>
      </tp>
      <tp>
        <v>14945</v>
        <stp/>
        <stp>al1808</stp>
        <stp>LastPrice</stp>
        <tr r="P8" s="1"/>
        <tr r="P14" s="1"/>
        <tr r="P13" s="1"/>
      </tp>
      <tp>
        <v>470.5</v>
        <stp/>
        <stp>i1809</stp>
        <stp>LastPrice</stp>
        <tr r="P11" s="9"/>
        <tr r="P20" s="1"/>
        <tr r="P19" s="1"/>
      </tp>
      <tp>
        <v>9135</v>
        <stp/>
        <stp>ap810</stp>
        <stp>LastPrice</stp>
        <tr r="P22" s="1"/>
        <tr r="P23" s="1"/>
      </tp>
      <tp>
        <v>3013</v>
        <stp/>
        <stp>m1809</stp>
        <stp>LastPrice</stp>
        <tr r="P21" s="9"/>
        <tr r="P18" s="9"/>
        <tr r="P26" s="9"/>
        <tr r="P29" s="9"/>
      </tp>
      <tp>
        <v>3776</v>
        <stp/>
        <stp>rb1810</stp>
        <stp>LastPrice</stp>
        <tr r="P14" s="9"/>
      </tp>
      <tp>
        <v>0</v>
        <stp/>
        <stp>RB1805</stp>
        <stp>LastPrice</stp>
        <tr r="H8" s="8"/>
        <tr r="H8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volatileDependencies" Target="volatileDependenci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AF49"/>
  <sheetViews>
    <sheetView tabSelected="1" topLeftCell="A9" zoomScaleNormal="100" workbookViewId="0">
      <selection activeCell="Y41" sqref="Y41"/>
    </sheetView>
  </sheetViews>
  <sheetFormatPr defaultColWidth="9" defaultRowHeight="11.25" x14ac:dyDescent="0.15"/>
  <cols>
    <col min="1" max="1" width="9" style="6"/>
    <col min="2" max="2" width="7.5" style="6" bestFit="1" customWidth="1"/>
    <col min="3" max="3" width="6" style="6" bestFit="1" customWidth="1"/>
    <col min="4" max="5" width="8.25" style="6" bestFit="1" customWidth="1"/>
    <col min="6" max="6" width="8.875" style="6" customWidth="1"/>
    <col min="7" max="7" width="4.5" style="6" hidden="1" customWidth="1"/>
    <col min="8" max="8" width="9.75" style="6" hidden="1" customWidth="1"/>
    <col min="9" max="9" width="17" style="6" hidden="1" customWidth="1"/>
    <col min="10" max="10" width="6" style="6" hidden="1" customWidth="1"/>
    <col min="11" max="11" width="10.5" style="6" hidden="1" customWidth="1"/>
    <col min="12" max="12" width="7.5" style="6" hidden="1" customWidth="1"/>
    <col min="13" max="13" width="1.375" style="6" hidden="1" customWidth="1"/>
    <col min="14" max="14" width="9.75" style="6" bestFit="1" customWidth="1"/>
    <col min="15" max="15" width="6" style="6" bestFit="1" customWidth="1"/>
    <col min="16" max="16" width="3.75" style="6" bestFit="1" customWidth="1"/>
    <col min="17" max="17" width="3" style="6" hidden="1" customWidth="1"/>
    <col min="18" max="18" width="7.5" style="6" bestFit="1" customWidth="1"/>
    <col min="19" max="21" width="9" style="6"/>
    <col min="22" max="22" width="13" style="6" bestFit="1" customWidth="1"/>
    <col min="23" max="16384" width="9" style="6"/>
  </cols>
  <sheetData>
    <row r="1" spans="2:18" ht="14.25" customHeight="1" thickBot="1" x14ac:dyDescent="0.2">
      <c r="B1" s="138" t="s">
        <v>158</v>
      </c>
      <c r="C1" s="138"/>
      <c r="D1" s="138"/>
    </row>
    <row r="2" spans="2:18" ht="12" thickTop="1" x14ac:dyDescent="0.15"/>
    <row r="3" spans="2:18" ht="13.5" x14ac:dyDescent="0.15">
      <c r="I3" s="112" t="s">
        <v>200</v>
      </c>
    </row>
    <row r="5" spans="2:18" x14ac:dyDescent="0.15">
      <c r="B5" s="91" t="s">
        <v>2</v>
      </c>
      <c r="C5" s="33" t="s">
        <v>181</v>
      </c>
      <c r="D5" s="33" t="s">
        <v>180</v>
      </c>
      <c r="E5" s="33" t="s">
        <v>10</v>
      </c>
      <c r="F5" s="33" t="s">
        <v>184</v>
      </c>
      <c r="G5" s="33" t="s">
        <v>11</v>
      </c>
      <c r="H5" s="33" t="s">
        <v>12</v>
      </c>
      <c r="I5" s="33" t="s">
        <v>47</v>
      </c>
      <c r="J5" s="33" t="s">
        <v>13</v>
      </c>
      <c r="K5" s="33" t="s">
        <v>14</v>
      </c>
      <c r="L5" s="33" t="s">
        <v>26</v>
      </c>
      <c r="M5" s="33" t="s">
        <v>28</v>
      </c>
      <c r="N5" s="33" t="s">
        <v>182</v>
      </c>
      <c r="O5" s="33" t="s">
        <v>8</v>
      </c>
      <c r="P5" s="33" t="s">
        <v>23</v>
      </c>
      <c r="Q5" s="33"/>
      <c r="R5" s="33" t="s">
        <v>30</v>
      </c>
    </row>
    <row r="6" spans="2:18" x14ac:dyDescent="0.15">
      <c r="B6" s="92" t="s">
        <v>160</v>
      </c>
      <c r="C6" s="92" t="s">
        <v>159</v>
      </c>
      <c r="D6" s="93">
        <v>43105</v>
      </c>
      <c r="E6" s="93">
        <v>43135</v>
      </c>
      <c r="F6" s="92">
        <v>3800</v>
      </c>
      <c r="G6" s="92">
        <v>30</v>
      </c>
      <c r="H6" s="92">
        <v>8.2191780821917804E-2</v>
      </c>
      <c r="I6" s="92">
        <v>0</v>
      </c>
      <c r="J6" s="92">
        <v>0.3</v>
      </c>
      <c r="K6" s="92" t="e">
        <v>#VALUE!</v>
      </c>
      <c r="L6" s="92">
        <v>80</v>
      </c>
      <c r="M6" s="92" t="e">
        <v>#N/A</v>
      </c>
      <c r="N6" s="92" t="e">
        <v>#VALUE!</v>
      </c>
      <c r="O6" s="92" t="e">
        <v>#N/A</v>
      </c>
      <c r="P6" s="92" t="s">
        <v>39</v>
      </c>
      <c r="Q6" s="92">
        <v>-1</v>
      </c>
      <c r="R6" s="92" t="s">
        <v>20</v>
      </c>
    </row>
    <row r="7" spans="2:18" x14ac:dyDescent="0.15">
      <c r="B7" s="92" t="s">
        <v>160</v>
      </c>
      <c r="C7" s="92" t="s">
        <v>159</v>
      </c>
      <c r="D7" s="93">
        <v>43105</v>
      </c>
      <c r="E7" s="93">
        <v>43470</v>
      </c>
      <c r="F7" s="92">
        <v>100</v>
      </c>
      <c r="G7" s="92">
        <v>365</v>
      </c>
      <c r="H7" s="92">
        <v>1</v>
      </c>
      <c r="I7" s="92">
        <v>0</v>
      </c>
      <c r="J7" s="92">
        <v>0.18</v>
      </c>
      <c r="K7" s="92">
        <v>7.0292776883103798</v>
      </c>
      <c r="L7" s="92">
        <v>80</v>
      </c>
      <c r="M7" s="92">
        <v>0.8</v>
      </c>
      <c r="N7" s="92">
        <v>6.22927768831038</v>
      </c>
      <c r="O7" s="92">
        <v>100</v>
      </c>
      <c r="P7" s="92" t="s">
        <v>39</v>
      </c>
      <c r="Q7" s="92">
        <v>1</v>
      </c>
      <c r="R7" s="92" t="s">
        <v>151</v>
      </c>
    </row>
    <row r="8" spans="2:18" x14ac:dyDescent="0.15">
      <c r="B8" s="91" t="s">
        <v>2</v>
      </c>
      <c r="C8" s="33" t="s">
        <v>181</v>
      </c>
      <c r="D8" s="33" t="s">
        <v>180</v>
      </c>
      <c r="E8" s="33" t="s">
        <v>10</v>
      </c>
      <c r="F8" s="33" t="s">
        <v>184</v>
      </c>
      <c r="G8" s="33" t="s">
        <v>11</v>
      </c>
      <c r="H8" s="33" t="s">
        <v>12</v>
      </c>
      <c r="I8" s="33" t="s">
        <v>47</v>
      </c>
      <c r="J8" s="33" t="s">
        <v>13</v>
      </c>
      <c r="K8" s="33" t="s">
        <v>14</v>
      </c>
      <c r="L8" s="33" t="s">
        <v>26</v>
      </c>
      <c r="M8" s="33" t="s">
        <v>28</v>
      </c>
      <c r="N8" s="33" t="s">
        <v>182</v>
      </c>
      <c r="O8" s="33" t="s">
        <v>8</v>
      </c>
      <c r="P8" s="33" t="s">
        <v>23</v>
      </c>
      <c r="Q8" s="33"/>
      <c r="R8" s="33" t="s">
        <v>30</v>
      </c>
    </row>
    <row r="9" spans="2:18" x14ac:dyDescent="0.15">
      <c r="B9" s="92" t="s">
        <v>160</v>
      </c>
      <c r="C9" s="92" t="s">
        <v>229</v>
      </c>
      <c r="D9" s="93">
        <v>43250</v>
      </c>
      <c r="E9" s="93">
        <v>43294</v>
      </c>
      <c r="F9" s="92">
        <v>14500</v>
      </c>
      <c r="G9" s="92">
        <v>44</v>
      </c>
      <c r="H9" s="92">
        <v>0.12054794520547946</v>
      </c>
      <c r="I9" s="92">
        <v>0</v>
      </c>
      <c r="J9" s="92">
        <v>0.13</v>
      </c>
      <c r="K9" s="92">
        <v>148.1957993354099</v>
      </c>
      <c r="L9" s="92">
        <v>30</v>
      </c>
      <c r="M9" s="92">
        <v>5.3432876712328774</v>
      </c>
      <c r="N9" s="99">
        <v>142.85251166417703</v>
      </c>
      <c r="O9" s="92">
        <v>14775</v>
      </c>
      <c r="P9" s="92" t="s">
        <v>85</v>
      </c>
      <c r="Q9" s="92">
        <v>1</v>
      </c>
      <c r="R9" s="92" t="s">
        <v>151</v>
      </c>
    </row>
    <row r="10" spans="2:18" x14ac:dyDescent="0.15">
      <c r="B10" s="92" t="s">
        <v>160</v>
      </c>
      <c r="C10" s="92" t="s">
        <v>235</v>
      </c>
      <c r="D10" s="93">
        <v>43250</v>
      </c>
      <c r="E10" s="93">
        <v>43325</v>
      </c>
      <c r="F10" s="92">
        <v>14500</v>
      </c>
      <c r="G10" s="92">
        <v>75</v>
      </c>
      <c r="H10" s="92">
        <v>0.20547945205479451</v>
      </c>
      <c r="I10" s="92">
        <v>0</v>
      </c>
      <c r="J10" s="92">
        <v>0.13</v>
      </c>
      <c r="K10" s="92">
        <v>197.0015228979737</v>
      </c>
      <c r="L10" s="92">
        <v>30</v>
      </c>
      <c r="M10" s="92">
        <v>9.1541095890410951</v>
      </c>
      <c r="N10" s="99">
        <v>187.8474133089326</v>
      </c>
      <c r="O10" s="92">
        <v>14850</v>
      </c>
      <c r="P10" s="92" t="s">
        <v>85</v>
      </c>
      <c r="Q10" s="92">
        <v>1</v>
      </c>
      <c r="R10" s="92" t="s">
        <v>151</v>
      </c>
    </row>
    <row r="11" spans="2:18" x14ac:dyDescent="0.15">
      <c r="B11" s="92" t="s">
        <v>160</v>
      </c>
      <c r="C11" s="92" t="s">
        <v>241</v>
      </c>
      <c r="D11" s="93">
        <v>43250</v>
      </c>
      <c r="E11" s="93">
        <v>43356</v>
      </c>
      <c r="F11" s="92">
        <v>14500</v>
      </c>
      <c r="G11" s="92">
        <v>106</v>
      </c>
      <c r="H11" s="92">
        <v>0.29041095890410956</v>
      </c>
      <c r="I11" s="92">
        <v>0</v>
      </c>
      <c r="J11" s="92">
        <v>0.13</v>
      </c>
      <c r="K11" s="92">
        <v>231.7094428625951</v>
      </c>
      <c r="L11" s="92">
        <v>30</v>
      </c>
      <c r="M11" s="92">
        <v>13.003150684931507</v>
      </c>
      <c r="N11" s="99">
        <v>218.70629217766358</v>
      </c>
      <c r="O11" s="92">
        <v>14925</v>
      </c>
      <c r="P11" s="92" t="s">
        <v>85</v>
      </c>
      <c r="Q11" s="92">
        <v>1</v>
      </c>
      <c r="R11" s="92" t="s">
        <v>151</v>
      </c>
    </row>
    <row r="12" spans="2:18" x14ac:dyDescent="0.15">
      <c r="B12" s="91" t="s">
        <v>2</v>
      </c>
      <c r="C12" s="33" t="s">
        <v>181</v>
      </c>
      <c r="D12" s="33" t="s">
        <v>180</v>
      </c>
      <c r="E12" s="33" t="s">
        <v>10</v>
      </c>
      <c r="F12" s="33" t="s">
        <v>184</v>
      </c>
      <c r="G12" s="33" t="s">
        <v>11</v>
      </c>
      <c r="H12" s="33" t="s">
        <v>12</v>
      </c>
      <c r="I12" s="33" t="s">
        <v>47</v>
      </c>
      <c r="J12" s="33" t="s">
        <v>13</v>
      </c>
      <c r="K12" s="33" t="s">
        <v>14</v>
      </c>
      <c r="L12" s="33" t="s">
        <v>26</v>
      </c>
      <c r="M12" s="33" t="s">
        <v>28</v>
      </c>
      <c r="N12" s="33" t="s">
        <v>182</v>
      </c>
      <c r="O12" s="33" t="s">
        <v>8</v>
      </c>
      <c r="P12" s="33" t="s">
        <v>23</v>
      </c>
      <c r="Q12" s="33"/>
      <c r="R12" s="33" t="s">
        <v>30</v>
      </c>
    </row>
    <row r="13" spans="2:18" x14ac:dyDescent="0.15">
      <c r="B13" s="92" t="s">
        <v>160</v>
      </c>
      <c r="C13" s="92" t="s">
        <v>230</v>
      </c>
      <c r="D13" s="93">
        <v>43250</v>
      </c>
      <c r="E13" s="93">
        <v>43280</v>
      </c>
      <c r="F13" s="92">
        <v>49500</v>
      </c>
      <c r="G13" s="92">
        <v>30</v>
      </c>
      <c r="H13" s="92">
        <v>8.2191780821917804E-2</v>
      </c>
      <c r="I13" s="92">
        <v>0</v>
      </c>
      <c r="J13" s="92">
        <v>0.12</v>
      </c>
      <c r="K13" s="92">
        <v>171.01217245503904</v>
      </c>
      <c r="L13" s="92">
        <v>30</v>
      </c>
      <c r="M13" s="92">
        <v>12.592602739726027</v>
      </c>
      <c r="N13" s="99">
        <v>158.419569715313</v>
      </c>
      <c r="O13" s="92">
        <v>51070</v>
      </c>
      <c r="P13" s="92" t="s">
        <v>85</v>
      </c>
      <c r="Q13" s="92">
        <v>1</v>
      </c>
      <c r="R13" s="92" t="s">
        <v>151</v>
      </c>
    </row>
    <row r="14" spans="2:18" x14ac:dyDescent="0.15">
      <c r="B14" s="91" t="s">
        <v>2</v>
      </c>
      <c r="C14" s="33" t="s">
        <v>181</v>
      </c>
      <c r="D14" s="33" t="s">
        <v>180</v>
      </c>
      <c r="E14" s="33" t="s">
        <v>10</v>
      </c>
      <c r="F14" s="33" t="s">
        <v>184</v>
      </c>
      <c r="G14" s="33" t="s">
        <v>11</v>
      </c>
      <c r="H14" s="33" t="s">
        <v>12</v>
      </c>
      <c r="I14" s="33" t="s">
        <v>47</v>
      </c>
      <c r="J14" s="33" t="s">
        <v>13</v>
      </c>
      <c r="K14" s="33" t="s">
        <v>14</v>
      </c>
      <c r="L14" s="33" t="s">
        <v>26</v>
      </c>
      <c r="M14" s="33" t="s">
        <v>28</v>
      </c>
      <c r="N14" s="33" t="s">
        <v>182</v>
      </c>
      <c r="O14" s="33" t="s">
        <v>8</v>
      </c>
      <c r="P14" s="33" t="s">
        <v>23</v>
      </c>
      <c r="Q14" s="33"/>
      <c r="R14" s="33" t="s">
        <v>30</v>
      </c>
    </row>
    <row r="15" spans="2:18" x14ac:dyDescent="0.15">
      <c r="B15" s="92" t="s">
        <v>160</v>
      </c>
      <c r="C15" s="92" t="s">
        <v>229</v>
      </c>
      <c r="D15" s="93">
        <v>43251</v>
      </c>
      <c r="E15" s="93">
        <v>43294</v>
      </c>
      <c r="F15" s="92">
        <v>14500</v>
      </c>
      <c r="G15" s="92">
        <v>43</v>
      </c>
      <c r="H15" s="92">
        <v>0.11780821917808219</v>
      </c>
      <c r="I15" s="92">
        <v>0</v>
      </c>
      <c r="J15" s="92">
        <v>0.13</v>
      </c>
      <c r="K15" s="92">
        <v>175.34549282843636</v>
      </c>
      <c r="L15" s="92">
        <v>30</v>
      </c>
      <c r="M15" s="92">
        <v>5.1918082191780819</v>
      </c>
      <c r="N15" s="99">
        <v>170.15368460925828</v>
      </c>
      <c r="O15" s="92">
        <v>14690</v>
      </c>
      <c r="P15" s="92" t="s">
        <v>85</v>
      </c>
      <c r="Q15" s="92">
        <v>1</v>
      </c>
      <c r="R15" s="92" t="s">
        <v>151</v>
      </c>
    </row>
    <row r="16" spans="2:18" x14ac:dyDescent="0.15">
      <c r="B16" s="92" t="s">
        <v>160</v>
      </c>
      <c r="C16" s="92" t="s">
        <v>235</v>
      </c>
      <c r="D16" s="93">
        <v>43251</v>
      </c>
      <c r="E16" s="93">
        <v>43325</v>
      </c>
      <c r="F16" s="92">
        <v>14500</v>
      </c>
      <c r="G16" s="92">
        <v>74</v>
      </c>
      <c r="H16" s="92">
        <v>0.20273972602739726</v>
      </c>
      <c r="I16" s="92">
        <v>0</v>
      </c>
      <c r="J16" s="92">
        <v>0.13</v>
      </c>
      <c r="K16" s="92">
        <v>224.45519980339668</v>
      </c>
      <c r="L16" s="92">
        <v>30</v>
      </c>
      <c r="M16" s="92">
        <v>8.9803561643835614</v>
      </c>
      <c r="N16" s="99">
        <v>215.47484363901313</v>
      </c>
      <c r="O16" s="92">
        <v>14765</v>
      </c>
      <c r="P16" s="92" t="s">
        <v>85</v>
      </c>
      <c r="Q16" s="92">
        <v>1</v>
      </c>
      <c r="R16" s="92" t="s">
        <v>151</v>
      </c>
    </row>
    <row r="17" spans="2:32" x14ac:dyDescent="0.15">
      <c r="B17" s="92" t="s">
        <v>160</v>
      </c>
      <c r="C17" s="92" t="s">
        <v>241</v>
      </c>
      <c r="D17" s="93">
        <v>43251</v>
      </c>
      <c r="E17" s="93">
        <v>43294</v>
      </c>
      <c r="F17" s="92">
        <v>14500</v>
      </c>
      <c r="G17" s="92">
        <v>43</v>
      </c>
      <c r="H17" s="92">
        <v>0.11780821917808219</v>
      </c>
      <c r="I17" s="92">
        <v>0</v>
      </c>
      <c r="J17" s="92">
        <v>0.13</v>
      </c>
      <c r="K17" s="92">
        <v>126.74305290502434</v>
      </c>
      <c r="L17" s="92">
        <v>30</v>
      </c>
      <c r="M17" s="92">
        <v>5.2430547945205479</v>
      </c>
      <c r="N17" s="99">
        <v>121.4999981105038</v>
      </c>
      <c r="O17" s="92">
        <v>14835</v>
      </c>
      <c r="P17" s="92" t="s">
        <v>85</v>
      </c>
      <c r="Q17" s="92">
        <v>1</v>
      </c>
      <c r="R17" s="92" t="s">
        <v>151</v>
      </c>
    </row>
    <row r="18" spans="2:32" x14ac:dyDescent="0.15">
      <c r="B18" s="91" t="s">
        <v>2</v>
      </c>
      <c r="C18" s="33" t="s">
        <v>181</v>
      </c>
      <c r="D18" s="33" t="s">
        <v>180</v>
      </c>
      <c r="E18" s="33" t="s">
        <v>10</v>
      </c>
      <c r="F18" s="33" t="s">
        <v>184</v>
      </c>
      <c r="G18" s="33" t="s">
        <v>11</v>
      </c>
      <c r="H18" s="33" t="s">
        <v>12</v>
      </c>
      <c r="I18" s="33" t="s">
        <v>47</v>
      </c>
      <c r="J18" s="33" t="s">
        <v>13</v>
      </c>
      <c r="K18" s="33" t="s">
        <v>14</v>
      </c>
      <c r="L18" s="33" t="s">
        <v>26</v>
      </c>
      <c r="M18" s="33" t="s">
        <v>28</v>
      </c>
      <c r="N18" s="33" t="s">
        <v>182</v>
      </c>
      <c r="O18" s="33" t="s">
        <v>8</v>
      </c>
      <c r="P18" s="33" t="s">
        <v>23</v>
      </c>
      <c r="Q18" s="33"/>
      <c r="R18" s="33" t="s">
        <v>30</v>
      </c>
    </row>
    <row r="19" spans="2:32" x14ac:dyDescent="0.15">
      <c r="B19" s="92" t="s">
        <v>160</v>
      </c>
      <c r="C19" s="92" t="s">
        <v>225</v>
      </c>
      <c r="D19" s="93">
        <v>43251</v>
      </c>
      <c r="E19" s="93">
        <v>43312</v>
      </c>
      <c r="F19" s="92">
        <v>2090</v>
      </c>
      <c r="G19" s="92">
        <v>61</v>
      </c>
      <c r="H19" s="92">
        <v>0.16712328767123288</v>
      </c>
      <c r="I19" s="92">
        <v>0</v>
      </c>
      <c r="J19" s="92">
        <v>0.375</v>
      </c>
      <c r="K19" s="92">
        <v>-130.338401596067</v>
      </c>
      <c r="L19" s="92"/>
      <c r="M19" s="92">
        <v>0</v>
      </c>
      <c r="N19" s="99">
        <v>130.338401596067</v>
      </c>
      <c r="O19" s="92">
        <v>2083.5</v>
      </c>
      <c r="P19" s="92" t="s">
        <v>85</v>
      </c>
      <c r="Q19" s="92">
        <v>-1</v>
      </c>
      <c r="R19" s="92" t="s">
        <v>20</v>
      </c>
    </row>
    <row r="20" spans="2:32" x14ac:dyDescent="0.15">
      <c r="B20" s="92" t="s">
        <v>160</v>
      </c>
      <c r="C20" s="92" t="s">
        <v>225</v>
      </c>
      <c r="D20" s="93">
        <v>43251</v>
      </c>
      <c r="E20" s="93">
        <v>43312</v>
      </c>
      <c r="F20" s="92">
        <v>2000</v>
      </c>
      <c r="G20" s="92">
        <v>61</v>
      </c>
      <c r="H20" s="92">
        <v>0.16712328767123288</v>
      </c>
      <c r="I20" s="92">
        <v>0</v>
      </c>
      <c r="J20" s="92">
        <v>0.38</v>
      </c>
      <c r="K20" s="92">
        <v>-88.709007591763793</v>
      </c>
      <c r="L20" s="92"/>
      <c r="M20" s="92">
        <v>0</v>
      </c>
      <c r="N20" s="99">
        <v>88.709007591763793</v>
      </c>
      <c r="O20" s="92">
        <v>2083.5</v>
      </c>
      <c r="P20" s="92" t="s">
        <v>85</v>
      </c>
      <c r="Q20" s="92">
        <v>-1</v>
      </c>
      <c r="R20" s="92" t="s">
        <v>20</v>
      </c>
    </row>
    <row r="21" spans="2:32" x14ac:dyDescent="0.15">
      <c r="B21" s="91" t="s">
        <v>2</v>
      </c>
      <c r="C21" s="33" t="s">
        <v>181</v>
      </c>
      <c r="D21" s="33" t="s">
        <v>180</v>
      </c>
      <c r="E21" s="33" t="s">
        <v>10</v>
      </c>
      <c r="F21" s="33" t="s">
        <v>184</v>
      </c>
      <c r="G21" s="33" t="s">
        <v>11</v>
      </c>
      <c r="H21" s="33" t="s">
        <v>12</v>
      </c>
      <c r="I21" s="33" t="s">
        <v>47</v>
      </c>
      <c r="J21" s="33" t="s">
        <v>13</v>
      </c>
      <c r="K21" s="33" t="s">
        <v>14</v>
      </c>
      <c r="L21" s="33" t="s">
        <v>26</v>
      </c>
      <c r="M21" s="33" t="s">
        <v>28</v>
      </c>
      <c r="N21" s="33" t="s">
        <v>182</v>
      </c>
      <c r="O21" s="33" t="s">
        <v>8</v>
      </c>
      <c r="P21" s="33" t="s">
        <v>23</v>
      </c>
      <c r="Q21" s="33"/>
      <c r="R21" s="33" t="s">
        <v>30</v>
      </c>
    </row>
    <row r="22" spans="2:32" x14ac:dyDescent="0.15">
      <c r="B22" s="92" t="s">
        <v>160</v>
      </c>
      <c r="C22" s="92" t="s">
        <v>230</v>
      </c>
      <c r="D22" s="93">
        <v>43251</v>
      </c>
      <c r="E22" s="93">
        <v>43280</v>
      </c>
      <c r="F22" s="92">
        <v>53500</v>
      </c>
      <c r="G22" s="92">
        <v>29</v>
      </c>
      <c r="H22" s="92">
        <v>7.9452054794520555E-2</v>
      </c>
      <c r="I22" s="92">
        <v>0</v>
      </c>
      <c r="J22" s="92">
        <v>0.12</v>
      </c>
      <c r="K22" s="92">
        <v>115.41411183967375</v>
      </c>
      <c r="L22" s="92">
        <v>30</v>
      </c>
      <c r="M22" s="92">
        <v>12.275342465753425</v>
      </c>
      <c r="N22" s="99">
        <v>103.13876937392033</v>
      </c>
      <c r="O22" s="92">
        <v>51500</v>
      </c>
      <c r="P22" s="92" t="s">
        <v>39</v>
      </c>
      <c r="Q22" s="92">
        <v>1</v>
      </c>
      <c r="R22" s="92" t="s">
        <v>151</v>
      </c>
    </row>
    <row r="23" spans="2:32" x14ac:dyDescent="0.15">
      <c r="B23" s="91" t="s">
        <v>2</v>
      </c>
      <c r="C23" s="33" t="s">
        <v>181</v>
      </c>
      <c r="D23" s="33" t="s">
        <v>180</v>
      </c>
      <c r="E23" s="33" t="s">
        <v>10</v>
      </c>
      <c r="F23" s="33" t="s">
        <v>184</v>
      </c>
      <c r="G23" s="33" t="s">
        <v>11</v>
      </c>
      <c r="H23" s="33" t="s">
        <v>12</v>
      </c>
      <c r="I23" s="33" t="s">
        <v>47</v>
      </c>
      <c r="J23" s="33" t="s">
        <v>13</v>
      </c>
      <c r="K23" s="33" t="s">
        <v>14</v>
      </c>
      <c r="L23" s="33" t="s">
        <v>26</v>
      </c>
      <c r="M23" s="33" t="s">
        <v>28</v>
      </c>
      <c r="N23" s="33" t="s">
        <v>182</v>
      </c>
      <c r="O23" s="33" t="s">
        <v>8</v>
      </c>
      <c r="P23" s="33" t="s">
        <v>23</v>
      </c>
      <c r="Q23" s="33"/>
      <c r="R23" s="33" t="s">
        <v>30</v>
      </c>
    </row>
    <row r="24" spans="2:32" x14ac:dyDescent="0.15">
      <c r="B24" s="92" t="s">
        <v>160</v>
      </c>
      <c r="C24" s="92" t="s">
        <v>229</v>
      </c>
      <c r="D24" s="93">
        <v>43251</v>
      </c>
      <c r="E24" s="93">
        <v>43294</v>
      </c>
      <c r="F24" s="92">
        <v>14500</v>
      </c>
      <c r="G24" s="92">
        <v>43</v>
      </c>
      <c r="H24" s="92">
        <v>0.11780821917808219</v>
      </c>
      <c r="I24" s="92">
        <v>0</v>
      </c>
      <c r="J24" s="92">
        <v>0.1275</v>
      </c>
      <c r="K24" s="92">
        <v>170.57397244306321</v>
      </c>
      <c r="L24" s="92"/>
      <c r="M24" s="92">
        <v>0</v>
      </c>
      <c r="N24" s="99">
        <v>170.57397244306321</v>
      </c>
      <c r="O24" s="92">
        <v>14690</v>
      </c>
      <c r="P24" s="92" t="s">
        <v>85</v>
      </c>
      <c r="Q24" s="92">
        <v>1</v>
      </c>
      <c r="R24" s="92" t="s">
        <v>151</v>
      </c>
    </row>
    <row r="26" spans="2:32" x14ac:dyDescent="0.15">
      <c r="B26" s="91" t="s">
        <v>2</v>
      </c>
      <c r="C26" s="33" t="s">
        <v>181</v>
      </c>
      <c r="D26" s="33" t="s">
        <v>180</v>
      </c>
      <c r="E26" s="33" t="s">
        <v>10</v>
      </c>
      <c r="F26" s="33" t="s">
        <v>184</v>
      </c>
      <c r="G26" s="33" t="s">
        <v>11</v>
      </c>
      <c r="H26" s="33" t="s">
        <v>12</v>
      </c>
      <c r="I26" s="33" t="s">
        <v>47</v>
      </c>
      <c r="J26" s="33" t="s">
        <v>13</v>
      </c>
      <c r="K26" s="33" t="s">
        <v>14</v>
      </c>
      <c r="L26" s="33" t="s">
        <v>26</v>
      </c>
      <c r="M26" s="33" t="s">
        <v>28</v>
      </c>
      <c r="N26" s="33" t="s">
        <v>182</v>
      </c>
      <c r="O26" s="33" t="s">
        <v>8</v>
      </c>
      <c r="P26" s="33" t="s">
        <v>23</v>
      </c>
      <c r="Q26" s="33"/>
      <c r="R26" s="33" t="s">
        <v>30</v>
      </c>
    </row>
    <row r="27" spans="2:32" x14ac:dyDescent="0.15">
      <c r="B27" s="92" t="s">
        <v>160</v>
      </c>
      <c r="C27" s="92" t="s">
        <v>242</v>
      </c>
      <c r="D27" s="93">
        <v>43255</v>
      </c>
      <c r="E27" s="93">
        <v>43285</v>
      </c>
      <c r="F27" s="92">
        <v>500</v>
      </c>
      <c r="G27" s="92">
        <v>30</v>
      </c>
      <c r="H27" s="92">
        <v>8.2191780821917804E-2</v>
      </c>
      <c r="I27" s="92">
        <v>0</v>
      </c>
      <c r="J27" s="92">
        <v>0.35</v>
      </c>
      <c r="K27" s="92">
        <v>-45.006856166576028</v>
      </c>
      <c r="L27" s="92"/>
      <c r="M27" s="92">
        <v>0</v>
      </c>
      <c r="N27" s="99">
        <v>45.006856166576028</v>
      </c>
      <c r="O27" s="92">
        <v>460.5</v>
      </c>
      <c r="P27" s="92" t="s">
        <v>85</v>
      </c>
      <c r="Q27" s="92">
        <v>-1</v>
      </c>
      <c r="R27" s="92" t="s">
        <v>20</v>
      </c>
    </row>
    <row r="28" spans="2:32" x14ac:dyDescent="0.15">
      <c r="B28" s="92" t="s">
        <v>160</v>
      </c>
      <c r="C28" s="92" t="s">
        <v>242</v>
      </c>
      <c r="D28" s="93">
        <v>43255</v>
      </c>
      <c r="E28" s="93">
        <v>43285</v>
      </c>
      <c r="F28" s="92">
        <v>500</v>
      </c>
      <c r="G28" s="92">
        <v>30</v>
      </c>
      <c r="H28" s="92">
        <v>8.2191780821917804E-2</v>
      </c>
      <c r="I28" s="92">
        <v>0</v>
      </c>
      <c r="J28" s="92">
        <v>0.35</v>
      </c>
      <c r="K28" s="92">
        <v>-5.5717343342945043</v>
      </c>
      <c r="L28" s="92"/>
      <c r="M28" s="92">
        <v>0</v>
      </c>
      <c r="N28" s="99">
        <v>5.5717343342945043</v>
      </c>
      <c r="O28" s="92">
        <v>460.5</v>
      </c>
      <c r="P28" s="92" t="s">
        <v>39</v>
      </c>
      <c r="Q28" s="92">
        <v>-1</v>
      </c>
      <c r="R28" s="92" t="s">
        <v>20</v>
      </c>
    </row>
    <row r="29" spans="2:32" x14ac:dyDescent="0.15">
      <c r="B29" s="91" t="s">
        <v>2</v>
      </c>
      <c r="C29" s="33" t="s">
        <v>181</v>
      </c>
      <c r="D29" s="33" t="s">
        <v>180</v>
      </c>
      <c r="E29" s="33" t="s">
        <v>10</v>
      </c>
      <c r="F29" s="33" t="s">
        <v>184</v>
      </c>
      <c r="G29" s="33" t="s">
        <v>11</v>
      </c>
      <c r="H29" s="33" t="s">
        <v>12</v>
      </c>
      <c r="I29" s="33" t="s">
        <v>47</v>
      </c>
      <c r="J29" s="33" t="s">
        <v>13</v>
      </c>
      <c r="K29" s="33" t="s">
        <v>14</v>
      </c>
      <c r="L29" s="33" t="s">
        <v>26</v>
      </c>
      <c r="M29" s="33" t="s">
        <v>28</v>
      </c>
      <c r="N29" s="33" t="s">
        <v>182</v>
      </c>
      <c r="O29" s="33" t="s">
        <v>8</v>
      </c>
      <c r="P29" s="92" t="s">
        <v>23</v>
      </c>
      <c r="Q29" s="92"/>
      <c r="R29" s="93" t="s">
        <v>30</v>
      </c>
      <c r="S29" s="93"/>
      <c r="T29" s="92"/>
      <c r="U29" s="92"/>
      <c r="V29" s="92"/>
      <c r="W29" s="92"/>
      <c r="X29" s="92"/>
      <c r="Y29" s="92"/>
      <c r="Z29" s="92"/>
      <c r="AA29" s="92"/>
      <c r="AB29" s="99"/>
      <c r="AC29" s="92"/>
      <c r="AD29" s="92"/>
      <c r="AE29" s="92"/>
      <c r="AF29" s="92"/>
    </row>
    <row r="30" spans="2:32" x14ac:dyDescent="0.15">
      <c r="B30" s="92" t="s">
        <v>160</v>
      </c>
      <c r="C30" s="92" t="s">
        <v>244</v>
      </c>
      <c r="D30" s="93">
        <v>43255</v>
      </c>
      <c r="E30" s="93">
        <v>43285</v>
      </c>
      <c r="F30" s="92">
        <v>9000</v>
      </c>
      <c r="G30" s="92">
        <v>30</v>
      </c>
      <c r="H30" s="92">
        <v>8.2191780821917804E-2</v>
      </c>
      <c r="I30" s="92">
        <v>0</v>
      </c>
      <c r="J30" s="92">
        <v>0.31</v>
      </c>
      <c r="K30" s="92">
        <v>-180.66464906178908</v>
      </c>
      <c r="L30" s="92"/>
      <c r="M30" s="92">
        <v>0</v>
      </c>
      <c r="N30" s="99">
        <v>180.66464906178908</v>
      </c>
      <c r="O30" s="92">
        <v>9346</v>
      </c>
      <c r="P30" s="92" t="s">
        <v>85</v>
      </c>
      <c r="Q30" s="92">
        <v>-1</v>
      </c>
      <c r="R30" s="92" t="s">
        <v>20</v>
      </c>
    </row>
    <row r="31" spans="2:32" x14ac:dyDescent="0.15">
      <c r="B31" s="92" t="s">
        <v>160</v>
      </c>
      <c r="C31" s="92" t="s">
        <v>244</v>
      </c>
      <c r="D31" s="93">
        <v>43255</v>
      </c>
      <c r="E31" s="93">
        <v>43316</v>
      </c>
      <c r="F31" s="92">
        <v>9000</v>
      </c>
      <c r="G31" s="92">
        <v>61</v>
      </c>
      <c r="H31" s="92">
        <v>0.16712328767123288</v>
      </c>
      <c r="I31" s="92">
        <v>0</v>
      </c>
      <c r="J31" s="92">
        <v>0.31</v>
      </c>
      <c r="K31" s="92">
        <v>-309.77408623978454</v>
      </c>
      <c r="L31" s="92"/>
      <c r="M31" s="92">
        <v>0</v>
      </c>
      <c r="N31" s="99">
        <v>309.77408623978454</v>
      </c>
      <c r="O31" s="92">
        <v>9346</v>
      </c>
      <c r="P31" s="92" t="s">
        <v>85</v>
      </c>
      <c r="Q31" s="92">
        <v>-1</v>
      </c>
      <c r="R31" s="92" t="s">
        <v>20</v>
      </c>
    </row>
    <row r="32" spans="2:32" x14ac:dyDescent="0.15">
      <c r="B32" s="91" t="s">
        <v>2</v>
      </c>
      <c r="C32" s="33" t="s">
        <v>181</v>
      </c>
      <c r="D32" s="33" t="s">
        <v>180</v>
      </c>
      <c r="E32" s="33" t="s">
        <v>10</v>
      </c>
      <c r="F32" s="33" t="s">
        <v>184</v>
      </c>
      <c r="G32" s="33" t="s">
        <v>11</v>
      </c>
      <c r="H32" s="33" t="s">
        <v>12</v>
      </c>
      <c r="I32" s="33" t="s">
        <v>47</v>
      </c>
      <c r="J32" s="33" t="s">
        <v>13</v>
      </c>
      <c r="K32" s="33" t="s">
        <v>14</v>
      </c>
      <c r="L32" s="33" t="s">
        <v>26</v>
      </c>
      <c r="M32" s="33" t="s">
        <v>28</v>
      </c>
      <c r="N32" s="33" t="s">
        <v>182</v>
      </c>
      <c r="O32" s="33" t="s">
        <v>8</v>
      </c>
      <c r="P32" s="33" t="s">
        <v>23</v>
      </c>
      <c r="Q32" s="33"/>
      <c r="R32" s="33" t="s">
        <v>30</v>
      </c>
    </row>
    <row r="33" spans="2:18" hidden="1" x14ac:dyDescent="0.15">
      <c r="B33" s="92" t="s">
        <v>160</v>
      </c>
      <c r="C33" s="92" t="s">
        <v>230</v>
      </c>
      <c r="D33" s="93">
        <v>43256</v>
      </c>
      <c r="E33" s="93">
        <v>43280</v>
      </c>
      <c r="F33" s="92">
        <v>52230</v>
      </c>
      <c r="G33" s="92">
        <v>24</v>
      </c>
      <c r="H33" s="92">
        <v>6.575342465753424E-2</v>
      </c>
      <c r="I33" s="92">
        <v>0</v>
      </c>
      <c r="J33" s="92">
        <v>0.1275</v>
      </c>
      <c r="K33" s="92">
        <v>190.50384453499828</v>
      </c>
      <c r="L33" s="92">
        <v>30</v>
      </c>
      <c r="M33" s="92">
        <v>10.592876712328767</v>
      </c>
      <c r="N33" s="99">
        <v>179.91096782266951</v>
      </c>
      <c r="O33" s="92">
        <v>53700</v>
      </c>
      <c r="P33" s="92" t="s">
        <v>85</v>
      </c>
      <c r="Q33" s="92">
        <v>1</v>
      </c>
      <c r="R33" s="92" t="s">
        <v>151</v>
      </c>
    </row>
    <row r="34" spans="2:18" x14ac:dyDescent="0.15">
      <c r="B34" s="92" t="s">
        <v>160</v>
      </c>
      <c r="C34" s="92" t="s">
        <v>249</v>
      </c>
      <c r="D34" s="93">
        <v>43256</v>
      </c>
      <c r="E34" s="93">
        <v>43286</v>
      </c>
      <c r="F34" s="92">
        <v>19950</v>
      </c>
      <c r="G34" s="92">
        <v>30</v>
      </c>
      <c r="H34" s="92">
        <v>8.2191780821917804E-2</v>
      </c>
      <c r="I34" s="92">
        <v>0</v>
      </c>
      <c r="J34" s="92">
        <v>0.28999999999999998</v>
      </c>
      <c r="K34" s="92">
        <v>-79.390863783723262</v>
      </c>
      <c r="L34" s="92"/>
      <c r="M34" s="92">
        <v>0</v>
      </c>
      <c r="N34" s="99">
        <v>79.390863783723262</v>
      </c>
      <c r="O34" s="92">
        <v>17980</v>
      </c>
      <c r="P34" s="92" t="s">
        <v>39</v>
      </c>
      <c r="Q34" s="92">
        <v>-1</v>
      </c>
      <c r="R34" s="92" t="s">
        <v>20</v>
      </c>
    </row>
    <row r="35" spans="2:18" ht="12" thickBot="1" x14ac:dyDescent="0.2">
      <c r="B35" s="121" t="s">
        <v>2</v>
      </c>
      <c r="C35" s="122" t="s">
        <v>181</v>
      </c>
      <c r="D35" s="122" t="s">
        <v>180</v>
      </c>
      <c r="E35" s="122" t="s">
        <v>10</v>
      </c>
      <c r="F35" s="122" t="s">
        <v>184</v>
      </c>
      <c r="G35" s="122" t="s">
        <v>11</v>
      </c>
      <c r="H35" s="122" t="s">
        <v>12</v>
      </c>
      <c r="I35" s="122" t="s">
        <v>47</v>
      </c>
      <c r="J35" s="122" t="s">
        <v>13</v>
      </c>
      <c r="K35" s="122" t="s">
        <v>14</v>
      </c>
      <c r="L35" s="122" t="s">
        <v>26</v>
      </c>
      <c r="M35" s="122" t="s">
        <v>28</v>
      </c>
      <c r="N35" s="122" t="s">
        <v>182</v>
      </c>
      <c r="O35" s="122" t="s">
        <v>8</v>
      </c>
      <c r="P35" s="122" t="s">
        <v>23</v>
      </c>
      <c r="Q35" s="122"/>
      <c r="R35" s="122" t="s">
        <v>30</v>
      </c>
    </row>
    <row r="36" spans="2:18" x14ac:dyDescent="0.15">
      <c r="B36" s="123" t="s">
        <v>160</v>
      </c>
      <c r="C36" s="124" t="s">
        <v>250</v>
      </c>
      <c r="D36" s="125">
        <v>43256</v>
      </c>
      <c r="E36" s="125">
        <v>43285</v>
      </c>
      <c r="F36" s="124">
        <v>100</v>
      </c>
      <c r="G36" s="124">
        <v>29</v>
      </c>
      <c r="H36" s="124">
        <v>7.9452054794520555E-2</v>
      </c>
      <c r="I36" s="124">
        <v>0</v>
      </c>
      <c r="J36" s="124">
        <v>0.09</v>
      </c>
      <c r="K36" s="124">
        <v>1.0104233752708041</v>
      </c>
      <c r="L36" s="124"/>
      <c r="M36" s="124">
        <v>0</v>
      </c>
      <c r="N36" s="126">
        <v>1.0104233752708041</v>
      </c>
      <c r="O36" s="124">
        <v>100</v>
      </c>
      <c r="P36" s="124" t="s">
        <v>39</v>
      </c>
      <c r="Q36" s="124">
        <v>1</v>
      </c>
      <c r="R36" s="127" t="s">
        <v>151</v>
      </c>
    </row>
    <row r="37" spans="2:18" ht="12" thickBot="1" x14ac:dyDescent="0.2">
      <c r="B37" s="128" t="s">
        <v>160</v>
      </c>
      <c r="C37" s="129" t="s">
        <v>250</v>
      </c>
      <c r="D37" s="130">
        <v>43256</v>
      </c>
      <c r="E37" s="130">
        <v>43313</v>
      </c>
      <c r="F37" s="129">
        <v>100</v>
      </c>
      <c r="G37" s="129">
        <v>57</v>
      </c>
      <c r="H37" s="129">
        <v>0.15616438356164383</v>
      </c>
      <c r="I37" s="129">
        <v>0</v>
      </c>
      <c r="J37" s="129">
        <v>9.5000000000000001E-2</v>
      </c>
      <c r="K37" s="129">
        <v>1.492941316345636</v>
      </c>
      <c r="L37" s="129"/>
      <c r="M37" s="129">
        <v>0</v>
      </c>
      <c r="N37" s="131">
        <v>1.492941316345636</v>
      </c>
      <c r="O37" s="129">
        <v>100</v>
      </c>
      <c r="P37" s="129" t="s">
        <v>39</v>
      </c>
      <c r="Q37" s="129">
        <v>1</v>
      </c>
      <c r="R37" s="132" t="s">
        <v>151</v>
      </c>
    </row>
    <row r="38" spans="2:18" x14ac:dyDescent="0.15">
      <c r="B38" s="123" t="s">
        <v>160</v>
      </c>
      <c r="C38" s="124" t="s">
        <v>251</v>
      </c>
      <c r="D38" s="125">
        <v>43256</v>
      </c>
      <c r="E38" s="125">
        <v>43285</v>
      </c>
      <c r="F38" s="124">
        <v>100</v>
      </c>
      <c r="G38" s="124">
        <v>29</v>
      </c>
      <c r="H38" s="124">
        <v>7.9452054794520555E-2</v>
      </c>
      <c r="I38" s="124">
        <v>0</v>
      </c>
      <c r="J38" s="124">
        <v>0.20499999999999999</v>
      </c>
      <c r="K38" s="124">
        <v>2.3012614610915776</v>
      </c>
      <c r="L38" s="124"/>
      <c r="M38" s="124">
        <v>0</v>
      </c>
      <c r="N38" s="126">
        <v>2.3012614610915776</v>
      </c>
      <c r="O38" s="124">
        <v>100</v>
      </c>
      <c r="P38" s="124" t="s">
        <v>39</v>
      </c>
      <c r="Q38" s="124">
        <v>1</v>
      </c>
      <c r="R38" s="127" t="s">
        <v>151</v>
      </c>
    </row>
    <row r="39" spans="2:18" ht="12" thickBot="1" x14ac:dyDescent="0.2">
      <c r="B39" s="128" t="s">
        <v>160</v>
      </c>
      <c r="C39" s="129" t="s">
        <v>251</v>
      </c>
      <c r="D39" s="130">
        <v>43256</v>
      </c>
      <c r="E39" s="130">
        <v>43313</v>
      </c>
      <c r="F39" s="129">
        <v>100</v>
      </c>
      <c r="G39" s="129">
        <v>57</v>
      </c>
      <c r="H39" s="129">
        <v>0.15616438356164383</v>
      </c>
      <c r="I39" s="129">
        <v>0</v>
      </c>
      <c r="J39" s="129">
        <v>0.20499999999999999</v>
      </c>
      <c r="K39" s="129">
        <v>3.2209186115487185</v>
      </c>
      <c r="L39" s="129"/>
      <c r="M39" s="129">
        <v>0</v>
      </c>
      <c r="N39" s="131">
        <v>3.2209186115487185</v>
      </c>
      <c r="O39" s="129">
        <v>100</v>
      </c>
      <c r="P39" s="129" t="s">
        <v>39</v>
      </c>
      <c r="Q39" s="129">
        <v>1</v>
      </c>
      <c r="R39" s="132" t="s">
        <v>151</v>
      </c>
    </row>
    <row r="40" spans="2:18" x14ac:dyDescent="0.15">
      <c r="B40" s="123" t="s">
        <v>160</v>
      </c>
      <c r="C40" s="124" t="s">
        <v>252</v>
      </c>
      <c r="D40" s="125">
        <v>43256</v>
      </c>
      <c r="E40" s="125">
        <v>43285</v>
      </c>
      <c r="F40" s="124">
        <v>100</v>
      </c>
      <c r="G40" s="124">
        <v>29</v>
      </c>
      <c r="H40" s="124">
        <v>7.9452054794520555E-2</v>
      </c>
      <c r="I40" s="124">
        <v>0</v>
      </c>
      <c r="J40" s="124">
        <v>0.125</v>
      </c>
      <c r="K40" s="124">
        <v>1.403330840532206</v>
      </c>
      <c r="L40" s="124"/>
      <c r="M40" s="124">
        <v>0</v>
      </c>
      <c r="N40" s="126">
        <v>1.403330840532206</v>
      </c>
      <c r="O40" s="124">
        <v>100</v>
      </c>
      <c r="P40" s="124" t="s">
        <v>39</v>
      </c>
      <c r="Q40" s="124">
        <v>1</v>
      </c>
      <c r="R40" s="127" t="s">
        <v>151</v>
      </c>
    </row>
    <row r="41" spans="2:18" x14ac:dyDescent="0.15">
      <c r="B41" s="133" t="s">
        <v>160</v>
      </c>
      <c r="C41" s="134" t="s">
        <v>252</v>
      </c>
      <c r="D41" s="135">
        <v>43256</v>
      </c>
      <c r="E41" s="135">
        <v>43285</v>
      </c>
      <c r="F41" s="134">
        <v>100</v>
      </c>
      <c r="G41" s="134">
        <v>29</v>
      </c>
      <c r="H41" s="134">
        <v>7.9452054794520555E-2</v>
      </c>
      <c r="I41" s="134">
        <v>0</v>
      </c>
      <c r="J41" s="134">
        <v>0.17499999999999999</v>
      </c>
      <c r="K41" s="134">
        <v>-1.9645656248129484</v>
      </c>
      <c r="L41" s="134"/>
      <c r="M41" s="134">
        <v>0</v>
      </c>
      <c r="N41" s="136">
        <v>1.9645656248129484</v>
      </c>
      <c r="O41" s="134">
        <v>100</v>
      </c>
      <c r="P41" s="134" t="s">
        <v>39</v>
      </c>
      <c r="Q41" s="134">
        <v>-1</v>
      </c>
      <c r="R41" s="137" t="s">
        <v>20</v>
      </c>
    </row>
    <row r="42" spans="2:18" x14ac:dyDescent="0.15">
      <c r="B42" s="133" t="s">
        <v>160</v>
      </c>
      <c r="C42" s="134" t="s">
        <v>252</v>
      </c>
      <c r="D42" s="135">
        <v>43256</v>
      </c>
      <c r="E42" s="135">
        <v>43313</v>
      </c>
      <c r="F42" s="134">
        <v>100</v>
      </c>
      <c r="G42" s="134">
        <v>57</v>
      </c>
      <c r="H42" s="134">
        <v>0.15616438356164383</v>
      </c>
      <c r="I42" s="134">
        <v>0</v>
      </c>
      <c r="J42" s="134">
        <v>0.13500000000000001</v>
      </c>
      <c r="K42" s="134">
        <v>2.1214211969258798</v>
      </c>
      <c r="L42" s="134"/>
      <c r="M42" s="134">
        <v>0</v>
      </c>
      <c r="N42" s="136">
        <v>2.1214211969258798</v>
      </c>
      <c r="O42" s="134">
        <v>100</v>
      </c>
      <c r="P42" s="134" t="s">
        <v>39</v>
      </c>
      <c r="Q42" s="134">
        <v>1</v>
      </c>
      <c r="R42" s="137" t="s">
        <v>151</v>
      </c>
    </row>
    <row r="43" spans="2:18" ht="12" thickBot="1" x14ac:dyDescent="0.2">
      <c r="B43" s="128" t="s">
        <v>160</v>
      </c>
      <c r="C43" s="129" t="s">
        <v>252</v>
      </c>
      <c r="D43" s="130">
        <v>43256</v>
      </c>
      <c r="E43" s="130">
        <v>43313</v>
      </c>
      <c r="F43" s="129">
        <v>100</v>
      </c>
      <c r="G43" s="129">
        <v>57</v>
      </c>
      <c r="H43" s="129">
        <v>0.15616438356164383</v>
      </c>
      <c r="I43" s="129">
        <v>0</v>
      </c>
      <c r="J43" s="129">
        <v>0.19</v>
      </c>
      <c r="K43" s="129">
        <v>-2.9853567090553241</v>
      </c>
      <c r="L43" s="129"/>
      <c r="M43" s="129">
        <v>0</v>
      </c>
      <c r="N43" s="131">
        <v>2.9853567090553241</v>
      </c>
      <c r="O43" s="129">
        <v>100</v>
      </c>
      <c r="P43" s="129" t="s">
        <v>39</v>
      </c>
      <c r="Q43" s="129">
        <v>-1</v>
      </c>
      <c r="R43" s="132" t="s">
        <v>20</v>
      </c>
    </row>
    <row r="44" spans="2:18" x14ac:dyDescent="0.15">
      <c r="B44" s="123" t="s">
        <v>160</v>
      </c>
      <c r="C44" s="124" t="s">
        <v>253</v>
      </c>
      <c r="D44" s="125">
        <v>43256</v>
      </c>
      <c r="E44" s="125">
        <v>43285</v>
      </c>
      <c r="F44" s="124">
        <v>100</v>
      </c>
      <c r="G44" s="124">
        <v>29</v>
      </c>
      <c r="H44" s="124">
        <v>7.9452054794520555E-2</v>
      </c>
      <c r="I44" s="124">
        <v>0</v>
      </c>
      <c r="J44" s="124">
        <v>0.215</v>
      </c>
      <c r="K44" s="124">
        <v>2.4134845640644613</v>
      </c>
      <c r="L44" s="124"/>
      <c r="M44" s="124">
        <v>0</v>
      </c>
      <c r="N44" s="126">
        <v>2.4134845640644613</v>
      </c>
      <c r="O44" s="124">
        <v>100</v>
      </c>
      <c r="P44" s="124" t="s">
        <v>39</v>
      </c>
      <c r="Q44" s="124">
        <v>1</v>
      </c>
      <c r="R44" s="127" t="s">
        <v>151</v>
      </c>
    </row>
    <row r="45" spans="2:18" ht="12" thickBot="1" x14ac:dyDescent="0.2">
      <c r="B45" s="128" t="s">
        <v>160</v>
      </c>
      <c r="C45" s="129" t="s">
        <v>253</v>
      </c>
      <c r="D45" s="130">
        <v>43256</v>
      </c>
      <c r="E45" s="130">
        <v>43285</v>
      </c>
      <c r="F45" s="129">
        <v>100</v>
      </c>
      <c r="G45" s="129">
        <v>29</v>
      </c>
      <c r="H45" s="129">
        <v>7.9452054794520555E-2</v>
      </c>
      <c r="I45" s="129">
        <v>0</v>
      </c>
      <c r="J45" s="129">
        <v>0.28499999999999998</v>
      </c>
      <c r="K45" s="129">
        <v>-3.1988996284107571</v>
      </c>
      <c r="L45" s="129"/>
      <c r="M45" s="129">
        <v>0</v>
      </c>
      <c r="N45" s="131">
        <v>3.1988996284107571</v>
      </c>
      <c r="O45" s="129">
        <v>100</v>
      </c>
      <c r="P45" s="129" t="s">
        <v>39</v>
      </c>
      <c r="Q45" s="129">
        <v>-1</v>
      </c>
      <c r="R45" s="132" t="s">
        <v>20</v>
      </c>
    </row>
    <row r="46" spans="2:18" x14ac:dyDescent="0.15">
      <c r="B46" s="123" t="s">
        <v>160</v>
      </c>
      <c r="C46" s="124" t="s">
        <v>254</v>
      </c>
      <c r="D46" s="125">
        <v>43256</v>
      </c>
      <c r="E46" s="125">
        <v>43285</v>
      </c>
      <c r="F46" s="124">
        <v>100</v>
      </c>
      <c r="G46" s="124">
        <v>29</v>
      </c>
      <c r="H46" s="124">
        <v>7.9452054794520555E-2</v>
      </c>
      <c r="I46" s="124">
        <v>0</v>
      </c>
      <c r="J46" s="124">
        <v>0.20499999999999999</v>
      </c>
      <c r="K46" s="124">
        <v>2.3012614610915776</v>
      </c>
      <c r="L46" s="124"/>
      <c r="M46" s="124">
        <v>0</v>
      </c>
      <c r="N46" s="126">
        <v>2.3012614610915776</v>
      </c>
      <c r="O46" s="124">
        <v>100</v>
      </c>
      <c r="P46" s="124" t="s">
        <v>39</v>
      </c>
      <c r="Q46" s="124">
        <v>1</v>
      </c>
      <c r="R46" s="127" t="s">
        <v>151</v>
      </c>
    </row>
    <row r="47" spans="2:18" ht="12" thickBot="1" x14ac:dyDescent="0.2">
      <c r="B47" s="128" t="s">
        <v>160</v>
      </c>
      <c r="C47" s="129" t="s">
        <v>254</v>
      </c>
      <c r="D47" s="130">
        <v>43256</v>
      </c>
      <c r="E47" s="130">
        <v>43285</v>
      </c>
      <c r="F47" s="129">
        <v>100</v>
      </c>
      <c r="G47" s="129">
        <v>29</v>
      </c>
      <c r="H47" s="129">
        <v>7.9452054794520555E-2</v>
      </c>
      <c r="I47" s="129">
        <v>0</v>
      </c>
      <c r="J47" s="129">
        <v>0.27500000000000002</v>
      </c>
      <c r="K47" s="129">
        <v>-3.0867147477978421</v>
      </c>
      <c r="L47" s="129"/>
      <c r="M47" s="129">
        <v>0</v>
      </c>
      <c r="N47" s="131">
        <v>3.0867147477978421</v>
      </c>
      <c r="O47" s="129">
        <v>100</v>
      </c>
      <c r="P47" s="129" t="s">
        <v>39</v>
      </c>
      <c r="Q47" s="129">
        <v>-1</v>
      </c>
      <c r="R47" s="132" t="s">
        <v>20</v>
      </c>
    </row>
    <row r="48" spans="2:18" x14ac:dyDescent="0.15">
      <c r="B48" s="121" t="s">
        <v>2</v>
      </c>
      <c r="C48" s="122" t="s">
        <v>181</v>
      </c>
      <c r="D48" s="122" t="s">
        <v>180</v>
      </c>
      <c r="E48" s="122" t="s">
        <v>10</v>
      </c>
      <c r="F48" s="122" t="s">
        <v>184</v>
      </c>
      <c r="G48" s="122" t="s">
        <v>11</v>
      </c>
      <c r="H48" s="122" t="s">
        <v>12</v>
      </c>
      <c r="I48" s="122" t="s">
        <v>47</v>
      </c>
      <c r="J48" s="122" t="s">
        <v>13</v>
      </c>
      <c r="K48" s="122" t="s">
        <v>14</v>
      </c>
      <c r="L48" s="122" t="s">
        <v>26</v>
      </c>
      <c r="M48" s="122" t="s">
        <v>28</v>
      </c>
      <c r="N48" s="122" t="s">
        <v>182</v>
      </c>
      <c r="O48" s="122" t="s">
        <v>8</v>
      </c>
      <c r="P48" s="122" t="s">
        <v>23</v>
      </c>
      <c r="Q48" s="122"/>
      <c r="R48" s="122" t="s">
        <v>30</v>
      </c>
    </row>
    <row r="49" spans="2:18" x14ac:dyDescent="0.15">
      <c r="B49" s="92" t="s">
        <v>160</v>
      </c>
      <c r="C49" s="92" t="s">
        <v>249</v>
      </c>
      <c r="D49" s="93">
        <v>43257</v>
      </c>
      <c r="E49" s="93">
        <v>43287</v>
      </c>
      <c r="F49" s="92">
        <v>19910</v>
      </c>
      <c r="G49" s="92">
        <v>30</v>
      </c>
      <c r="H49" s="92">
        <v>8.2191780821917804E-2</v>
      </c>
      <c r="I49" s="92">
        <v>0</v>
      </c>
      <c r="J49" s="92">
        <v>0.33</v>
      </c>
      <c r="K49" s="92">
        <v>-79.835967339276294</v>
      </c>
      <c r="L49" s="92"/>
      <c r="M49" s="92">
        <v>0</v>
      </c>
      <c r="N49" s="99">
        <v>80</v>
      </c>
      <c r="O49" s="92">
        <v>17600</v>
      </c>
      <c r="P49" s="92" t="s">
        <v>39</v>
      </c>
      <c r="Q49" s="92">
        <v>-1</v>
      </c>
      <c r="R49" s="92" t="s">
        <v>20</v>
      </c>
    </row>
  </sheetData>
  <mergeCells count="1">
    <mergeCell ref="B1:D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1:Y90"/>
  <sheetViews>
    <sheetView topLeftCell="F1" zoomScale="115" zoomScaleNormal="115" workbookViewId="0">
      <pane ySplit="17" topLeftCell="A67" activePane="bottomLeft" state="frozen"/>
      <selection pane="bottomLeft" activeCell="K97" sqref="K97"/>
    </sheetView>
  </sheetViews>
  <sheetFormatPr defaultColWidth="9" defaultRowHeight="10.5" x14ac:dyDescent="0.15"/>
  <cols>
    <col min="1" max="3" width="9" style="100"/>
    <col min="4" max="4" width="9" style="100" customWidth="1"/>
    <col min="5" max="7" width="9" style="100"/>
    <col min="8" max="8" width="9.625" style="100" customWidth="1"/>
    <col min="9" max="9" width="9" style="100"/>
    <col min="10" max="10" width="9.25" style="100" customWidth="1"/>
    <col min="11" max="16384" width="9" style="100"/>
  </cols>
  <sheetData>
    <row r="1" spans="2:20" ht="11.25" thickBot="1" x14ac:dyDescent="0.2">
      <c r="B1" s="158" t="s">
        <v>118</v>
      </c>
      <c r="C1" s="158"/>
    </row>
    <row r="2" spans="2:20" ht="11.25" thickTop="1" x14ac:dyDescent="0.15"/>
    <row r="3" spans="2:20" ht="11.25" thickBot="1" x14ac:dyDescent="0.2">
      <c r="B3" s="157" t="s">
        <v>119</v>
      </c>
      <c r="C3" s="157"/>
      <c r="D3" s="157"/>
      <c r="E3" s="157"/>
      <c r="G3" s="156" t="s">
        <v>120</v>
      </c>
      <c r="H3" s="156"/>
      <c r="I3" s="156"/>
      <c r="J3" s="156"/>
      <c r="L3" s="157" t="s">
        <v>165</v>
      </c>
      <c r="M3" s="157"/>
      <c r="N3" s="157"/>
      <c r="O3" s="157"/>
      <c r="Q3" s="156" t="s">
        <v>166</v>
      </c>
      <c r="R3" s="156"/>
      <c r="S3" s="156"/>
      <c r="T3" s="156"/>
    </row>
    <row r="4" spans="2:20" ht="12" thickTop="1" thickBot="1" x14ac:dyDescent="0.2">
      <c r="B4" s="149" t="s">
        <v>121</v>
      </c>
      <c r="C4" s="149"/>
      <c r="D4" s="149"/>
      <c r="E4" s="149"/>
      <c r="G4" s="149" t="s">
        <v>34</v>
      </c>
      <c r="H4" s="149"/>
      <c r="I4" s="149"/>
      <c r="J4" s="149"/>
      <c r="L4" s="149" t="s">
        <v>121</v>
      </c>
      <c r="M4" s="149"/>
      <c r="N4" s="149"/>
      <c r="O4" s="149"/>
      <c r="Q4" s="149" t="s">
        <v>34</v>
      </c>
      <c r="R4" s="149"/>
      <c r="S4" s="149"/>
      <c r="T4" s="149"/>
    </row>
    <row r="5" spans="2:20" ht="15" customHeight="1" thickTop="1" x14ac:dyDescent="0.15">
      <c r="B5" s="153" t="s">
        <v>122</v>
      </c>
      <c r="C5" s="153"/>
      <c r="D5" s="159"/>
      <c r="E5" s="160"/>
      <c r="G5" s="153" t="s">
        <v>123</v>
      </c>
      <c r="H5" s="153"/>
      <c r="I5" s="103"/>
      <c r="J5" s="104"/>
      <c r="L5" s="101" t="s">
        <v>122</v>
      </c>
      <c r="M5" s="102"/>
      <c r="N5" s="103"/>
      <c r="O5" s="104"/>
      <c r="Q5" s="153" t="s">
        <v>123</v>
      </c>
      <c r="R5" s="153"/>
      <c r="S5" s="103"/>
      <c r="T5" s="104"/>
    </row>
    <row r="6" spans="2:20" x14ac:dyDescent="0.15">
      <c r="B6" s="153" t="s">
        <v>124</v>
      </c>
      <c r="C6" s="153"/>
      <c r="D6" s="154" t="s">
        <v>125</v>
      </c>
      <c r="E6" s="155"/>
      <c r="G6" s="153" t="s">
        <v>126</v>
      </c>
      <c r="H6" s="153"/>
      <c r="I6" s="154"/>
      <c r="J6" s="155"/>
      <c r="L6" s="153" t="s">
        <v>124</v>
      </c>
      <c r="M6" s="153"/>
      <c r="N6" s="154" t="s">
        <v>125</v>
      </c>
      <c r="O6" s="155"/>
      <c r="Q6" s="153" t="s">
        <v>126</v>
      </c>
      <c r="R6" s="153"/>
      <c r="S6" s="154"/>
      <c r="T6" s="155"/>
    </row>
    <row r="7" spans="2:20" ht="2.25" customHeight="1" x14ac:dyDescent="0.15">
      <c r="B7" s="153" t="s">
        <v>127</v>
      </c>
      <c r="C7" s="153"/>
      <c r="D7" s="154" t="s">
        <v>125</v>
      </c>
      <c r="E7" s="155"/>
      <c r="G7" s="153" t="s">
        <v>128</v>
      </c>
      <c r="H7" s="153"/>
      <c r="I7" s="154"/>
      <c r="J7" s="155"/>
      <c r="L7" s="153" t="s">
        <v>127</v>
      </c>
      <c r="M7" s="153"/>
      <c r="N7" s="154" t="s">
        <v>125</v>
      </c>
      <c r="O7" s="155"/>
      <c r="Q7" s="153" t="s">
        <v>128</v>
      </c>
      <c r="R7" s="153"/>
      <c r="S7" s="154"/>
      <c r="T7" s="155"/>
    </row>
    <row r="8" spans="2:20" hidden="1" x14ac:dyDescent="0.15">
      <c r="B8" s="153" t="s">
        <v>129</v>
      </c>
      <c r="C8" s="153"/>
      <c r="D8" s="154">
        <f>D13*D15</f>
        <v>305000</v>
      </c>
      <c r="E8" s="155"/>
      <c r="G8" s="153" t="s">
        <v>130</v>
      </c>
      <c r="H8" s="153"/>
      <c r="I8" s="154"/>
      <c r="J8" s="155"/>
      <c r="L8" s="153" t="s">
        <v>129</v>
      </c>
      <c r="M8" s="153"/>
      <c r="N8" s="154">
        <f>N14*N16</f>
        <v>305000</v>
      </c>
      <c r="O8" s="155"/>
      <c r="Q8" s="153" t="s">
        <v>130</v>
      </c>
      <c r="R8" s="153"/>
      <c r="S8" s="154"/>
      <c r="T8" s="155"/>
    </row>
    <row r="9" spans="2:20" hidden="1" x14ac:dyDescent="0.15">
      <c r="B9" s="153" t="s">
        <v>131</v>
      </c>
      <c r="C9" s="153"/>
      <c r="D9" s="154" t="s">
        <v>132</v>
      </c>
      <c r="E9" s="155"/>
      <c r="G9" s="153" t="s">
        <v>133</v>
      </c>
      <c r="H9" s="153"/>
      <c r="I9" s="154"/>
      <c r="J9" s="155"/>
      <c r="L9" s="153" t="s">
        <v>131</v>
      </c>
      <c r="M9" s="153"/>
      <c r="N9" s="154" t="s">
        <v>132</v>
      </c>
      <c r="O9" s="155"/>
      <c r="Q9" s="153" t="s">
        <v>133</v>
      </c>
      <c r="R9" s="153"/>
      <c r="S9" s="154"/>
      <c r="T9" s="155"/>
    </row>
    <row r="10" spans="2:20" hidden="1" x14ac:dyDescent="0.15">
      <c r="B10" s="153" t="s">
        <v>134</v>
      </c>
      <c r="C10" s="153"/>
      <c r="D10" s="154">
        <v>43084</v>
      </c>
      <c r="E10" s="155"/>
      <c r="G10" s="105" t="s">
        <v>135</v>
      </c>
      <c r="H10" s="105"/>
      <c r="I10" s="154"/>
      <c r="J10" s="155"/>
      <c r="L10" s="153" t="s">
        <v>134</v>
      </c>
      <c r="M10" s="153"/>
      <c r="N10" s="154">
        <v>43084</v>
      </c>
      <c r="O10" s="155"/>
      <c r="Q10" s="105" t="s">
        <v>135</v>
      </c>
      <c r="R10" s="105"/>
      <c r="S10" s="154"/>
      <c r="T10" s="155"/>
    </row>
    <row r="11" spans="2:20" hidden="1" x14ac:dyDescent="0.15">
      <c r="B11" s="153" t="s">
        <v>136</v>
      </c>
      <c r="C11" s="153"/>
      <c r="D11" s="154">
        <v>3935</v>
      </c>
      <c r="E11" s="155"/>
      <c r="G11" s="153" t="s">
        <v>137</v>
      </c>
      <c r="H11" s="153"/>
      <c r="I11" s="154"/>
      <c r="J11" s="155"/>
      <c r="L11" s="153" t="s">
        <v>136</v>
      </c>
      <c r="M11" s="153"/>
      <c r="N11" s="154">
        <v>3935</v>
      </c>
      <c r="O11" s="155"/>
      <c r="Q11" s="153" t="s">
        <v>137</v>
      </c>
      <c r="R11" s="153"/>
      <c r="S11" s="154"/>
      <c r="T11" s="155"/>
    </row>
    <row r="12" spans="2:20" hidden="1" x14ac:dyDescent="0.15">
      <c r="B12" s="153" t="s">
        <v>138</v>
      </c>
      <c r="C12" s="153"/>
      <c r="D12" s="154">
        <v>3800</v>
      </c>
      <c r="E12" s="155"/>
      <c r="G12" s="153" t="s">
        <v>139</v>
      </c>
      <c r="H12" s="153"/>
      <c r="I12" s="154"/>
      <c r="J12" s="155"/>
      <c r="L12" s="153" t="s">
        <v>163</v>
      </c>
      <c r="M12" s="153"/>
      <c r="N12" s="154">
        <v>3800</v>
      </c>
      <c r="O12" s="155"/>
      <c r="Q12" s="153" t="s">
        <v>167</v>
      </c>
      <c r="R12" s="153"/>
      <c r="S12" s="154"/>
      <c r="T12" s="155"/>
    </row>
    <row r="13" spans="2:20" hidden="1" x14ac:dyDescent="0.15">
      <c r="B13" s="153" t="s">
        <v>140</v>
      </c>
      <c r="C13" s="153"/>
      <c r="D13" s="154">
        <v>61</v>
      </c>
      <c r="E13" s="155"/>
      <c r="G13" s="153" t="s">
        <v>141</v>
      </c>
      <c r="H13" s="153"/>
      <c r="I13" s="154"/>
      <c r="J13" s="155"/>
      <c r="L13" s="153" t="s">
        <v>164</v>
      </c>
      <c r="M13" s="153"/>
      <c r="N13" s="154">
        <v>3800</v>
      </c>
      <c r="O13" s="155"/>
      <c r="Q13" s="153" t="s">
        <v>168</v>
      </c>
      <c r="R13" s="153"/>
      <c r="S13" s="154"/>
      <c r="T13" s="155"/>
    </row>
    <row r="14" spans="2:20" hidden="1" x14ac:dyDescent="0.15">
      <c r="B14" s="153" t="s">
        <v>142</v>
      </c>
      <c r="C14" s="153"/>
      <c r="D14" s="154" t="s">
        <v>143</v>
      </c>
      <c r="E14" s="155"/>
      <c r="G14" s="153" t="s">
        <v>144</v>
      </c>
      <c r="H14" s="153"/>
      <c r="I14" s="106"/>
      <c r="J14" s="107"/>
      <c r="L14" s="153" t="s">
        <v>140</v>
      </c>
      <c r="M14" s="153"/>
      <c r="N14" s="154">
        <v>61</v>
      </c>
      <c r="O14" s="155"/>
      <c r="Q14" s="153" t="s">
        <v>141</v>
      </c>
      <c r="R14" s="153"/>
      <c r="S14" s="154"/>
      <c r="T14" s="155"/>
    </row>
    <row r="15" spans="2:20" hidden="1" x14ac:dyDescent="0.15">
      <c r="B15" s="153" t="s">
        <v>145</v>
      </c>
      <c r="C15" s="153"/>
      <c r="D15" s="154">
        <v>5000</v>
      </c>
      <c r="E15" s="155"/>
      <c r="G15" s="153" t="s">
        <v>146</v>
      </c>
      <c r="H15" s="153"/>
      <c r="I15" s="154"/>
      <c r="J15" s="155"/>
      <c r="L15" s="153" t="s">
        <v>142</v>
      </c>
      <c r="M15" s="153"/>
      <c r="N15" s="154" t="s">
        <v>143</v>
      </c>
      <c r="O15" s="155"/>
      <c r="Q15" s="153" t="s">
        <v>144</v>
      </c>
      <c r="R15" s="153"/>
      <c r="S15" s="106"/>
      <c r="T15" s="107"/>
    </row>
    <row r="16" spans="2:20" ht="11.25" hidden="1" thickBot="1" x14ac:dyDescent="0.2">
      <c r="B16" s="150" t="s">
        <v>147</v>
      </c>
      <c r="C16" s="150"/>
      <c r="D16" s="151" t="s">
        <v>148</v>
      </c>
      <c r="E16" s="152"/>
      <c r="G16" s="150" t="s">
        <v>149</v>
      </c>
      <c r="H16" s="150"/>
      <c r="I16" s="151"/>
      <c r="J16" s="152"/>
      <c r="L16" s="153" t="s">
        <v>145</v>
      </c>
      <c r="M16" s="153"/>
      <c r="N16" s="154">
        <v>5000</v>
      </c>
      <c r="O16" s="155"/>
      <c r="Q16" s="153" t="s">
        <v>146</v>
      </c>
      <c r="R16" s="153"/>
      <c r="S16" s="154"/>
      <c r="T16" s="155"/>
    </row>
    <row r="17" spans="2:25" ht="12" hidden="1" thickTop="1" thickBot="1" x14ac:dyDescent="0.2">
      <c r="L17" s="150" t="s">
        <v>147</v>
      </c>
      <c r="M17" s="150"/>
      <c r="N17" s="151" t="s">
        <v>148</v>
      </c>
      <c r="O17" s="152"/>
      <c r="Q17" s="150" t="s">
        <v>149</v>
      </c>
      <c r="R17" s="150"/>
      <c r="S17" s="151"/>
      <c r="T17" s="152"/>
    </row>
    <row r="19" spans="2:25" x14ac:dyDescent="0.15">
      <c r="B19" s="108" t="s">
        <v>150</v>
      </c>
    </row>
    <row r="21" spans="2:25" ht="11.25" thickBot="1" x14ac:dyDescent="0.2">
      <c r="B21" s="109"/>
      <c r="C21" s="109"/>
      <c r="D21" s="109"/>
      <c r="E21" s="109"/>
      <c r="G21" s="109"/>
      <c r="H21" s="109"/>
      <c r="I21" s="109"/>
      <c r="J21" s="109"/>
      <c r="L21" s="109"/>
      <c r="M21" s="109"/>
      <c r="N21" s="109"/>
      <c r="O21" s="109"/>
      <c r="Q21" s="109"/>
      <c r="R21" s="109"/>
      <c r="S21" s="109"/>
      <c r="T21" s="109"/>
      <c r="V21" s="109"/>
      <c r="W21" s="109"/>
      <c r="X21" s="109"/>
      <c r="Y21" s="109"/>
    </row>
    <row r="22" spans="2:25" ht="12.75" thickTop="1" thickBot="1" x14ac:dyDescent="0.2">
      <c r="B22" s="146" t="s">
        <v>220</v>
      </c>
      <c r="C22" s="146"/>
      <c r="D22" s="146"/>
      <c r="E22" s="146"/>
      <c r="G22" s="146" t="s">
        <v>188</v>
      </c>
      <c r="H22" s="146"/>
      <c r="I22" s="146"/>
      <c r="J22" s="146"/>
      <c r="L22" s="149" t="s">
        <v>188</v>
      </c>
      <c r="M22" s="149"/>
      <c r="N22" s="149"/>
      <c r="O22" s="149"/>
      <c r="Q22" s="146" t="s">
        <v>187</v>
      </c>
      <c r="R22" s="146"/>
      <c r="S22" s="146"/>
      <c r="T22" s="146"/>
      <c r="V22" s="149" t="s">
        <v>188</v>
      </c>
      <c r="W22" s="149"/>
      <c r="X22" s="149"/>
      <c r="Y22" s="149"/>
    </row>
    <row r="23" spans="2:25" ht="12" thickTop="1" x14ac:dyDescent="0.15">
      <c r="B23" s="139" t="s">
        <v>122</v>
      </c>
      <c r="C23" s="139"/>
      <c r="D23" s="145">
        <v>43209</v>
      </c>
      <c r="E23" s="147"/>
      <c r="G23" s="139" t="s">
        <v>122</v>
      </c>
      <c r="H23" s="139"/>
      <c r="I23" s="145">
        <f ca="1">TODAY()</f>
        <v>43257</v>
      </c>
      <c r="J23" s="147"/>
      <c r="L23" s="139" t="s">
        <v>122</v>
      </c>
      <c r="M23" s="139"/>
      <c r="N23" s="145">
        <f ca="1">TODAY()</f>
        <v>43257</v>
      </c>
      <c r="O23" s="147"/>
      <c r="Q23" s="139" t="s">
        <v>122</v>
      </c>
      <c r="R23" s="139"/>
      <c r="S23" s="145">
        <f ca="1">TODAY()-1</f>
        <v>43256</v>
      </c>
      <c r="T23" s="147"/>
      <c r="V23" s="139" t="s">
        <v>122</v>
      </c>
      <c r="W23" s="139"/>
      <c r="X23" s="145">
        <f ca="1">TODAY()-1</f>
        <v>43256</v>
      </c>
      <c r="Y23" s="147"/>
    </row>
    <row r="24" spans="2:25" ht="11.25" x14ac:dyDescent="0.15">
      <c r="B24" s="139" t="s">
        <v>124</v>
      </c>
      <c r="C24" s="139"/>
      <c r="D24" s="140" t="s">
        <v>185</v>
      </c>
      <c r="E24" s="141"/>
      <c r="G24" s="139" t="s">
        <v>124</v>
      </c>
      <c r="H24" s="139"/>
      <c r="I24" s="140" t="s">
        <v>185</v>
      </c>
      <c r="J24" s="141"/>
      <c r="L24" s="139" t="s">
        <v>124</v>
      </c>
      <c r="M24" s="139"/>
      <c r="N24" s="140" t="s">
        <v>36</v>
      </c>
      <c r="O24" s="141"/>
      <c r="Q24" s="139" t="s">
        <v>124</v>
      </c>
      <c r="R24" s="139"/>
      <c r="S24" s="140" t="s">
        <v>36</v>
      </c>
      <c r="T24" s="141"/>
      <c r="V24" s="139" t="s">
        <v>124</v>
      </c>
      <c r="W24" s="139"/>
      <c r="X24" s="140" t="s">
        <v>36</v>
      </c>
      <c r="Y24" s="141"/>
    </row>
    <row r="25" spans="2:25" ht="11.25" x14ac:dyDescent="0.15">
      <c r="B25" s="139" t="s">
        <v>127</v>
      </c>
      <c r="C25" s="139"/>
      <c r="D25" s="140" t="s">
        <v>221</v>
      </c>
      <c r="E25" s="141"/>
      <c r="G25" s="139" t="s">
        <v>127</v>
      </c>
      <c r="H25" s="139"/>
      <c r="I25" s="140" t="s">
        <v>5</v>
      </c>
      <c r="J25" s="141"/>
      <c r="L25" s="139" t="s">
        <v>127</v>
      </c>
      <c r="M25" s="139"/>
      <c r="N25" s="140" t="s">
        <v>194</v>
      </c>
      <c r="O25" s="141"/>
      <c r="Q25" s="139" t="s">
        <v>127</v>
      </c>
      <c r="R25" s="139"/>
      <c r="S25" s="140" t="s">
        <v>186</v>
      </c>
      <c r="T25" s="141"/>
      <c r="V25" s="139" t="s">
        <v>127</v>
      </c>
      <c r="W25" s="139"/>
      <c r="X25" s="140" t="s">
        <v>186</v>
      </c>
      <c r="Y25" s="141"/>
    </row>
    <row r="26" spans="2:25" ht="11.25" x14ac:dyDescent="0.15">
      <c r="B26" s="139" t="s">
        <v>129</v>
      </c>
      <c r="C26" s="139"/>
      <c r="D26" s="140">
        <f>D31*D33</f>
        <v>290000</v>
      </c>
      <c r="E26" s="141"/>
      <c r="G26" s="139" t="s">
        <v>179</v>
      </c>
      <c r="H26" s="139"/>
      <c r="I26" s="140">
        <f>I31*I33</f>
        <v>271800</v>
      </c>
      <c r="J26" s="141"/>
      <c r="L26" s="139" t="s">
        <v>129</v>
      </c>
      <c r="M26" s="139"/>
      <c r="N26" s="140">
        <f>N31*N33</f>
        <v>275000</v>
      </c>
      <c r="O26" s="141"/>
      <c r="Q26" s="139" t="s">
        <v>129</v>
      </c>
      <c r="R26" s="139"/>
      <c r="S26" s="140">
        <f>S31*S33</f>
        <v>235799.99999999997</v>
      </c>
      <c r="T26" s="141"/>
      <c r="V26" s="139" t="s">
        <v>129</v>
      </c>
      <c r="W26" s="139"/>
      <c r="X26" s="140">
        <f>X31*X33</f>
        <v>235799.99999999997</v>
      </c>
      <c r="Y26" s="141"/>
    </row>
    <row r="27" spans="2:25" ht="11.25" x14ac:dyDescent="0.15">
      <c r="B27" s="139" t="s">
        <v>131</v>
      </c>
      <c r="C27" s="139"/>
      <c r="D27" s="140" t="s">
        <v>190</v>
      </c>
      <c r="E27" s="141"/>
      <c r="F27" s="100">
        <f>1160*250</f>
        <v>290000</v>
      </c>
      <c r="G27" s="139" t="s">
        <v>131</v>
      </c>
      <c r="H27" s="139"/>
      <c r="I27" s="140" t="s">
        <v>196</v>
      </c>
      <c r="J27" s="141"/>
      <c r="L27" s="139" t="s">
        <v>131</v>
      </c>
      <c r="M27" s="139"/>
      <c r="N27" s="140" t="s">
        <v>189</v>
      </c>
      <c r="O27" s="141"/>
      <c r="Q27" s="139" t="s">
        <v>131</v>
      </c>
      <c r="R27" s="139"/>
      <c r="S27" s="140" t="s">
        <v>190</v>
      </c>
      <c r="T27" s="141"/>
      <c r="V27" s="139" t="s">
        <v>131</v>
      </c>
      <c r="W27" s="139"/>
      <c r="X27" s="140" t="s">
        <v>189</v>
      </c>
      <c r="Y27" s="141"/>
    </row>
    <row r="28" spans="2:25" ht="11.25" x14ac:dyDescent="0.15">
      <c r="B28" s="139" t="s">
        <v>134</v>
      </c>
      <c r="C28" s="139"/>
      <c r="D28" s="145">
        <v>43222</v>
      </c>
      <c r="E28" s="141"/>
      <c r="G28" s="139" t="s">
        <v>134</v>
      </c>
      <c r="H28" s="139"/>
      <c r="I28" s="145">
        <v>43182</v>
      </c>
      <c r="J28" s="141"/>
      <c r="L28" s="139" t="s">
        <v>134</v>
      </c>
      <c r="M28" s="139"/>
      <c r="N28" s="145">
        <v>43219</v>
      </c>
      <c r="O28" s="141"/>
      <c r="Q28" s="139" t="s">
        <v>134</v>
      </c>
      <c r="R28" s="139"/>
      <c r="S28" s="145">
        <v>43201</v>
      </c>
      <c r="T28" s="141"/>
      <c r="V28" s="139" t="s">
        <v>134</v>
      </c>
      <c r="W28" s="139"/>
      <c r="X28" s="145">
        <v>43201</v>
      </c>
      <c r="Y28" s="141"/>
    </row>
    <row r="29" spans="2:25" ht="11.25" x14ac:dyDescent="0.15">
      <c r="B29" s="139" t="s">
        <v>136</v>
      </c>
      <c r="C29" s="139"/>
      <c r="D29" s="140">
        <v>108500</v>
      </c>
      <c r="E29" s="141"/>
      <c r="G29" s="139" t="s">
        <v>136</v>
      </c>
      <c r="H29" s="139"/>
      <c r="I29" s="140">
        <v>3856</v>
      </c>
      <c r="J29" s="141"/>
      <c r="L29" s="139" t="s">
        <v>136</v>
      </c>
      <c r="M29" s="139"/>
      <c r="N29" s="140">
        <v>3760</v>
      </c>
      <c r="O29" s="141"/>
      <c r="Q29" s="139" t="s">
        <v>136</v>
      </c>
      <c r="R29" s="139"/>
      <c r="S29" s="140">
        <v>524</v>
      </c>
      <c r="T29" s="141"/>
      <c r="V29" s="139" t="s">
        <v>136</v>
      </c>
      <c r="W29" s="139"/>
      <c r="X29" s="140">
        <v>524</v>
      </c>
      <c r="Y29" s="141"/>
    </row>
    <row r="30" spans="2:25" ht="11.25" x14ac:dyDescent="0.15">
      <c r="B30" s="139" t="s">
        <v>138</v>
      </c>
      <c r="C30" s="139"/>
      <c r="D30" s="140">
        <v>110000</v>
      </c>
      <c r="E30" s="141"/>
      <c r="G30" s="139" t="s">
        <v>138</v>
      </c>
      <c r="H30" s="139"/>
      <c r="I30" s="140">
        <v>3930</v>
      </c>
      <c r="J30" s="141"/>
      <c r="L30" s="139" t="s">
        <v>138</v>
      </c>
      <c r="M30" s="139"/>
      <c r="N30" s="140">
        <v>3700</v>
      </c>
      <c r="O30" s="141"/>
      <c r="Q30" s="139" t="s">
        <v>138</v>
      </c>
      <c r="R30" s="139"/>
      <c r="S30" s="140">
        <v>524</v>
      </c>
      <c r="T30" s="141"/>
      <c r="V30" s="139" t="s">
        <v>138</v>
      </c>
      <c r="W30" s="139"/>
      <c r="X30" s="140">
        <v>524</v>
      </c>
      <c r="Y30" s="141"/>
    </row>
    <row r="31" spans="2:25" ht="11.25" x14ac:dyDescent="0.15">
      <c r="B31" s="139" t="s">
        <v>140</v>
      </c>
      <c r="C31" s="139"/>
      <c r="D31" s="140">
        <v>1160</v>
      </c>
      <c r="E31" s="141"/>
      <c r="G31" s="139" t="s">
        <v>197</v>
      </c>
      <c r="H31" s="139"/>
      <c r="I31" s="140">
        <v>27.18</v>
      </c>
      <c r="J31" s="141"/>
      <c r="L31" s="139" t="s">
        <v>140</v>
      </c>
      <c r="M31" s="139"/>
      <c r="N31" s="140">
        <v>55</v>
      </c>
      <c r="O31" s="141"/>
      <c r="Q31" s="139" t="s">
        <v>140</v>
      </c>
      <c r="R31" s="139"/>
      <c r="S31" s="140">
        <v>23.58</v>
      </c>
      <c r="T31" s="141"/>
      <c r="V31" s="139" t="s">
        <v>140</v>
      </c>
      <c r="W31" s="139"/>
      <c r="X31" s="140">
        <v>23.58</v>
      </c>
      <c r="Y31" s="141"/>
    </row>
    <row r="32" spans="2:25" ht="11.25" x14ac:dyDescent="0.15">
      <c r="B32" s="139" t="s">
        <v>142</v>
      </c>
      <c r="C32" s="139"/>
      <c r="D32" s="140" t="s">
        <v>208</v>
      </c>
      <c r="E32" s="141"/>
      <c r="G32" s="139" t="s">
        <v>198</v>
      </c>
      <c r="H32" s="139"/>
      <c r="I32" s="140" t="s">
        <v>195</v>
      </c>
      <c r="J32" s="141"/>
      <c r="L32" s="139" t="s">
        <v>142</v>
      </c>
      <c r="M32" s="139"/>
      <c r="N32" s="140" t="s">
        <v>193</v>
      </c>
      <c r="O32" s="141"/>
      <c r="Q32" s="139" t="s">
        <v>142</v>
      </c>
      <c r="R32" s="139"/>
      <c r="S32" s="140" t="s">
        <v>191</v>
      </c>
      <c r="T32" s="141"/>
      <c r="V32" s="139" t="s">
        <v>142</v>
      </c>
      <c r="W32" s="139"/>
      <c r="X32" s="140" t="s">
        <v>191</v>
      </c>
      <c r="Y32" s="141"/>
    </row>
    <row r="33" spans="2:25" ht="11.25" x14ac:dyDescent="0.15">
      <c r="B33" s="139" t="s">
        <v>145</v>
      </c>
      <c r="C33" s="139"/>
      <c r="D33" s="140">
        <v>250</v>
      </c>
      <c r="E33" s="141"/>
      <c r="G33" s="139" t="s">
        <v>199</v>
      </c>
      <c r="H33" s="139"/>
      <c r="I33" s="140">
        <v>10000</v>
      </c>
      <c r="J33" s="141"/>
      <c r="L33" s="139" t="s">
        <v>145</v>
      </c>
      <c r="M33" s="139"/>
      <c r="N33" s="140">
        <v>5000</v>
      </c>
      <c r="O33" s="141"/>
      <c r="Q33" s="139" t="s">
        <v>145</v>
      </c>
      <c r="R33" s="139"/>
      <c r="S33" s="140">
        <v>10000</v>
      </c>
      <c r="T33" s="141"/>
      <c r="V33" s="139" t="s">
        <v>145</v>
      </c>
      <c r="W33" s="139"/>
      <c r="X33" s="140">
        <v>10000</v>
      </c>
      <c r="Y33" s="141"/>
    </row>
    <row r="34" spans="2:25" ht="12" thickBot="1" x14ac:dyDescent="0.2">
      <c r="B34" s="142" t="s">
        <v>147</v>
      </c>
      <c r="C34" s="142"/>
      <c r="D34" s="143" t="s">
        <v>148</v>
      </c>
      <c r="E34" s="144"/>
      <c r="G34" s="142" t="s">
        <v>147</v>
      </c>
      <c r="H34" s="142"/>
      <c r="I34" s="143" t="s">
        <v>148</v>
      </c>
      <c r="J34" s="144"/>
      <c r="L34" s="142" t="s">
        <v>147</v>
      </c>
      <c r="M34" s="142"/>
      <c r="N34" s="143" t="s">
        <v>148</v>
      </c>
      <c r="O34" s="144"/>
      <c r="Q34" s="142" t="s">
        <v>147</v>
      </c>
      <c r="R34" s="142"/>
      <c r="S34" s="143" t="s">
        <v>148</v>
      </c>
      <c r="T34" s="144"/>
      <c r="V34" s="142" t="s">
        <v>147</v>
      </c>
      <c r="W34" s="142"/>
      <c r="X34" s="143" t="s">
        <v>148</v>
      </c>
      <c r="Y34" s="144"/>
    </row>
    <row r="35" spans="2:25" ht="11.25" thickTop="1" x14ac:dyDescent="0.15"/>
    <row r="36" spans="2:25" ht="12" thickBot="1" x14ac:dyDescent="0.2">
      <c r="B36" s="146" t="s">
        <v>226</v>
      </c>
      <c r="C36" s="146"/>
      <c r="D36" s="146"/>
      <c r="E36" s="146"/>
      <c r="G36" s="146" t="s">
        <v>227</v>
      </c>
      <c r="H36" s="146"/>
      <c r="I36" s="146"/>
      <c r="J36" s="146"/>
      <c r="L36" s="146" t="s">
        <v>205</v>
      </c>
      <c r="M36" s="146"/>
      <c r="N36" s="146"/>
      <c r="O36" s="146"/>
      <c r="Q36" s="146" t="s">
        <v>121</v>
      </c>
      <c r="R36" s="146"/>
      <c r="S36" s="146"/>
      <c r="T36" s="146"/>
    </row>
    <row r="37" spans="2:25" ht="12" thickTop="1" x14ac:dyDescent="0.15">
      <c r="B37" s="139" t="s">
        <v>122</v>
      </c>
      <c r="C37" s="139"/>
      <c r="D37" s="145">
        <v>43229</v>
      </c>
      <c r="E37" s="147"/>
      <c r="G37" s="139" t="s">
        <v>122</v>
      </c>
      <c r="H37" s="139"/>
      <c r="I37" s="145">
        <v>43229</v>
      </c>
      <c r="J37" s="147"/>
      <c r="L37" s="139" t="s">
        <v>122</v>
      </c>
      <c r="M37" s="139"/>
      <c r="N37" s="145">
        <v>43214</v>
      </c>
      <c r="O37" s="147"/>
      <c r="Q37" s="139" t="s">
        <v>122</v>
      </c>
      <c r="R37" s="139"/>
      <c r="S37" s="145">
        <v>43209</v>
      </c>
      <c r="T37" s="147"/>
    </row>
    <row r="38" spans="2:25" ht="11.25" x14ac:dyDescent="0.15">
      <c r="B38" s="139" t="s">
        <v>124</v>
      </c>
      <c r="C38" s="139"/>
      <c r="D38" s="140" t="s">
        <v>186</v>
      </c>
      <c r="E38" s="141"/>
      <c r="G38" s="139" t="s">
        <v>124</v>
      </c>
      <c r="H38" s="139"/>
      <c r="I38" s="140" t="s">
        <v>186</v>
      </c>
      <c r="J38" s="141"/>
      <c r="L38" s="139" t="s">
        <v>124</v>
      </c>
      <c r="M38" s="139"/>
      <c r="N38" s="140" t="s">
        <v>203</v>
      </c>
      <c r="O38" s="141"/>
      <c r="Q38" s="139" t="s">
        <v>124</v>
      </c>
      <c r="R38" s="139"/>
      <c r="S38" s="140" t="s">
        <v>217</v>
      </c>
      <c r="T38" s="141"/>
    </row>
    <row r="39" spans="2:25" ht="11.25" x14ac:dyDescent="0.15">
      <c r="B39" s="139" t="s">
        <v>127</v>
      </c>
      <c r="C39" s="139"/>
      <c r="D39" s="140" t="s">
        <v>222</v>
      </c>
      <c r="E39" s="141"/>
      <c r="G39" s="139" t="s">
        <v>127</v>
      </c>
      <c r="H39" s="139"/>
      <c r="I39" s="140" t="s">
        <v>203</v>
      </c>
      <c r="J39" s="141"/>
      <c r="L39" s="139" t="s">
        <v>127</v>
      </c>
      <c r="M39" s="139"/>
      <c r="N39" s="140" t="s">
        <v>4</v>
      </c>
      <c r="O39" s="141"/>
      <c r="Q39" s="139" t="s">
        <v>127</v>
      </c>
      <c r="R39" s="139"/>
      <c r="S39" s="140" t="s">
        <v>203</v>
      </c>
      <c r="T39" s="141"/>
    </row>
    <row r="40" spans="2:25" ht="11.25" x14ac:dyDescent="0.15">
      <c r="B40" s="139" t="s">
        <v>179</v>
      </c>
      <c r="C40" s="139"/>
      <c r="D40" s="140">
        <f>D47*D45</f>
        <v>410500.00000000006</v>
      </c>
      <c r="E40" s="141"/>
      <c r="G40" s="139" t="s">
        <v>179</v>
      </c>
      <c r="H40" s="139"/>
      <c r="I40" s="140">
        <f>I45*I47</f>
        <v>410500.00000000006</v>
      </c>
      <c r="J40" s="141"/>
      <c r="L40" s="139" t="s">
        <v>129</v>
      </c>
      <c r="M40" s="139"/>
      <c r="N40" s="140">
        <f>N45*N47</f>
        <v>2117500</v>
      </c>
      <c r="O40" s="141"/>
      <c r="Q40" s="139" t="s">
        <v>179</v>
      </c>
      <c r="R40" s="139"/>
      <c r="S40" s="140">
        <f>S45*S47</f>
        <v>1045200</v>
      </c>
      <c r="T40" s="141"/>
    </row>
    <row r="41" spans="2:25" ht="11.25" x14ac:dyDescent="0.15">
      <c r="B41" s="139" t="s">
        <v>131</v>
      </c>
      <c r="C41" s="139"/>
      <c r="D41" s="140" t="s">
        <v>223</v>
      </c>
      <c r="E41" s="141"/>
      <c r="G41" s="139" t="s">
        <v>131</v>
      </c>
      <c r="H41" s="139"/>
      <c r="I41" s="140" t="s">
        <v>218</v>
      </c>
      <c r="J41" s="141"/>
      <c r="L41" s="139" t="s">
        <v>131</v>
      </c>
      <c r="M41" s="139"/>
      <c r="N41" s="140" t="s">
        <v>207</v>
      </c>
      <c r="O41" s="141"/>
      <c r="Q41" s="139" t="s">
        <v>131</v>
      </c>
      <c r="R41" s="139"/>
      <c r="S41" s="140" t="s">
        <v>218</v>
      </c>
      <c r="T41" s="141"/>
    </row>
    <row r="42" spans="2:25" ht="11.25" x14ac:dyDescent="0.15">
      <c r="B42" s="139" t="s">
        <v>134</v>
      </c>
      <c r="C42" s="139"/>
      <c r="D42" s="145">
        <f>D37+98</f>
        <v>43327</v>
      </c>
      <c r="E42" s="141"/>
      <c r="G42" s="139" t="s">
        <v>134</v>
      </c>
      <c r="H42" s="139"/>
      <c r="I42" s="145">
        <f>I37+98</f>
        <v>43327</v>
      </c>
      <c r="J42" s="141"/>
      <c r="L42" s="139" t="s">
        <v>134</v>
      </c>
      <c r="M42" s="139"/>
      <c r="N42" s="145">
        <v>43266</v>
      </c>
      <c r="O42" s="141"/>
      <c r="Q42" s="139" t="s">
        <v>134</v>
      </c>
      <c r="R42" s="139"/>
      <c r="S42" s="145">
        <v>43266</v>
      </c>
      <c r="T42" s="141"/>
    </row>
    <row r="43" spans="2:25" ht="11.25" x14ac:dyDescent="0.15">
      <c r="B43" s="139" t="s">
        <v>136</v>
      </c>
      <c r="C43" s="139"/>
      <c r="D43" s="140">
        <v>470.5</v>
      </c>
      <c r="E43" s="141"/>
      <c r="G43" s="139" t="s">
        <v>136</v>
      </c>
      <c r="H43" s="139"/>
      <c r="I43" s="140">
        <v>470.5</v>
      </c>
      <c r="J43" s="141"/>
      <c r="L43" s="139" t="s">
        <v>136</v>
      </c>
      <c r="M43" s="148"/>
      <c r="N43" s="140">
        <v>14535</v>
      </c>
      <c r="O43" s="141"/>
      <c r="Q43" s="139" t="s">
        <v>136</v>
      </c>
      <c r="R43" s="139"/>
      <c r="S43" s="140">
        <v>15250</v>
      </c>
      <c r="T43" s="141"/>
    </row>
    <row r="44" spans="2:25" ht="11.25" x14ac:dyDescent="0.15">
      <c r="B44" s="139" t="s">
        <v>138</v>
      </c>
      <c r="C44" s="139"/>
      <c r="D44" s="140">
        <v>470.5</v>
      </c>
      <c r="E44" s="141"/>
      <c r="F44" s="100">
        <f>D44*1.55/100</f>
        <v>7.2927499999999998</v>
      </c>
      <c r="G44" s="139" t="s">
        <v>138</v>
      </c>
      <c r="H44" s="139"/>
      <c r="I44" s="140">
        <v>470.5</v>
      </c>
      <c r="J44" s="141"/>
      <c r="L44" s="139" t="s">
        <v>138</v>
      </c>
      <c r="M44" s="139"/>
      <c r="N44" s="140">
        <v>14500</v>
      </c>
      <c r="O44" s="141"/>
      <c r="Q44" s="139" t="s">
        <v>138</v>
      </c>
      <c r="R44" s="139"/>
      <c r="S44" s="140">
        <v>14500</v>
      </c>
      <c r="T44" s="141"/>
    </row>
    <row r="45" spans="2:25" ht="11.25" x14ac:dyDescent="0.15">
      <c r="B45" s="139" t="s">
        <v>140</v>
      </c>
      <c r="C45" s="139"/>
      <c r="D45" s="140">
        <v>32.840000000000003</v>
      </c>
      <c r="E45" s="141"/>
      <c r="G45" s="139" t="s">
        <v>140</v>
      </c>
      <c r="H45" s="139"/>
      <c r="I45" s="140">
        <v>32.840000000000003</v>
      </c>
      <c r="J45" s="141"/>
      <c r="L45" s="139" t="s">
        <v>140</v>
      </c>
      <c r="M45" s="139"/>
      <c r="N45" s="140">
        <v>423.5</v>
      </c>
      <c r="O45" s="141"/>
      <c r="Q45" s="139" t="s">
        <v>197</v>
      </c>
      <c r="R45" s="139"/>
      <c r="S45" s="140">
        <v>209.04</v>
      </c>
      <c r="T45" s="141"/>
    </row>
    <row r="46" spans="2:25" ht="11.25" x14ac:dyDescent="0.15">
      <c r="B46" s="139" t="s">
        <v>198</v>
      </c>
      <c r="C46" s="139"/>
      <c r="D46" s="140" t="s">
        <v>201</v>
      </c>
      <c r="E46" s="141"/>
      <c r="G46" s="139" t="s">
        <v>142</v>
      </c>
      <c r="H46" s="139"/>
      <c r="I46" s="140" t="s">
        <v>201</v>
      </c>
      <c r="J46" s="141"/>
      <c r="L46" s="139" t="s">
        <v>142</v>
      </c>
      <c r="M46" s="139"/>
      <c r="N46" s="140" t="s">
        <v>209</v>
      </c>
      <c r="O46" s="141"/>
      <c r="Q46" s="139" t="s">
        <v>142</v>
      </c>
      <c r="R46" s="139"/>
      <c r="S46" s="140" t="s">
        <v>219</v>
      </c>
      <c r="T46" s="141"/>
    </row>
    <row r="47" spans="2:25" ht="11.25" x14ac:dyDescent="0.15">
      <c r="B47" s="139" t="s">
        <v>145</v>
      </c>
      <c r="C47" s="139"/>
      <c r="D47" s="140">
        <v>12500</v>
      </c>
      <c r="E47" s="141"/>
      <c r="G47" s="139" t="s">
        <v>145</v>
      </c>
      <c r="H47" s="139"/>
      <c r="I47" s="140">
        <v>12500</v>
      </c>
      <c r="J47" s="141"/>
      <c r="L47" s="139" t="s">
        <v>145</v>
      </c>
      <c r="M47" s="139"/>
      <c r="N47" s="140">
        <v>5000</v>
      </c>
      <c r="O47" s="141"/>
      <c r="Q47" s="139" t="s">
        <v>145</v>
      </c>
      <c r="R47" s="139"/>
      <c r="S47" s="140">
        <v>5000</v>
      </c>
      <c r="T47" s="141"/>
    </row>
    <row r="48" spans="2:25" ht="12" thickBot="1" x14ac:dyDescent="0.2">
      <c r="B48" s="142" t="s">
        <v>147</v>
      </c>
      <c r="C48" s="142"/>
      <c r="D48" s="143" t="s">
        <v>224</v>
      </c>
      <c r="E48" s="144"/>
      <c r="G48" s="142" t="s">
        <v>147</v>
      </c>
      <c r="H48" s="142"/>
      <c r="I48" s="143" t="s">
        <v>206</v>
      </c>
      <c r="J48" s="144"/>
      <c r="L48" s="142" t="s">
        <v>147</v>
      </c>
      <c r="M48" s="142"/>
      <c r="N48" s="143" t="s">
        <v>204</v>
      </c>
      <c r="O48" s="144"/>
      <c r="Q48" s="142" t="s">
        <v>147</v>
      </c>
      <c r="R48" s="142"/>
      <c r="S48" s="143" t="s">
        <v>206</v>
      </c>
      <c r="T48" s="144"/>
    </row>
    <row r="49" spans="2:20" ht="12.75" thickTop="1" thickBot="1" x14ac:dyDescent="0.2">
      <c r="B49" s="146" t="s">
        <v>121</v>
      </c>
      <c r="C49" s="146"/>
      <c r="D49" s="146"/>
      <c r="E49" s="146"/>
      <c r="G49" s="146" t="s">
        <v>205</v>
      </c>
      <c r="H49" s="146"/>
      <c r="I49" s="146"/>
      <c r="J49" s="146"/>
      <c r="L49" s="146" t="s">
        <v>188</v>
      </c>
      <c r="M49" s="146"/>
      <c r="N49" s="146"/>
      <c r="O49" s="146"/>
      <c r="Q49" s="146" t="s">
        <v>234</v>
      </c>
      <c r="R49" s="146"/>
      <c r="S49" s="146"/>
      <c r="T49" s="146"/>
    </row>
    <row r="50" spans="2:20" ht="12" thickTop="1" x14ac:dyDescent="0.15">
      <c r="B50" s="139" t="s">
        <v>122</v>
      </c>
      <c r="C50" s="139"/>
      <c r="D50" s="145">
        <v>43235</v>
      </c>
      <c r="E50" s="147"/>
      <c r="G50" s="139" t="s">
        <v>122</v>
      </c>
      <c r="H50" s="139"/>
      <c r="I50" s="145">
        <v>43236</v>
      </c>
      <c r="J50" s="147"/>
      <c r="L50" s="139" t="s">
        <v>122</v>
      </c>
      <c r="M50" s="139"/>
      <c r="N50" s="145">
        <v>43237</v>
      </c>
      <c r="O50" s="147"/>
      <c r="Q50" s="139" t="s">
        <v>122</v>
      </c>
      <c r="R50" s="139"/>
      <c r="S50" s="145">
        <v>43237</v>
      </c>
      <c r="T50" s="147"/>
    </row>
    <row r="51" spans="2:20" ht="11.25" x14ac:dyDescent="0.15">
      <c r="B51" s="139" t="s">
        <v>124</v>
      </c>
      <c r="C51" s="139"/>
      <c r="D51" s="140" t="s">
        <v>222</v>
      </c>
      <c r="E51" s="141"/>
      <c r="G51" s="139" t="s">
        <v>124</v>
      </c>
      <c r="H51" s="139"/>
      <c r="I51" s="140" t="s">
        <v>203</v>
      </c>
      <c r="J51" s="141"/>
      <c r="L51" s="139" t="s">
        <v>124</v>
      </c>
      <c r="M51" s="139"/>
      <c r="N51" s="140" t="s">
        <v>4</v>
      </c>
      <c r="O51" s="141"/>
      <c r="Q51" s="139" t="s">
        <v>124</v>
      </c>
      <c r="R51" s="139"/>
      <c r="S51" s="140" t="s">
        <v>4</v>
      </c>
      <c r="T51" s="141"/>
    </row>
    <row r="52" spans="2:20" ht="11.25" x14ac:dyDescent="0.15">
      <c r="B52" s="139" t="s">
        <v>127</v>
      </c>
      <c r="C52" s="139"/>
      <c r="D52" s="140" t="s">
        <v>232</v>
      </c>
      <c r="E52" s="141"/>
      <c r="G52" s="139" t="s">
        <v>127</v>
      </c>
      <c r="H52" s="139"/>
      <c r="I52" s="140" t="s">
        <v>4</v>
      </c>
      <c r="J52" s="141"/>
      <c r="L52" s="139" t="s">
        <v>127</v>
      </c>
      <c r="M52" s="139"/>
      <c r="N52" s="140" t="s">
        <v>36</v>
      </c>
      <c r="O52" s="141"/>
      <c r="Q52" s="139" t="s">
        <v>127</v>
      </c>
      <c r="R52" s="139"/>
      <c r="S52" s="140" t="s">
        <v>36</v>
      </c>
      <c r="T52" s="141"/>
    </row>
    <row r="53" spans="2:20" ht="11.25" x14ac:dyDescent="0.15">
      <c r="B53" s="139" t="s">
        <v>179</v>
      </c>
      <c r="C53" s="139"/>
      <c r="D53" s="140">
        <f>D58*D60</f>
        <v>280000</v>
      </c>
      <c r="E53" s="141"/>
      <c r="G53" s="139" t="s">
        <v>129</v>
      </c>
      <c r="H53" s="139"/>
      <c r="I53" s="140">
        <f>I58*I60</f>
        <v>936000</v>
      </c>
      <c r="J53" s="141"/>
      <c r="L53" s="139" t="s">
        <v>179</v>
      </c>
      <c r="M53" s="139"/>
      <c r="N53" s="140">
        <f>N58*N60</f>
        <v>1272000</v>
      </c>
      <c r="O53" s="141"/>
      <c r="Q53" s="139" t="s">
        <v>179</v>
      </c>
      <c r="R53" s="139"/>
      <c r="S53" s="140">
        <f>S58*S60</f>
        <v>1230000</v>
      </c>
      <c r="T53" s="141"/>
    </row>
    <row r="54" spans="2:20" ht="11.25" x14ac:dyDescent="0.15">
      <c r="B54" s="139" t="s">
        <v>131</v>
      </c>
      <c r="C54" s="139"/>
      <c r="D54" s="140" t="s">
        <v>189</v>
      </c>
      <c r="E54" s="141"/>
      <c r="G54" s="139" t="s">
        <v>131</v>
      </c>
      <c r="H54" s="139"/>
      <c r="I54" s="140" t="s">
        <v>207</v>
      </c>
      <c r="J54" s="141"/>
      <c r="L54" s="139" t="s">
        <v>131</v>
      </c>
      <c r="M54" s="139"/>
      <c r="N54" s="140" t="s">
        <v>132</v>
      </c>
      <c r="O54" s="141"/>
      <c r="Q54" s="139" t="s">
        <v>131</v>
      </c>
      <c r="R54" s="139"/>
      <c r="S54" s="140" t="s">
        <v>132</v>
      </c>
      <c r="T54" s="141"/>
    </row>
    <row r="55" spans="2:20" ht="11.25" x14ac:dyDescent="0.15">
      <c r="B55" s="139" t="s">
        <v>134</v>
      </c>
      <c r="C55" s="139"/>
      <c r="D55" s="145">
        <f>D50+87</f>
        <v>43322</v>
      </c>
      <c r="E55" s="141"/>
      <c r="G55" s="139" t="s">
        <v>134</v>
      </c>
      <c r="H55" s="139"/>
      <c r="I55" s="145">
        <v>43294</v>
      </c>
      <c r="J55" s="141"/>
      <c r="L55" s="139" t="s">
        <v>134</v>
      </c>
      <c r="M55" s="139"/>
      <c r="N55" s="145">
        <f>N50+85</f>
        <v>43322</v>
      </c>
      <c r="O55" s="141"/>
      <c r="Q55" s="139" t="s">
        <v>134</v>
      </c>
      <c r="R55" s="139"/>
      <c r="S55" s="145">
        <f>S50+85</f>
        <v>43322</v>
      </c>
      <c r="T55" s="141"/>
    </row>
    <row r="56" spans="2:20" ht="11.25" x14ac:dyDescent="0.15">
      <c r="B56" s="139" t="s">
        <v>136</v>
      </c>
      <c r="C56" s="139"/>
      <c r="D56" s="140">
        <v>14825</v>
      </c>
      <c r="E56" s="141"/>
      <c r="G56" s="139" t="s">
        <v>136</v>
      </c>
      <c r="H56" s="148"/>
      <c r="I56" s="140">
        <v>14730</v>
      </c>
      <c r="J56" s="141"/>
      <c r="L56" s="139" t="s">
        <v>136</v>
      </c>
      <c r="M56" s="139"/>
      <c r="N56" s="140">
        <v>482</v>
      </c>
      <c r="O56" s="141"/>
      <c r="Q56" s="139" t="s">
        <v>136</v>
      </c>
      <c r="R56" s="139"/>
      <c r="S56" s="140">
        <v>482.5</v>
      </c>
      <c r="T56" s="141"/>
    </row>
    <row r="57" spans="2:20" ht="11.25" x14ac:dyDescent="0.15">
      <c r="B57" s="139" t="s">
        <v>138</v>
      </c>
      <c r="C57" s="139"/>
      <c r="D57" s="140">
        <v>14100</v>
      </c>
      <c r="E57" s="141"/>
      <c r="G57" s="139" t="s">
        <v>138</v>
      </c>
      <c r="H57" s="139"/>
      <c r="I57" s="140">
        <v>14500</v>
      </c>
      <c r="J57" s="141"/>
      <c r="L57" s="139" t="s">
        <v>138</v>
      </c>
      <c r="M57" s="139"/>
      <c r="N57" s="140">
        <v>480</v>
      </c>
      <c r="O57" s="141"/>
      <c r="Q57" s="139" t="s">
        <v>138</v>
      </c>
      <c r="R57" s="139"/>
      <c r="S57" s="140">
        <v>430</v>
      </c>
      <c r="T57" s="141"/>
    </row>
    <row r="58" spans="2:20" ht="11.25" x14ac:dyDescent="0.15">
      <c r="B58" s="139" t="s">
        <v>140</v>
      </c>
      <c r="C58" s="139"/>
      <c r="D58" s="140">
        <v>140</v>
      </c>
      <c r="E58" s="141"/>
      <c r="G58" s="139" t="s">
        <v>140</v>
      </c>
      <c r="H58" s="139"/>
      <c r="I58" s="140">
        <v>312</v>
      </c>
      <c r="J58" s="141"/>
      <c r="L58" s="139" t="s">
        <v>140</v>
      </c>
      <c r="M58" s="139"/>
      <c r="N58" s="140">
        <v>31.8</v>
      </c>
      <c r="O58" s="141"/>
      <c r="Q58" s="139" t="s">
        <v>140</v>
      </c>
      <c r="R58" s="139"/>
      <c r="S58" s="140">
        <v>12.3</v>
      </c>
      <c r="T58" s="141"/>
    </row>
    <row r="59" spans="2:20" ht="11.25" x14ac:dyDescent="0.15">
      <c r="B59" s="139" t="s">
        <v>142</v>
      </c>
      <c r="C59" s="139"/>
      <c r="D59" s="140" t="s">
        <v>231</v>
      </c>
      <c r="E59" s="141"/>
      <c r="G59" s="139" t="s">
        <v>142</v>
      </c>
      <c r="H59" s="139"/>
      <c r="I59" s="140" t="s">
        <v>233</v>
      </c>
      <c r="J59" s="141"/>
      <c r="L59" s="139" t="s">
        <v>142</v>
      </c>
      <c r="M59" s="139"/>
      <c r="N59" s="140" t="s">
        <v>201</v>
      </c>
      <c r="O59" s="141"/>
      <c r="Q59" s="139" t="s">
        <v>142</v>
      </c>
      <c r="R59" s="139"/>
      <c r="S59" s="140" t="s">
        <v>201</v>
      </c>
      <c r="T59" s="141"/>
    </row>
    <row r="60" spans="2:20" ht="11.25" x14ac:dyDescent="0.15">
      <c r="B60" s="139" t="s">
        <v>145</v>
      </c>
      <c r="C60" s="139"/>
      <c r="D60" s="140">
        <v>2000</v>
      </c>
      <c r="E60" s="141"/>
      <c r="G60" s="139" t="s">
        <v>145</v>
      </c>
      <c r="H60" s="139"/>
      <c r="I60" s="140">
        <v>3000</v>
      </c>
      <c r="J60" s="141"/>
      <c r="L60" s="139" t="s">
        <v>145</v>
      </c>
      <c r="M60" s="139"/>
      <c r="N60" s="140">
        <v>40000</v>
      </c>
      <c r="O60" s="141"/>
      <c r="Q60" s="139" t="s">
        <v>145</v>
      </c>
      <c r="R60" s="139"/>
      <c r="S60" s="140">
        <v>100000</v>
      </c>
      <c r="T60" s="141"/>
    </row>
    <row r="61" spans="2:20" ht="12" thickBot="1" x14ac:dyDescent="0.2">
      <c r="B61" s="142" t="s">
        <v>147</v>
      </c>
      <c r="C61" s="142"/>
      <c r="D61" s="143" t="s">
        <v>206</v>
      </c>
      <c r="E61" s="144"/>
      <c r="G61" s="142" t="s">
        <v>147</v>
      </c>
      <c r="H61" s="142"/>
      <c r="I61" s="143" t="s">
        <v>204</v>
      </c>
      <c r="J61" s="144"/>
      <c r="L61" s="142" t="s">
        <v>147</v>
      </c>
      <c r="M61" s="142"/>
      <c r="N61" s="143" t="s">
        <v>206</v>
      </c>
      <c r="O61" s="144"/>
      <c r="Q61" s="142" t="s">
        <v>147</v>
      </c>
      <c r="R61" s="142"/>
      <c r="S61" s="143" t="s">
        <v>206</v>
      </c>
      <c r="T61" s="144"/>
    </row>
    <row r="62" spans="2:20" ht="11.25" thickTop="1" x14ac:dyDescent="0.15"/>
    <row r="63" spans="2:20" ht="12" thickBot="1" x14ac:dyDescent="0.2">
      <c r="G63" s="146" t="s">
        <v>239</v>
      </c>
      <c r="H63" s="146"/>
      <c r="I63" s="146"/>
      <c r="J63" s="146"/>
      <c r="L63" s="146" t="s">
        <v>240</v>
      </c>
      <c r="M63" s="146"/>
      <c r="N63" s="146"/>
      <c r="O63" s="146"/>
    </row>
    <row r="64" spans="2:20" ht="12" thickTop="1" x14ac:dyDescent="0.15">
      <c r="G64" s="139" t="s">
        <v>122</v>
      </c>
      <c r="H64" s="139"/>
      <c r="I64" s="145">
        <v>43248</v>
      </c>
      <c r="J64" s="147"/>
      <c r="L64" s="139" t="s">
        <v>122</v>
      </c>
      <c r="M64" s="139"/>
      <c r="N64" s="145">
        <v>43248</v>
      </c>
      <c r="O64" s="147"/>
    </row>
    <row r="65" spans="7:17" ht="11.25" x14ac:dyDescent="0.15">
      <c r="G65" s="139" t="s">
        <v>124</v>
      </c>
      <c r="H65" s="139"/>
      <c r="I65" s="140" t="s">
        <v>237</v>
      </c>
      <c r="J65" s="141"/>
      <c r="L65" s="139" t="s">
        <v>124</v>
      </c>
      <c r="M65" s="139"/>
      <c r="N65" s="140" t="s">
        <v>237</v>
      </c>
      <c r="O65" s="141"/>
    </row>
    <row r="66" spans="7:17" ht="11.25" x14ac:dyDescent="0.15">
      <c r="G66" s="139" t="s">
        <v>127</v>
      </c>
      <c r="H66" s="139"/>
      <c r="I66" s="140" t="s">
        <v>36</v>
      </c>
      <c r="J66" s="141"/>
      <c r="L66" s="139" t="s">
        <v>127</v>
      </c>
      <c r="M66" s="139"/>
      <c r="N66" s="140" t="s">
        <v>36</v>
      </c>
      <c r="O66" s="141"/>
    </row>
    <row r="67" spans="7:17" ht="11.25" x14ac:dyDescent="0.15">
      <c r="G67" s="139" t="s">
        <v>179</v>
      </c>
      <c r="H67" s="139"/>
      <c r="I67" s="140">
        <f>I72*I74</f>
        <v>244200.00000000003</v>
      </c>
      <c r="J67" s="141"/>
      <c r="L67" s="139" t="s">
        <v>179</v>
      </c>
      <c r="M67" s="139"/>
      <c r="N67" s="140">
        <f>N72*N74</f>
        <v>244200.00000000003</v>
      </c>
      <c r="O67" s="141"/>
    </row>
    <row r="68" spans="7:17" ht="11.25" x14ac:dyDescent="0.15">
      <c r="G68" s="139" t="s">
        <v>131</v>
      </c>
      <c r="H68" s="139"/>
      <c r="I68" s="140" t="s">
        <v>132</v>
      </c>
      <c r="J68" s="141"/>
      <c r="L68" s="139" t="s">
        <v>131</v>
      </c>
      <c r="M68" s="139"/>
      <c r="N68" s="140" t="s">
        <v>238</v>
      </c>
      <c r="O68" s="141"/>
    </row>
    <row r="69" spans="7:17" ht="11.25" x14ac:dyDescent="0.15">
      <c r="G69" s="139" t="s">
        <v>134</v>
      </c>
      <c r="H69" s="139"/>
      <c r="I69" s="145">
        <f>I64+79</f>
        <v>43327</v>
      </c>
      <c r="J69" s="141"/>
      <c r="L69" s="139" t="s">
        <v>134</v>
      </c>
      <c r="M69" s="139"/>
      <c r="N69" s="145">
        <f>N64+79</f>
        <v>43327</v>
      </c>
      <c r="O69" s="141"/>
    </row>
    <row r="70" spans="7:17" ht="11.25" x14ac:dyDescent="0.15">
      <c r="G70" s="139" t="s">
        <v>136</v>
      </c>
      <c r="H70" s="139"/>
      <c r="I70" s="140">
        <v>456.5</v>
      </c>
      <c r="J70" s="141"/>
      <c r="L70" s="139" t="s">
        <v>136</v>
      </c>
      <c r="M70" s="139"/>
      <c r="N70" s="140">
        <v>456.5</v>
      </c>
      <c r="O70" s="141"/>
    </row>
    <row r="71" spans="7:17" ht="11.25" x14ac:dyDescent="0.15">
      <c r="G71" s="139" t="s">
        <v>138</v>
      </c>
      <c r="H71" s="139"/>
      <c r="I71" s="140">
        <v>456.5</v>
      </c>
      <c r="J71" s="141"/>
      <c r="L71" s="139" t="s">
        <v>138</v>
      </c>
      <c r="M71" s="139"/>
      <c r="N71" s="140">
        <v>456.5</v>
      </c>
      <c r="O71" s="141"/>
    </row>
    <row r="72" spans="7:17" ht="11.25" x14ac:dyDescent="0.15">
      <c r="G72" s="139" t="s">
        <v>140</v>
      </c>
      <c r="H72" s="139"/>
      <c r="I72" s="140">
        <v>24.42</v>
      </c>
      <c r="J72" s="141"/>
      <c r="L72" s="139" t="s">
        <v>140</v>
      </c>
      <c r="M72" s="139"/>
      <c r="N72" s="140">
        <v>24.42</v>
      </c>
      <c r="O72" s="141"/>
      <c r="Q72" s="100">
        <f>N72/N71</f>
        <v>5.349397590361446E-2</v>
      </c>
    </row>
    <row r="73" spans="7:17" ht="11.25" x14ac:dyDescent="0.15">
      <c r="G73" s="139" t="s">
        <v>142</v>
      </c>
      <c r="H73" s="139"/>
      <c r="I73" s="140" t="s">
        <v>201</v>
      </c>
      <c r="J73" s="141"/>
      <c r="L73" s="139" t="s">
        <v>142</v>
      </c>
      <c r="M73" s="139"/>
      <c r="N73" s="140" t="s">
        <v>201</v>
      </c>
      <c r="O73" s="141"/>
    </row>
    <row r="74" spans="7:17" ht="11.25" x14ac:dyDescent="0.15">
      <c r="G74" s="139" t="s">
        <v>145</v>
      </c>
      <c r="H74" s="139"/>
      <c r="I74" s="140">
        <v>10000</v>
      </c>
      <c r="J74" s="141"/>
      <c r="L74" s="139" t="s">
        <v>145</v>
      </c>
      <c r="M74" s="139"/>
      <c r="N74" s="140">
        <v>10000</v>
      </c>
      <c r="O74" s="141"/>
    </row>
    <row r="75" spans="7:17" ht="12" thickBot="1" x14ac:dyDescent="0.2">
      <c r="G75" s="142" t="s">
        <v>147</v>
      </c>
      <c r="H75" s="142"/>
      <c r="I75" s="143" t="s">
        <v>206</v>
      </c>
      <c r="J75" s="144"/>
      <c r="L75" s="142" t="s">
        <v>147</v>
      </c>
      <c r="M75" s="142"/>
      <c r="N75" s="143" t="s">
        <v>206</v>
      </c>
      <c r="O75" s="144"/>
    </row>
    <row r="76" spans="7:17" ht="11.25" thickTop="1" x14ac:dyDescent="0.15"/>
    <row r="77" spans="7:17" ht="12" thickBot="1" x14ac:dyDescent="0.2">
      <c r="G77" s="146" t="s">
        <v>239</v>
      </c>
      <c r="H77" s="146"/>
      <c r="I77" s="146"/>
      <c r="J77" s="146"/>
      <c r="L77" s="146" t="s">
        <v>240</v>
      </c>
      <c r="M77" s="146"/>
      <c r="N77" s="146"/>
      <c r="O77" s="146"/>
    </row>
    <row r="78" spans="7:17" ht="12" thickTop="1" x14ac:dyDescent="0.15">
      <c r="G78" s="139" t="s">
        <v>122</v>
      </c>
      <c r="H78" s="139"/>
      <c r="I78" s="145">
        <v>43248</v>
      </c>
      <c r="J78" s="147"/>
      <c r="L78" s="139" t="s">
        <v>122</v>
      </c>
      <c r="M78" s="139"/>
      <c r="N78" s="145">
        <v>43248</v>
      </c>
      <c r="O78" s="147"/>
    </row>
    <row r="79" spans="7:17" ht="11.25" x14ac:dyDescent="0.15">
      <c r="G79" s="139" t="s">
        <v>124</v>
      </c>
      <c r="H79" s="139"/>
      <c r="I79" s="140" t="s">
        <v>237</v>
      </c>
      <c r="J79" s="141"/>
      <c r="L79" s="139" t="s">
        <v>124</v>
      </c>
      <c r="M79" s="139"/>
      <c r="N79" s="140" t="s">
        <v>237</v>
      </c>
      <c r="O79" s="141"/>
    </row>
    <row r="80" spans="7:17" ht="11.25" x14ac:dyDescent="0.15">
      <c r="G80" s="139" t="s">
        <v>127</v>
      </c>
      <c r="H80" s="139"/>
      <c r="I80" s="140" t="s">
        <v>36</v>
      </c>
      <c r="J80" s="141"/>
      <c r="L80" s="139" t="s">
        <v>127</v>
      </c>
      <c r="M80" s="139"/>
      <c r="N80" s="140" t="s">
        <v>36</v>
      </c>
      <c r="O80" s="141"/>
    </row>
    <row r="81" spans="7:16" ht="11.25" x14ac:dyDescent="0.15">
      <c r="G81" s="139" t="s">
        <v>179</v>
      </c>
      <c r="H81" s="139"/>
      <c r="I81" s="140">
        <f>I86*I88</f>
        <v>244200.00000000003</v>
      </c>
      <c r="J81" s="141"/>
      <c r="L81" s="139" t="s">
        <v>179</v>
      </c>
      <c r="M81" s="139"/>
      <c r="N81" s="140">
        <f>N86*N88</f>
        <v>244200.00000000003</v>
      </c>
      <c r="O81" s="141"/>
    </row>
    <row r="82" spans="7:16" ht="11.25" x14ac:dyDescent="0.15">
      <c r="G82" s="139" t="s">
        <v>131</v>
      </c>
      <c r="H82" s="139"/>
      <c r="I82" s="140" t="s">
        <v>132</v>
      </c>
      <c r="J82" s="141"/>
      <c r="L82" s="139" t="s">
        <v>131</v>
      </c>
      <c r="M82" s="139"/>
      <c r="N82" s="140" t="s">
        <v>238</v>
      </c>
      <c r="O82" s="141"/>
    </row>
    <row r="83" spans="7:16" ht="11.25" x14ac:dyDescent="0.15">
      <c r="G83" s="139" t="s">
        <v>134</v>
      </c>
      <c r="H83" s="139"/>
      <c r="I83" s="145">
        <f>I78+31</f>
        <v>43279</v>
      </c>
      <c r="J83" s="141"/>
      <c r="L83" s="139" t="s">
        <v>134</v>
      </c>
      <c r="M83" s="139"/>
      <c r="N83" s="145">
        <f>N78+31</f>
        <v>43279</v>
      </c>
      <c r="O83" s="141"/>
    </row>
    <row r="84" spans="7:16" ht="11.25" x14ac:dyDescent="0.15">
      <c r="G84" s="139" t="s">
        <v>136</v>
      </c>
      <c r="H84" s="139"/>
      <c r="I84" s="140">
        <v>456.5</v>
      </c>
      <c r="J84" s="141"/>
      <c r="L84" s="139" t="s">
        <v>136</v>
      </c>
      <c r="M84" s="139"/>
      <c r="N84" s="140">
        <v>456.5</v>
      </c>
      <c r="O84" s="141"/>
      <c r="P84" s="100">
        <f>N84*3.5/100</f>
        <v>15.977499999999999</v>
      </c>
    </row>
    <row r="85" spans="7:16" ht="11.25" x14ac:dyDescent="0.15">
      <c r="G85" s="139" t="s">
        <v>138</v>
      </c>
      <c r="H85" s="139"/>
      <c r="I85" s="140">
        <v>456.5</v>
      </c>
      <c r="J85" s="141"/>
      <c r="L85" s="139" t="s">
        <v>138</v>
      </c>
      <c r="M85" s="139"/>
      <c r="N85" s="140">
        <v>456.5</v>
      </c>
      <c r="O85" s="141"/>
    </row>
    <row r="86" spans="7:16" ht="11.25" x14ac:dyDescent="0.15">
      <c r="G86" s="139" t="s">
        <v>140</v>
      </c>
      <c r="H86" s="139"/>
      <c r="I86" s="140">
        <v>24.42</v>
      </c>
      <c r="J86" s="141"/>
      <c r="L86" s="139" t="s">
        <v>140</v>
      </c>
      <c r="M86" s="139"/>
      <c r="N86" s="140">
        <v>24.42</v>
      </c>
      <c r="O86" s="141"/>
    </row>
    <row r="87" spans="7:16" ht="11.25" x14ac:dyDescent="0.15">
      <c r="G87" s="139" t="s">
        <v>142</v>
      </c>
      <c r="H87" s="139"/>
      <c r="I87" s="140" t="s">
        <v>201</v>
      </c>
      <c r="J87" s="141"/>
      <c r="L87" s="139" t="s">
        <v>142</v>
      </c>
      <c r="M87" s="139"/>
      <c r="N87" s="140" t="s">
        <v>201</v>
      </c>
      <c r="O87" s="141"/>
    </row>
    <row r="88" spans="7:16" ht="11.25" x14ac:dyDescent="0.15">
      <c r="G88" s="139" t="s">
        <v>145</v>
      </c>
      <c r="H88" s="139"/>
      <c r="I88" s="140">
        <v>10000</v>
      </c>
      <c r="J88" s="141"/>
      <c r="L88" s="139" t="s">
        <v>145</v>
      </c>
      <c r="M88" s="139"/>
      <c r="N88" s="140">
        <v>10000</v>
      </c>
      <c r="O88" s="141"/>
    </row>
    <row r="89" spans="7:16" ht="12" thickBot="1" x14ac:dyDescent="0.2">
      <c r="G89" s="142" t="s">
        <v>147</v>
      </c>
      <c r="H89" s="142"/>
      <c r="I89" s="143" t="s">
        <v>206</v>
      </c>
      <c r="J89" s="144"/>
      <c r="L89" s="142" t="s">
        <v>147</v>
      </c>
      <c r="M89" s="142"/>
      <c r="N89" s="143" t="s">
        <v>206</v>
      </c>
      <c r="O89" s="144"/>
    </row>
    <row r="90" spans="7:16" ht="11.25" thickTop="1" x14ac:dyDescent="0.15"/>
  </sheetData>
  <mergeCells count="526">
    <mergeCell ref="G88:H88"/>
    <mergeCell ref="I88:J88"/>
    <mergeCell ref="L88:M88"/>
    <mergeCell ref="N88:O88"/>
    <mergeCell ref="G89:H89"/>
    <mergeCell ref="I89:J89"/>
    <mergeCell ref="L89:M89"/>
    <mergeCell ref="N89:O89"/>
    <mergeCell ref="G85:H85"/>
    <mergeCell ref="I85:J85"/>
    <mergeCell ref="L85:M85"/>
    <mergeCell ref="N85:O85"/>
    <mergeCell ref="G86:H86"/>
    <mergeCell ref="I86:J86"/>
    <mergeCell ref="L86:M86"/>
    <mergeCell ref="N86:O86"/>
    <mergeCell ref="G87:H87"/>
    <mergeCell ref="I87:J87"/>
    <mergeCell ref="L87:M87"/>
    <mergeCell ref="N87:O87"/>
    <mergeCell ref="G82:H82"/>
    <mergeCell ref="I82:J82"/>
    <mergeCell ref="L82:M82"/>
    <mergeCell ref="N82:O82"/>
    <mergeCell ref="G83:H83"/>
    <mergeCell ref="I83:J83"/>
    <mergeCell ref="L83:M83"/>
    <mergeCell ref="N83:O83"/>
    <mergeCell ref="G84:H84"/>
    <mergeCell ref="I84:J84"/>
    <mergeCell ref="L84:M84"/>
    <mergeCell ref="N84:O84"/>
    <mergeCell ref="G79:H79"/>
    <mergeCell ref="I79:J79"/>
    <mergeCell ref="L79:M79"/>
    <mergeCell ref="N79:O79"/>
    <mergeCell ref="G80:H80"/>
    <mergeCell ref="I80:J80"/>
    <mergeCell ref="L80:M80"/>
    <mergeCell ref="N80:O80"/>
    <mergeCell ref="G81:H81"/>
    <mergeCell ref="I81:J81"/>
    <mergeCell ref="L81:M81"/>
    <mergeCell ref="N81:O81"/>
    <mergeCell ref="L73:M73"/>
    <mergeCell ref="N73:O73"/>
    <mergeCell ref="L74:M74"/>
    <mergeCell ref="N74:O74"/>
    <mergeCell ref="L75:M75"/>
    <mergeCell ref="N75:O75"/>
    <mergeCell ref="G77:J77"/>
    <mergeCell ref="L77:O77"/>
    <mergeCell ref="G78:H78"/>
    <mergeCell ref="I78:J78"/>
    <mergeCell ref="L78:M78"/>
    <mergeCell ref="N78:O78"/>
    <mergeCell ref="G73:H73"/>
    <mergeCell ref="I73:J73"/>
    <mergeCell ref="G74:H74"/>
    <mergeCell ref="I74:J74"/>
    <mergeCell ref="G75:H75"/>
    <mergeCell ref="I75:J75"/>
    <mergeCell ref="L68:M68"/>
    <mergeCell ref="N68:O68"/>
    <mergeCell ref="L69:M69"/>
    <mergeCell ref="N69:O69"/>
    <mergeCell ref="L70:M70"/>
    <mergeCell ref="N70:O70"/>
    <mergeCell ref="L71:M71"/>
    <mergeCell ref="N71:O71"/>
    <mergeCell ref="L72:M72"/>
    <mergeCell ref="N72:O72"/>
    <mergeCell ref="L63:O63"/>
    <mergeCell ref="L64:M64"/>
    <mergeCell ref="N64:O64"/>
    <mergeCell ref="L65:M65"/>
    <mergeCell ref="N65:O65"/>
    <mergeCell ref="L66:M66"/>
    <mergeCell ref="N66:O66"/>
    <mergeCell ref="L67:M67"/>
    <mergeCell ref="N67:O67"/>
    <mergeCell ref="G68:H68"/>
    <mergeCell ref="I68:J68"/>
    <mergeCell ref="G69:H69"/>
    <mergeCell ref="I69:J69"/>
    <mergeCell ref="G70:H70"/>
    <mergeCell ref="I70:J70"/>
    <mergeCell ref="G71:H71"/>
    <mergeCell ref="I71:J71"/>
    <mergeCell ref="G72:H72"/>
    <mergeCell ref="I72:J72"/>
    <mergeCell ref="G63:J63"/>
    <mergeCell ref="G64:H64"/>
    <mergeCell ref="I64:J64"/>
    <mergeCell ref="G65:H65"/>
    <mergeCell ref="I65:J65"/>
    <mergeCell ref="G66:H66"/>
    <mergeCell ref="I66:J66"/>
    <mergeCell ref="G67:H67"/>
    <mergeCell ref="I67:J67"/>
    <mergeCell ref="Q59:R59"/>
    <mergeCell ref="S59:T59"/>
    <mergeCell ref="Q60:R60"/>
    <mergeCell ref="S60:T60"/>
    <mergeCell ref="Q61:R61"/>
    <mergeCell ref="S61:T61"/>
    <mergeCell ref="Q54:R54"/>
    <mergeCell ref="S54:T54"/>
    <mergeCell ref="Q55:R55"/>
    <mergeCell ref="S55:T55"/>
    <mergeCell ref="Q56:R56"/>
    <mergeCell ref="S56:T56"/>
    <mergeCell ref="Q57:R57"/>
    <mergeCell ref="S57:T57"/>
    <mergeCell ref="Q58:R58"/>
    <mergeCell ref="S58:T58"/>
    <mergeCell ref="Q49:T49"/>
    <mergeCell ref="Q50:R50"/>
    <mergeCell ref="S50:T50"/>
    <mergeCell ref="Q51:R51"/>
    <mergeCell ref="S51:T51"/>
    <mergeCell ref="Q52:R52"/>
    <mergeCell ref="S52:T52"/>
    <mergeCell ref="Q53:R53"/>
    <mergeCell ref="S53:T53"/>
    <mergeCell ref="B59:C59"/>
    <mergeCell ref="D59:E59"/>
    <mergeCell ref="B60:C60"/>
    <mergeCell ref="D60:E60"/>
    <mergeCell ref="B61:C61"/>
    <mergeCell ref="D61:E61"/>
    <mergeCell ref="B54:C54"/>
    <mergeCell ref="D54:E54"/>
    <mergeCell ref="B55:C55"/>
    <mergeCell ref="D55:E55"/>
    <mergeCell ref="B56:C56"/>
    <mergeCell ref="D56:E56"/>
    <mergeCell ref="B57:C57"/>
    <mergeCell ref="D57:E57"/>
    <mergeCell ref="B58:C58"/>
    <mergeCell ref="D58:E58"/>
    <mergeCell ref="B49:E49"/>
    <mergeCell ref="B50:C50"/>
    <mergeCell ref="D50:E50"/>
    <mergeCell ref="B51:C51"/>
    <mergeCell ref="D51:E51"/>
    <mergeCell ref="B52:C52"/>
    <mergeCell ref="D52:E52"/>
    <mergeCell ref="B53:C53"/>
    <mergeCell ref="D53:E53"/>
    <mergeCell ref="Q46:R46"/>
    <mergeCell ref="S46:T46"/>
    <mergeCell ref="Q47:R47"/>
    <mergeCell ref="S47:T47"/>
    <mergeCell ref="Q48:R48"/>
    <mergeCell ref="S48:T48"/>
    <mergeCell ref="Q41:R41"/>
    <mergeCell ref="S41:T41"/>
    <mergeCell ref="Q42:R42"/>
    <mergeCell ref="S42:T42"/>
    <mergeCell ref="Q43:R43"/>
    <mergeCell ref="S43:T43"/>
    <mergeCell ref="Q44:R44"/>
    <mergeCell ref="S44:T44"/>
    <mergeCell ref="Q45:R45"/>
    <mergeCell ref="S45:T45"/>
    <mergeCell ref="Q36:T36"/>
    <mergeCell ref="Q37:R37"/>
    <mergeCell ref="S37:T37"/>
    <mergeCell ref="Q38:R38"/>
    <mergeCell ref="S38:T38"/>
    <mergeCell ref="Q39:R39"/>
    <mergeCell ref="S39:T39"/>
    <mergeCell ref="Q40:R40"/>
    <mergeCell ref="S40:T40"/>
    <mergeCell ref="B46:C46"/>
    <mergeCell ref="D46:E46"/>
    <mergeCell ref="B47:C47"/>
    <mergeCell ref="D47:E47"/>
    <mergeCell ref="B48:C48"/>
    <mergeCell ref="D48:E48"/>
    <mergeCell ref="B41:C41"/>
    <mergeCell ref="D41:E41"/>
    <mergeCell ref="B42:C42"/>
    <mergeCell ref="D42:E42"/>
    <mergeCell ref="B43:C43"/>
    <mergeCell ref="D43:E43"/>
    <mergeCell ref="B44:C44"/>
    <mergeCell ref="D44:E44"/>
    <mergeCell ref="B45:C45"/>
    <mergeCell ref="D45:E45"/>
    <mergeCell ref="B36:E36"/>
    <mergeCell ref="B37:C37"/>
    <mergeCell ref="D37:E37"/>
    <mergeCell ref="B38:C38"/>
    <mergeCell ref="D38:E38"/>
    <mergeCell ref="B39:C39"/>
    <mergeCell ref="D39:E39"/>
    <mergeCell ref="B40:C40"/>
    <mergeCell ref="D40:E40"/>
    <mergeCell ref="G33:H33"/>
    <mergeCell ref="I33:J33"/>
    <mergeCell ref="G34:H34"/>
    <mergeCell ref="I34:J34"/>
    <mergeCell ref="G30:H30"/>
    <mergeCell ref="I26:J26"/>
    <mergeCell ref="G27:H27"/>
    <mergeCell ref="I27:J27"/>
    <mergeCell ref="G28:H28"/>
    <mergeCell ref="I28:J28"/>
    <mergeCell ref="G29:H29"/>
    <mergeCell ref="I29:J29"/>
    <mergeCell ref="G31:H31"/>
    <mergeCell ref="I31:J31"/>
    <mergeCell ref="G32:H32"/>
    <mergeCell ref="I32:J32"/>
    <mergeCell ref="G26:H26"/>
    <mergeCell ref="I30:J30"/>
    <mergeCell ref="B32:C32"/>
    <mergeCell ref="D32:E32"/>
    <mergeCell ref="B33:C33"/>
    <mergeCell ref="D33:E33"/>
    <mergeCell ref="B34:C34"/>
    <mergeCell ref="D34:E34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G16:H16"/>
    <mergeCell ref="I16:J16"/>
    <mergeCell ref="B28:C28"/>
    <mergeCell ref="D28:E28"/>
    <mergeCell ref="B22:E22"/>
    <mergeCell ref="B24:C24"/>
    <mergeCell ref="D24:E24"/>
    <mergeCell ref="B25:C25"/>
    <mergeCell ref="D25:E25"/>
    <mergeCell ref="D23:E23"/>
    <mergeCell ref="B16:C16"/>
    <mergeCell ref="D16:E16"/>
    <mergeCell ref="G22:J22"/>
    <mergeCell ref="I23:J23"/>
    <mergeCell ref="G24:H24"/>
    <mergeCell ref="I24:J24"/>
    <mergeCell ref="I25:J25"/>
    <mergeCell ref="G25:H25"/>
    <mergeCell ref="B23:C23"/>
    <mergeCell ref="G23:H23"/>
    <mergeCell ref="I7:J7"/>
    <mergeCell ref="G8:H8"/>
    <mergeCell ref="I8:J8"/>
    <mergeCell ref="I12:J12"/>
    <mergeCell ref="G13:H13"/>
    <mergeCell ref="I13:J13"/>
    <mergeCell ref="G14:H14"/>
    <mergeCell ref="D11:E11"/>
    <mergeCell ref="B12:C12"/>
    <mergeCell ref="B9:C9"/>
    <mergeCell ref="B10:C10"/>
    <mergeCell ref="B11:C11"/>
    <mergeCell ref="D12:E12"/>
    <mergeCell ref="D13:E13"/>
    <mergeCell ref="D14:E14"/>
    <mergeCell ref="B1:C1"/>
    <mergeCell ref="B6:C6"/>
    <mergeCell ref="B3:E3"/>
    <mergeCell ref="B7:C7"/>
    <mergeCell ref="B8:C8"/>
    <mergeCell ref="B4:E4"/>
    <mergeCell ref="D6:E6"/>
    <mergeCell ref="D7:E7"/>
    <mergeCell ref="D8:E8"/>
    <mergeCell ref="B5:C5"/>
    <mergeCell ref="D5:E5"/>
    <mergeCell ref="D15:E15"/>
    <mergeCell ref="B13:C13"/>
    <mergeCell ref="B14:C14"/>
    <mergeCell ref="B15:C15"/>
    <mergeCell ref="D9:E9"/>
    <mergeCell ref="D10:E10"/>
    <mergeCell ref="G9:H9"/>
    <mergeCell ref="I9:J9"/>
    <mergeCell ref="I10:J10"/>
    <mergeCell ref="G11:H11"/>
    <mergeCell ref="I11:J11"/>
    <mergeCell ref="G15:H15"/>
    <mergeCell ref="I15:J15"/>
    <mergeCell ref="G12:H12"/>
    <mergeCell ref="L3:O3"/>
    <mergeCell ref="L4:O4"/>
    <mergeCell ref="L6:M6"/>
    <mergeCell ref="N6:O6"/>
    <mergeCell ref="L7:M7"/>
    <mergeCell ref="N7:O7"/>
    <mergeCell ref="L8:M8"/>
    <mergeCell ref="N8:O8"/>
    <mergeCell ref="L9:M9"/>
    <mergeCell ref="N9:O9"/>
    <mergeCell ref="G3:J3"/>
    <mergeCell ref="G4:J4"/>
    <mergeCell ref="G5:H5"/>
    <mergeCell ref="G6:H6"/>
    <mergeCell ref="I6:J6"/>
    <mergeCell ref="G7:H7"/>
    <mergeCell ref="L17:M17"/>
    <mergeCell ref="N17:O17"/>
    <mergeCell ref="Q3:T3"/>
    <mergeCell ref="Q4:T4"/>
    <mergeCell ref="Q5:R5"/>
    <mergeCell ref="Q6:R6"/>
    <mergeCell ref="S6:T6"/>
    <mergeCell ref="Q7:R7"/>
    <mergeCell ref="S7:T7"/>
    <mergeCell ref="Q8:R8"/>
    <mergeCell ref="S8:T8"/>
    <mergeCell ref="Q9:R9"/>
    <mergeCell ref="S9:T9"/>
    <mergeCell ref="S10:T10"/>
    <mergeCell ref="Q11:R11"/>
    <mergeCell ref="S11:T11"/>
    <mergeCell ref="Q13:R13"/>
    <mergeCell ref="S13:T13"/>
    <mergeCell ref="Q17:R17"/>
    <mergeCell ref="S17:T17"/>
    <mergeCell ref="L10:M10"/>
    <mergeCell ref="N10:O10"/>
    <mergeCell ref="L11:M11"/>
    <mergeCell ref="N11:O11"/>
    <mergeCell ref="Q12:R12"/>
    <mergeCell ref="S12:T12"/>
    <mergeCell ref="Q14:R14"/>
    <mergeCell ref="S14:T14"/>
    <mergeCell ref="Q15:R15"/>
    <mergeCell ref="Q16:R16"/>
    <mergeCell ref="S16:T16"/>
    <mergeCell ref="L15:M15"/>
    <mergeCell ref="N15:O15"/>
    <mergeCell ref="L16:M16"/>
    <mergeCell ref="N16:O16"/>
    <mergeCell ref="L13:M13"/>
    <mergeCell ref="N13:O13"/>
    <mergeCell ref="L14:M14"/>
    <mergeCell ref="N14:O14"/>
    <mergeCell ref="L12:M12"/>
    <mergeCell ref="N12:O12"/>
    <mergeCell ref="L22:O22"/>
    <mergeCell ref="L23:M23"/>
    <mergeCell ref="N23:O23"/>
    <mergeCell ref="L24:M24"/>
    <mergeCell ref="N24:O24"/>
    <mergeCell ref="L25:M25"/>
    <mergeCell ref="N25:O25"/>
    <mergeCell ref="L26:M26"/>
    <mergeCell ref="N26:O26"/>
    <mergeCell ref="L32:M32"/>
    <mergeCell ref="N32:O32"/>
    <mergeCell ref="L33:M33"/>
    <mergeCell ref="N33:O33"/>
    <mergeCell ref="L34:M34"/>
    <mergeCell ref="N34:O34"/>
    <mergeCell ref="L27:M27"/>
    <mergeCell ref="N27:O27"/>
    <mergeCell ref="L28:M28"/>
    <mergeCell ref="N28:O28"/>
    <mergeCell ref="L29:M29"/>
    <mergeCell ref="N29:O29"/>
    <mergeCell ref="L30:M30"/>
    <mergeCell ref="N30:O30"/>
    <mergeCell ref="L31:M31"/>
    <mergeCell ref="N31:O31"/>
    <mergeCell ref="Q22:T22"/>
    <mergeCell ref="Q23:R23"/>
    <mergeCell ref="S23:T23"/>
    <mergeCell ref="Q24:R24"/>
    <mergeCell ref="S24:T24"/>
    <mergeCell ref="Q25:R25"/>
    <mergeCell ref="S25:T25"/>
    <mergeCell ref="Q26:R26"/>
    <mergeCell ref="S26:T26"/>
    <mergeCell ref="Q27:R27"/>
    <mergeCell ref="S27:T27"/>
    <mergeCell ref="Q28:R28"/>
    <mergeCell ref="S28:T28"/>
    <mergeCell ref="Q29:R29"/>
    <mergeCell ref="S29:T29"/>
    <mergeCell ref="Q30:R30"/>
    <mergeCell ref="S30:T30"/>
    <mergeCell ref="Q31:R31"/>
    <mergeCell ref="S31:T31"/>
    <mergeCell ref="V27:W27"/>
    <mergeCell ref="X27:Y27"/>
    <mergeCell ref="V28:W28"/>
    <mergeCell ref="X28:Y28"/>
    <mergeCell ref="V29:W29"/>
    <mergeCell ref="X29:Y29"/>
    <mergeCell ref="V30:W30"/>
    <mergeCell ref="X30:Y30"/>
    <mergeCell ref="V31:W31"/>
    <mergeCell ref="X31:Y31"/>
    <mergeCell ref="V22:Y22"/>
    <mergeCell ref="V23:W23"/>
    <mergeCell ref="X23:Y23"/>
    <mergeCell ref="V24:W24"/>
    <mergeCell ref="X24:Y24"/>
    <mergeCell ref="V25:W25"/>
    <mergeCell ref="X25:Y25"/>
    <mergeCell ref="V26:W26"/>
    <mergeCell ref="X26:Y26"/>
    <mergeCell ref="V32:W32"/>
    <mergeCell ref="X32:Y32"/>
    <mergeCell ref="V33:W33"/>
    <mergeCell ref="X33:Y33"/>
    <mergeCell ref="V34:W34"/>
    <mergeCell ref="X34:Y34"/>
    <mergeCell ref="Q32:R32"/>
    <mergeCell ref="S32:T32"/>
    <mergeCell ref="Q33:R33"/>
    <mergeCell ref="S33:T33"/>
    <mergeCell ref="Q34:R34"/>
    <mergeCell ref="S34:T34"/>
    <mergeCell ref="G47:H47"/>
    <mergeCell ref="I47:J47"/>
    <mergeCell ref="G48:H48"/>
    <mergeCell ref="I48:J48"/>
    <mergeCell ref="G41:H41"/>
    <mergeCell ref="I41:J41"/>
    <mergeCell ref="G42:H42"/>
    <mergeCell ref="I42:J42"/>
    <mergeCell ref="G43:H43"/>
    <mergeCell ref="I43:J43"/>
    <mergeCell ref="G44:H44"/>
    <mergeCell ref="I44:J44"/>
    <mergeCell ref="G45:H45"/>
    <mergeCell ref="I45:J45"/>
    <mergeCell ref="L36:O36"/>
    <mergeCell ref="L37:M37"/>
    <mergeCell ref="N37:O37"/>
    <mergeCell ref="L38:M38"/>
    <mergeCell ref="L39:M39"/>
    <mergeCell ref="L40:M40"/>
    <mergeCell ref="N40:O40"/>
    <mergeCell ref="G46:H46"/>
    <mergeCell ref="I46:J46"/>
    <mergeCell ref="G36:J36"/>
    <mergeCell ref="G37:H37"/>
    <mergeCell ref="I37:J37"/>
    <mergeCell ref="G38:H38"/>
    <mergeCell ref="I38:J38"/>
    <mergeCell ref="G39:H39"/>
    <mergeCell ref="I39:J39"/>
    <mergeCell ref="G40:H40"/>
    <mergeCell ref="I40:J40"/>
    <mergeCell ref="L46:M46"/>
    <mergeCell ref="N46:O46"/>
    <mergeCell ref="L47:M47"/>
    <mergeCell ref="N47:O47"/>
    <mergeCell ref="L48:M48"/>
    <mergeCell ref="N48:O48"/>
    <mergeCell ref="N38:O38"/>
    <mergeCell ref="N39:O39"/>
    <mergeCell ref="L41:M41"/>
    <mergeCell ref="N41:O41"/>
    <mergeCell ref="L42:M42"/>
    <mergeCell ref="N42:O42"/>
    <mergeCell ref="L43:M43"/>
    <mergeCell ref="N43:O43"/>
    <mergeCell ref="L44:M44"/>
    <mergeCell ref="N44:O44"/>
    <mergeCell ref="L45:M45"/>
    <mergeCell ref="N45:O45"/>
    <mergeCell ref="G49:J49"/>
    <mergeCell ref="G50:H50"/>
    <mergeCell ref="I50:J50"/>
    <mergeCell ref="G51:H51"/>
    <mergeCell ref="I51:J51"/>
    <mergeCell ref="G52:H52"/>
    <mergeCell ref="I52:J52"/>
    <mergeCell ref="G53:H53"/>
    <mergeCell ref="I53:J53"/>
    <mergeCell ref="G59:H59"/>
    <mergeCell ref="I59:J59"/>
    <mergeCell ref="G60:H60"/>
    <mergeCell ref="I60:J60"/>
    <mergeCell ref="G61:H61"/>
    <mergeCell ref="I61:J61"/>
    <mergeCell ref="G54:H54"/>
    <mergeCell ref="I54:J54"/>
    <mergeCell ref="G55:H55"/>
    <mergeCell ref="I55:J55"/>
    <mergeCell ref="G56:H56"/>
    <mergeCell ref="I56:J56"/>
    <mergeCell ref="G57:H57"/>
    <mergeCell ref="I57:J57"/>
    <mergeCell ref="G58:H58"/>
    <mergeCell ref="I58:J58"/>
    <mergeCell ref="L49:O49"/>
    <mergeCell ref="L50:M50"/>
    <mergeCell ref="N50:O50"/>
    <mergeCell ref="L51:M51"/>
    <mergeCell ref="N51:O51"/>
    <mergeCell ref="L52:M52"/>
    <mergeCell ref="N52:O52"/>
    <mergeCell ref="L53:M53"/>
    <mergeCell ref="N53:O53"/>
    <mergeCell ref="L59:M59"/>
    <mergeCell ref="N59:O59"/>
    <mergeCell ref="L60:M60"/>
    <mergeCell ref="N60:O60"/>
    <mergeCell ref="L61:M61"/>
    <mergeCell ref="N61:O61"/>
    <mergeCell ref="L54:M54"/>
    <mergeCell ref="N54:O54"/>
    <mergeCell ref="L55:M55"/>
    <mergeCell ref="N55:O55"/>
    <mergeCell ref="L56:M56"/>
    <mergeCell ref="N56:O56"/>
    <mergeCell ref="L57:M57"/>
    <mergeCell ref="N57:O57"/>
    <mergeCell ref="L58:M58"/>
    <mergeCell ref="N58:O58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Y32"/>
  <sheetViews>
    <sheetView topLeftCell="C10" zoomScaleNormal="100" workbookViewId="0">
      <selection activeCell="C31" sqref="C31:S31"/>
    </sheetView>
  </sheetViews>
  <sheetFormatPr defaultColWidth="9" defaultRowHeight="11.25" x14ac:dyDescent="0.15"/>
  <cols>
    <col min="1" max="1" width="8.125" style="6" customWidth="1"/>
    <col min="2" max="2" width="27" style="6" customWidth="1"/>
    <col min="3" max="3" width="19.375" style="6" customWidth="1"/>
    <col min="4" max="4" width="13.875" style="6" bestFit="1" customWidth="1"/>
    <col min="5" max="6" width="9" style="6"/>
    <col min="7" max="7" width="9.75" style="6" bestFit="1" customWidth="1"/>
    <col min="8" max="8" width="12.25" style="6" customWidth="1"/>
    <col min="9" max="9" width="11" style="6" customWidth="1"/>
    <col min="10" max="10" width="8.125" style="6" customWidth="1"/>
    <col min="11" max="11" width="7.25" style="6" customWidth="1"/>
    <col min="12" max="12" width="15.75" style="6" customWidth="1"/>
    <col min="13" max="13" width="7.75" style="6" customWidth="1"/>
    <col min="14" max="14" width="10" style="6" customWidth="1"/>
    <col min="15" max="15" width="8.625" style="6" customWidth="1"/>
    <col min="16" max="16" width="13" style="6" bestFit="1" customWidth="1"/>
    <col min="17" max="17" width="6.5" style="6" customWidth="1"/>
    <col min="18" max="18" width="6.25" style="6" customWidth="1"/>
    <col min="19" max="19" width="7" style="6" customWidth="1"/>
    <col min="20" max="21" width="9" style="6"/>
    <col min="22" max="22" width="13.75" style="6" customWidth="1"/>
    <col min="23" max="25" width="9" style="6"/>
    <col min="26" max="26" width="15.5" style="6" bestFit="1" customWidth="1"/>
    <col min="27" max="16384" width="9" style="6"/>
  </cols>
  <sheetData>
    <row r="1" spans="1:25" ht="13.5" customHeight="1" thickBot="1" x14ac:dyDescent="0.2">
      <c r="B1" s="161" t="s">
        <v>37</v>
      </c>
      <c r="C1" s="161"/>
    </row>
    <row r="2" spans="1:25" ht="12" thickTop="1" x14ac:dyDescent="0.15">
      <c r="B2" s="3" t="s">
        <v>0</v>
      </c>
      <c r="C2" s="4">
        <v>43111</v>
      </c>
    </row>
    <row r="3" spans="1:25" ht="13.5" x14ac:dyDescent="0.15">
      <c r="A3" s="39" t="s">
        <v>192</v>
      </c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Y6" s="6">
        <v>0.1</v>
      </c>
    </row>
    <row r="7" spans="1:25" ht="12.75" thickTop="1" thickBot="1" x14ac:dyDescent="0.2">
      <c r="B7" s="18" t="s">
        <v>170</v>
      </c>
      <c r="C7" s="18" t="s">
        <v>2</v>
      </c>
      <c r="D7" s="17" t="s">
        <v>181</v>
      </c>
      <c r="E7" s="17" t="s">
        <v>180</v>
      </c>
      <c r="F7" s="17" t="s">
        <v>10</v>
      </c>
      <c r="G7" s="17" t="s">
        <v>7</v>
      </c>
      <c r="H7" s="17" t="s">
        <v>11</v>
      </c>
      <c r="I7" s="17" t="s">
        <v>12</v>
      </c>
      <c r="J7" s="17" t="s">
        <v>47</v>
      </c>
      <c r="K7" s="17" t="s">
        <v>13</v>
      </c>
      <c r="L7" s="17" t="s">
        <v>14</v>
      </c>
      <c r="M7" s="17" t="s">
        <v>26</v>
      </c>
      <c r="N7" s="17" t="s">
        <v>28</v>
      </c>
      <c r="O7" s="17" t="s">
        <v>182</v>
      </c>
      <c r="P7" s="17" t="s">
        <v>8</v>
      </c>
      <c r="Q7" s="17" t="s">
        <v>23</v>
      </c>
      <c r="R7" s="17"/>
      <c r="S7" s="17" t="s">
        <v>30</v>
      </c>
      <c r="T7" s="18" t="s">
        <v>33</v>
      </c>
      <c r="U7" s="18" t="s">
        <v>16</v>
      </c>
      <c r="V7" s="18" t="s">
        <v>17</v>
      </c>
    </row>
    <row r="8" spans="1:25" ht="10.5" customHeight="1" thickTop="1" x14ac:dyDescent="0.15">
      <c r="A8" s="34"/>
      <c r="B8" s="13" t="s">
        <v>172</v>
      </c>
      <c r="C8" s="10" t="s">
        <v>161</v>
      </c>
      <c r="D8" s="10" t="s">
        <v>202</v>
      </c>
      <c r="E8" s="8">
        <f t="shared" ref="E8:E9" ca="1" si="0">TODAY()</f>
        <v>43257</v>
      </c>
      <c r="F8" s="8">
        <f t="shared" ref="F8" ca="1" si="1">E8+H8</f>
        <v>43348</v>
      </c>
      <c r="G8" s="10">
        <v>11500</v>
      </c>
      <c r="H8" s="10">
        <v>91</v>
      </c>
      <c r="I8" s="12">
        <f>H8/365</f>
        <v>0.24931506849315069</v>
      </c>
      <c r="J8" s="12">
        <v>0</v>
      </c>
      <c r="K8" s="9">
        <v>0.21</v>
      </c>
      <c r="L8" s="13">
        <f>_xll.dnetGBlackScholesNGreeks("price",$Q8,$P8,$G8,$I8,$C$3,$J8,$K8,$C$4)*R8</f>
        <v>-2.7470870773529583</v>
      </c>
      <c r="M8" s="15"/>
      <c r="N8" s="13">
        <f t="shared" ref="N8" si="2">M8/10000*I8*P8</f>
        <v>0</v>
      </c>
      <c r="O8" s="13">
        <f>IF(L8&lt;=0,ABS(L8)+N8,L8-N8)</f>
        <v>2.7470870773529583</v>
      </c>
      <c r="P8" s="11">
        <f>RTD("wdf.rtq",,D8,"LastPrice")</f>
        <v>14945</v>
      </c>
      <c r="Q8" s="10" t="s">
        <v>85</v>
      </c>
      <c r="R8" s="10">
        <f t="shared" ref="R8" si="3">IF(S8="中金买入",1,-1)</f>
        <v>-1</v>
      </c>
      <c r="S8" s="10" t="s">
        <v>20</v>
      </c>
      <c r="T8" s="14">
        <f t="shared" ref="T8" si="4">O8/P8</f>
        <v>1.8381311992994034E-4</v>
      </c>
      <c r="U8" s="13">
        <f>_xll.dnetGBlackScholesNGreeks("delta",$Q8,$P8,$G8,$I8,$C$3,$J8,$K8,$C$4)*R8</f>
        <v>5.338253795628134E-3</v>
      </c>
      <c r="V8" s="13">
        <f>_xll.dnetGBlackScholesNGreeks("vega",$Q8,$P8,$G8,$I8,$C$3,$J8,$K8,$C$4)*R8</f>
        <v>-1.1518415904402062</v>
      </c>
    </row>
    <row r="9" spans="1:25" ht="10.5" customHeight="1" x14ac:dyDescent="0.15">
      <c r="A9" s="34"/>
      <c r="B9" s="13" t="s">
        <v>172</v>
      </c>
      <c r="C9" s="10" t="s">
        <v>161</v>
      </c>
      <c r="D9" s="10" t="s">
        <v>202</v>
      </c>
      <c r="E9" s="8">
        <f t="shared" ca="1" si="0"/>
        <v>43257</v>
      </c>
      <c r="F9" s="8">
        <f t="shared" ref="F9" ca="1" si="5">E9+H9</f>
        <v>43804.5</v>
      </c>
      <c r="G9" s="10">
        <v>100</v>
      </c>
      <c r="H9" s="10">
        <f>365*1.5</f>
        <v>547.5</v>
      </c>
      <c r="I9" s="12">
        <f>H9/365</f>
        <v>1.5</v>
      </c>
      <c r="J9" s="12">
        <v>-0.02</v>
      </c>
      <c r="K9" s="9">
        <v>0.24</v>
      </c>
      <c r="L9" s="13">
        <f>_xll.dnetGBlackScholesNGreeks("price",$Q9,$P9,$G9,$I9,$C$3,$J9,$K9,$C$4)*R9</f>
        <v>-9.7951575710743981</v>
      </c>
      <c r="M9" s="15"/>
      <c r="N9" s="13">
        <f t="shared" ref="N9:N10" si="6">M9/10000*I9*P9</f>
        <v>0</v>
      </c>
      <c r="O9" s="13">
        <f>IF(L9&lt;=0,ABS(L9)+N9,L9-N9)</f>
        <v>9.7951575710743981</v>
      </c>
      <c r="P9" s="11">
        <v>100</v>
      </c>
      <c r="Q9" s="10" t="s">
        <v>39</v>
      </c>
      <c r="R9" s="10">
        <f t="shared" ref="R9" si="7">IF(S9="中金买入",1,-1)</f>
        <v>-1</v>
      </c>
      <c r="S9" s="10" t="s">
        <v>20</v>
      </c>
      <c r="T9" s="14">
        <f t="shared" ref="T9" si="8">O9/P9</f>
        <v>9.7951575710743977E-2</v>
      </c>
      <c r="U9" s="13">
        <f>_xll.dnetGBlackScholesNGreeks("delta",$Q9,$P9,$G9,$I9,$C$3,$J9,$K9,$C$4)*R9</f>
        <v>-0.48774870742995802</v>
      </c>
      <c r="V9" s="13">
        <f>_xll.dnetGBlackScholesNGreeks("vega",$Q9,$P9,$G9,$I9,$C$3,$J9,$K9,$C$4)*R9</f>
        <v>-0.45967774731490252</v>
      </c>
    </row>
    <row r="10" spans="1:25" x14ac:dyDescent="0.15">
      <c r="N10" s="6">
        <f t="shared" si="6"/>
        <v>0</v>
      </c>
    </row>
    <row r="11" spans="1:25" x14ac:dyDescent="0.15">
      <c r="E11" s="117"/>
      <c r="F11" s="117"/>
    </row>
    <row r="13" spans="1:25" ht="10.5" customHeight="1" x14ac:dyDescent="0.15">
      <c r="A13" s="34"/>
      <c r="B13" s="13" t="s">
        <v>172</v>
      </c>
      <c r="C13" s="10" t="s">
        <v>160</v>
      </c>
      <c r="D13" s="10" t="s">
        <v>202</v>
      </c>
      <c r="E13" s="8">
        <f t="shared" ref="E13:E31" ca="1" si="9">TODAY()</f>
        <v>43257</v>
      </c>
      <c r="F13" s="8">
        <f t="shared" ref="F13:F17" ca="1" si="10">E13+H13</f>
        <v>43314</v>
      </c>
      <c r="G13" s="11">
        <v>3300</v>
      </c>
      <c r="H13" s="10">
        <v>57</v>
      </c>
      <c r="I13" s="12">
        <f t="shared" ref="I13:I17" si="11">H13/365</f>
        <v>0.15616438356164383</v>
      </c>
      <c r="J13" s="12">
        <v>0</v>
      </c>
      <c r="K13" s="116">
        <v>0.18</v>
      </c>
      <c r="L13" s="13">
        <f>_xll.dnetGBlackScholesNGreeks("price",$Q13,$P13,$G13,$I13,$C$3,$J13,$K13,$C$4)*R13</f>
        <v>5.338359156026721E-99</v>
      </c>
      <c r="M13" s="15"/>
      <c r="N13" s="13">
        <f t="shared" ref="N13:N17" si="12">M13/10000*I13*P13</f>
        <v>0</v>
      </c>
      <c r="O13" s="13">
        <f t="shared" ref="O13:O17" si="13">IF(L13&lt;=0,ABS(L13)+N13,L13-N13)</f>
        <v>5.338359156026721E-99</v>
      </c>
      <c r="P13" s="11">
        <f>RTD("wdf.rtq",,D13,"LastPrice")</f>
        <v>14945</v>
      </c>
      <c r="Q13" s="10" t="s">
        <v>85</v>
      </c>
      <c r="R13" s="10">
        <f t="shared" ref="R13:R17" si="14">IF(S13="中金买入",1,-1)</f>
        <v>1</v>
      </c>
      <c r="S13" s="10" t="s">
        <v>151</v>
      </c>
      <c r="T13" s="14">
        <f t="shared" ref="T13:T17" si="15">O13/P13</f>
        <v>3.5720034500011516E-103</v>
      </c>
      <c r="U13" s="13">
        <f>_xll.dnetGBlackScholesNGreeks("delta",$Q13,$P13,$G13,$I13,$C$3,$J13,$K13,$C$4)*R13</f>
        <v>-1.0692448312400698E-100</v>
      </c>
      <c r="V13" s="13">
        <f>_xll.dnetGBlackScholesNGreeks("vega",$Q13,$P13,$G13,$I13,$C$3,$J13,$K13,$C$4)*R13</f>
        <v>3.4034509142440715E-89</v>
      </c>
      <c r="W13" s="114"/>
      <c r="X13" s="115">
        <v>400</v>
      </c>
      <c r="Y13" s="6">
        <f>X13*U13</f>
        <v>-4.2769793249602793E-98</v>
      </c>
    </row>
    <row r="14" spans="1:25" ht="10.5" customHeight="1" x14ac:dyDescent="0.15">
      <c r="A14" s="34"/>
      <c r="B14" s="13" t="s">
        <v>172</v>
      </c>
      <c r="C14" s="10" t="s">
        <v>160</v>
      </c>
      <c r="D14" s="10" t="s">
        <v>202</v>
      </c>
      <c r="E14" s="8">
        <f t="shared" ca="1" si="9"/>
        <v>43257</v>
      </c>
      <c r="F14" s="8">
        <f t="shared" ca="1" si="10"/>
        <v>43314</v>
      </c>
      <c r="G14" s="11">
        <v>3350</v>
      </c>
      <c r="H14" s="10">
        <v>57</v>
      </c>
      <c r="I14" s="12">
        <f t="shared" si="11"/>
        <v>0.15616438356164383</v>
      </c>
      <c r="J14" s="12">
        <v>0</v>
      </c>
      <c r="K14" s="116">
        <v>0.18</v>
      </c>
      <c r="L14" s="13">
        <f>_xll.dnetGBlackScholesNGreeks("price",$Q14,$P14,$G14,$I14,$C$3,$J14,$K14,$C$4)*R14</f>
        <v>4.7778019017853188E-97</v>
      </c>
      <c r="M14" s="15"/>
      <c r="N14" s="13">
        <f t="shared" si="12"/>
        <v>0</v>
      </c>
      <c r="O14" s="13">
        <f t="shared" si="13"/>
        <v>4.7778019017853188E-97</v>
      </c>
      <c r="P14" s="11">
        <f>RTD("wdf.rtq",,D14,"LastPrice")</f>
        <v>14945</v>
      </c>
      <c r="Q14" s="10" t="s">
        <v>85</v>
      </c>
      <c r="R14" s="10">
        <f t="shared" si="14"/>
        <v>1</v>
      </c>
      <c r="S14" s="10" t="s">
        <v>151</v>
      </c>
      <c r="T14" s="14">
        <f t="shared" si="15"/>
        <v>3.1969233200303237E-101</v>
      </c>
      <c r="U14" s="13">
        <f>_xll.dnetGBlackScholesNGreeks("delta",$Q14,$P14,$G14,$I14,$C$3,$J14,$K14,$C$4)*R14</f>
        <v>-9.4750838605586183E-99</v>
      </c>
      <c r="V14" s="13">
        <f>_xll.dnetGBlackScholesNGreeks("vega",$Q14,$P14,$G14,$I14,$C$3,$J14,$K14,$C$4)*R14</f>
        <v>1.9271027459534427E-87</v>
      </c>
      <c r="W14" s="114"/>
      <c r="X14" s="115">
        <v>400</v>
      </c>
      <c r="Y14" s="6">
        <f>X14*U14</f>
        <v>-3.7900335442234473E-96</v>
      </c>
    </row>
    <row r="15" spans="1:25" ht="10.5" customHeight="1" x14ac:dyDescent="0.15">
      <c r="A15" s="34"/>
      <c r="B15" s="13" t="s">
        <v>172</v>
      </c>
      <c r="C15" s="10" t="s">
        <v>160</v>
      </c>
      <c r="D15" s="10" t="s">
        <v>236</v>
      </c>
      <c r="E15" s="8">
        <f t="shared" ca="1" si="9"/>
        <v>43257</v>
      </c>
      <c r="F15" s="8">
        <f t="shared" ca="1" si="10"/>
        <v>43314</v>
      </c>
      <c r="G15" s="11">
        <v>3400</v>
      </c>
      <c r="H15" s="10">
        <v>57</v>
      </c>
      <c r="I15" s="12">
        <f t="shared" si="11"/>
        <v>0.15616438356164383</v>
      </c>
      <c r="J15" s="12">
        <v>0</v>
      </c>
      <c r="K15" s="116">
        <v>0.18</v>
      </c>
      <c r="L15" s="13">
        <f>_xll.dnetGBlackScholesNGreeks("price",$Q15,$P15,$G15,$I15,$C$3,$J15,$K15,$C$4)*R15</f>
        <v>1.1800319285648158E-95</v>
      </c>
      <c r="M15" s="15"/>
      <c r="N15" s="13">
        <f t="shared" si="12"/>
        <v>0</v>
      </c>
      <c r="O15" s="13">
        <f t="shared" si="13"/>
        <v>1.1800319285648158E-95</v>
      </c>
      <c r="P15" s="11">
        <f>RTD("wdf.rtq",,D15,"LastPrice")</f>
        <v>15005</v>
      </c>
      <c r="Q15" s="10" t="s">
        <v>85</v>
      </c>
      <c r="R15" s="10">
        <f t="shared" si="14"/>
        <v>1</v>
      </c>
      <c r="S15" s="10" t="s">
        <v>151</v>
      </c>
      <c r="T15" s="14">
        <f t="shared" si="15"/>
        <v>7.8642581043973062E-100</v>
      </c>
      <c r="U15" s="13">
        <f>_xll.dnetGBlackScholesNGreeks("delta",$Q15,$P15,$G15,$I15,$C$3,$J15,$K15,$C$4)*R15</f>
        <v>-2.3140950378600699E-97</v>
      </c>
      <c r="V15" s="13">
        <f>_xll.dnetGBlackScholesNGreeks("vega",$Q15,$P15,$G15,$I15,$C$3,$J15,$K15,$C$4)*R15</f>
        <v>3.4346895133038242E-86</v>
      </c>
      <c r="W15" s="114"/>
      <c r="X15" s="115">
        <v>400</v>
      </c>
      <c r="Y15" s="6">
        <f>X15*U15</f>
        <v>-9.2563801514402797E-95</v>
      </c>
    </row>
    <row r="16" spans="1:25" ht="10.5" customHeight="1" x14ac:dyDescent="0.15">
      <c r="A16" s="34"/>
      <c r="B16" s="13" t="s">
        <v>172</v>
      </c>
      <c r="C16" s="10" t="s">
        <v>160</v>
      </c>
      <c r="D16" s="10" t="s">
        <v>236</v>
      </c>
      <c r="E16" s="8">
        <f t="shared" ca="1" si="9"/>
        <v>43257</v>
      </c>
      <c r="F16" s="8">
        <f t="shared" ca="1" si="10"/>
        <v>43314</v>
      </c>
      <c r="G16" s="11">
        <v>3450</v>
      </c>
      <c r="H16" s="10">
        <v>57</v>
      </c>
      <c r="I16" s="12">
        <f t="shared" si="11"/>
        <v>0.15616438356164383</v>
      </c>
      <c r="J16" s="12">
        <v>0</v>
      </c>
      <c r="K16" s="116">
        <v>0.18</v>
      </c>
      <c r="L16" s="13">
        <f>_xll.dnetGBlackScholesNGreeks("price",$Q16,$P16,$G16,$I16,$C$3,$J16,$K16,$C$4)*R16</f>
        <v>8.605101468516293E-94</v>
      </c>
      <c r="M16" s="15"/>
      <c r="N16" s="13">
        <f t="shared" si="12"/>
        <v>0</v>
      </c>
      <c r="O16" s="13">
        <f t="shared" si="13"/>
        <v>8.605101468516293E-94</v>
      </c>
      <c r="P16" s="11">
        <f>RTD("wdf.rtq",,D16,"LastPrice")</f>
        <v>15005</v>
      </c>
      <c r="Q16" s="10" t="s">
        <v>85</v>
      </c>
      <c r="R16" s="10">
        <f t="shared" si="14"/>
        <v>1</v>
      </c>
      <c r="S16" s="10" t="s">
        <v>151</v>
      </c>
      <c r="T16" s="14">
        <f t="shared" si="15"/>
        <v>5.7348227047759365E-98</v>
      </c>
      <c r="U16" s="13">
        <f>_xll.dnetGBlackScholesNGreeks("delta",$Q16,$P16,$G16,$I16,$C$3,$J16,$K16,$C$4)*R16</f>
        <v>-1.6710271433804915E-95</v>
      </c>
      <c r="V16" s="13">
        <f>_xll.dnetGBlackScholesNGreeks("vega",$Q16,$P16,$G16,$I16,$C$3,$J16,$K16,$C$4)*R16</f>
        <v>1.6181221295656671E-84</v>
      </c>
      <c r="W16" s="114"/>
      <c r="X16" s="115">
        <v>400</v>
      </c>
      <c r="Y16" s="6">
        <f>X16*U16</f>
        <v>-6.6841085735219659E-93</v>
      </c>
    </row>
    <row r="17" spans="1:25" ht="10.5" customHeight="1" x14ac:dyDescent="0.15">
      <c r="A17" s="34"/>
      <c r="B17" s="13" t="s">
        <v>172</v>
      </c>
      <c r="C17" s="10" t="s">
        <v>160</v>
      </c>
      <c r="D17" s="10" t="s">
        <v>236</v>
      </c>
      <c r="E17" s="8">
        <f t="shared" ca="1" si="9"/>
        <v>43257</v>
      </c>
      <c r="F17" s="8">
        <f t="shared" ca="1" si="10"/>
        <v>43314</v>
      </c>
      <c r="G17" s="11">
        <v>3500</v>
      </c>
      <c r="H17" s="10">
        <v>57</v>
      </c>
      <c r="I17" s="12">
        <f t="shared" si="11"/>
        <v>0.15616438356164383</v>
      </c>
      <c r="J17" s="12">
        <v>0</v>
      </c>
      <c r="K17" s="116">
        <v>0.18</v>
      </c>
      <c r="L17" s="13">
        <f>_xll.dnetGBlackScholesNGreeks("price",$Q17,$P17,$G17,$I17,$C$3,$J17,$K17,$C$4)*R17</f>
        <v>2.5275324401046921E-88</v>
      </c>
      <c r="M17" s="15"/>
      <c r="N17" s="13">
        <f t="shared" si="12"/>
        <v>0</v>
      </c>
      <c r="O17" s="13">
        <f t="shared" si="13"/>
        <v>2.5275324401046921E-88</v>
      </c>
      <c r="P17" s="11">
        <v>14570</v>
      </c>
      <c r="Q17" s="10" t="s">
        <v>85</v>
      </c>
      <c r="R17" s="10">
        <f t="shared" si="14"/>
        <v>1</v>
      </c>
      <c r="S17" s="10" t="s">
        <v>151</v>
      </c>
      <c r="T17" s="14">
        <f t="shared" si="15"/>
        <v>1.7347511599894934E-92</v>
      </c>
      <c r="U17" s="13">
        <f>_xll.dnetGBlackScholesNGreeks("delta",$Q17,$P17,$G17,$I17,$C$3,$J17,$K17,$C$4)*R17</f>
        <v>-4.9052749761641461E-90</v>
      </c>
      <c r="V17" s="13">
        <f>_xll.dnetGBlackScholesNGreeks("vega",$Q17,$P17,$G17,$I17,$C$3,$J17,$K17,$C$4)*R17</f>
        <v>1.3147545182399271E-79</v>
      </c>
      <c r="W17" s="114"/>
      <c r="X17" s="115">
        <v>400</v>
      </c>
      <c r="Y17" s="6">
        <f>X17*U17</f>
        <v>-1.9621099904656584E-87</v>
      </c>
    </row>
    <row r="19" spans="1:25" ht="10.5" customHeight="1" x14ac:dyDescent="0.15">
      <c r="A19" s="34"/>
      <c r="B19" s="13" t="s">
        <v>172</v>
      </c>
      <c r="C19" s="10" t="s">
        <v>160</v>
      </c>
      <c r="D19" s="10" t="s">
        <v>243</v>
      </c>
      <c r="E19" s="8">
        <f t="shared" ca="1" si="9"/>
        <v>43257</v>
      </c>
      <c r="F19" s="8">
        <f t="shared" ref="F19" ca="1" si="16">E19+H19</f>
        <v>43287</v>
      </c>
      <c r="G19" s="11">
        <v>500</v>
      </c>
      <c r="H19" s="10">
        <v>30</v>
      </c>
      <c r="I19" s="12">
        <f t="shared" ref="I19" si="17">H19/365</f>
        <v>8.2191780821917804E-2</v>
      </c>
      <c r="J19" s="12">
        <v>0</v>
      </c>
      <c r="K19" s="116">
        <v>0.35</v>
      </c>
      <c r="L19" s="13">
        <f>_xll.dnetGBlackScholesNGreeks("price",$Q19,$P19,$G19,$I19,$C$3,$J19,$K19,$C$4)*R19</f>
        <v>-37.561264386414905</v>
      </c>
      <c r="M19" s="15"/>
      <c r="N19" s="13">
        <f t="shared" ref="N19" si="18">M19/10000*I19*P19</f>
        <v>0</v>
      </c>
      <c r="O19" s="13">
        <f t="shared" ref="O19" si="19">IF(L19&lt;=0,ABS(L19)+N19,L19-N19)</f>
        <v>37.561264386414905</v>
      </c>
      <c r="P19" s="11">
        <f>RTD("wdf.rtq",,D19,"LastPrice")</f>
        <v>470.5</v>
      </c>
      <c r="Q19" s="10" t="s">
        <v>85</v>
      </c>
      <c r="R19" s="10">
        <f t="shared" ref="R19" si="20">IF(S19="中金买入",1,-1)</f>
        <v>-1</v>
      </c>
      <c r="S19" s="10" t="s">
        <v>20</v>
      </c>
      <c r="T19" s="14">
        <f t="shared" ref="T19" si="21">O19/P19</f>
        <v>7.9832655444027428E-2</v>
      </c>
      <c r="U19" s="13">
        <f>_xll.dnetGBlackScholesNGreeks("delta",$Q19,$P19,$G19,$I19,$C$3,$J19,$K19,$C$4)*R19</f>
        <v>0.70968546909284669</v>
      </c>
      <c r="V19" s="13">
        <f>_xll.dnetGBlackScholesNGreeks("vega",$Q19,$P19,$G19,$I19,$C$3,$J19,$K19,$C$4)*R19</f>
        <v>-0.4602712630174608</v>
      </c>
      <c r="W19" s="114"/>
      <c r="X19" s="115">
        <v>400</v>
      </c>
      <c r="Y19" s="6">
        <f>X19*U19</f>
        <v>283.87418763713868</v>
      </c>
    </row>
    <row r="20" spans="1:25" x14ac:dyDescent="0.15">
      <c r="B20" s="13" t="s">
        <v>172</v>
      </c>
      <c r="C20" s="10" t="s">
        <v>160</v>
      </c>
      <c r="D20" s="10" t="s">
        <v>243</v>
      </c>
      <c r="E20" s="8">
        <f t="shared" ca="1" si="9"/>
        <v>43257</v>
      </c>
      <c r="F20" s="8">
        <f t="shared" ref="F20" ca="1" si="22">E20+H20</f>
        <v>43287</v>
      </c>
      <c r="G20" s="11">
        <v>500</v>
      </c>
      <c r="H20" s="10">
        <v>30</v>
      </c>
      <c r="I20" s="12">
        <f t="shared" ref="I20" si="23">H20/365</f>
        <v>8.2191780821917804E-2</v>
      </c>
      <c r="J20" s="12">
        <v>0</v>
      </c>
      <c r="K20" s="116">
        <v>0.35</v>
      </c>
      <c r="L20" s="13">
        <f>_xll.dnetGBlackScholesNGreeks("price",$Q20,$P20,$G20,$I20,$C$3,$J20,$K20,$C$4)*R20</f>
        <v>-8.109717701546387</v>
      </c>
      <c r="M20" s="15"/>
      <c r="N20" s="13">
        <f t="shared" ref="N20" si="24">M20/10000*I20*P20</f>
        <v>0</v>
      </c>
      <c r="O20" s="13">
        <f t="shared" ref="O20" si="25">IF(L20&lt;=0,ABS(L20)+N20,L20-N20)</f>
        <v>8.109717701546387</v>
      </c>
      <c r="P20" s="11">
        <f>RTD("wdf.rtq",,D20,"LastPrice")</f>
        <v>470.5</v>
      </c>
      <c r="Q20" s="10" t="s">
        <v>39</v>
      </c>
      <c r="R20" s="10">
        <f t="shared" ref="R20" si="26">IF(S20="中金买入",1,-1)</f>
        <v>-1</v>
      </c>
      <c r="S20" s="10" t="s">
        <v>20</v>
      </c>
      <c r="T20" s="14">
        <f t="shared" ref="T20" si="27">O20/P20</f>
        <v>1.7236381937399334E-2</v>
      </c>
      <c r="U20" s="13">
        <f>_xll.dnetGBlackScholesNGreeks("delta",$Q20,$P20,$G20,$I20,$C$3,$J20,$K20,$C$4)*R20</f>
        <v>-0.28867204564804183</v>
      </c>
      <c r="V20" s="13">
        <f>_xll.dnetGBlackScholesNGreeks("vega",$Q20,$P20,$G20,$I20,$C$3,$J20,$K20,$C$4)*R20</f>
        <v>-0.46027126301748211</v>
      </c>
    </row>
    <row r="22" spans="1:25" x14ac:dyDescent="0.15">
      <c r="B22" s="13" t="s">
        <v>172</v>
      </c>
      <c r="C22" s="10" t="s">
        <v>160</v>
      </c>
      <c r="D22" s="10" t="s">
        <v>245</v>
      </c>
      <c r="E22" s="8">
        <f t="shared" ca="1" si="9"/>
        <v>43257</v>
      </c>
      <c r="F22" s="8">
        <f t="shared" ref="F22" ca="1" si="28">E22+H22</f>
        <v>43287</v>
      </c>
      <c r="G22" s="11">
        <v>9000</v>
      </c>
      <c r="H22" s="10">
        <v>30</v>
      </c>
      <c r="I22" s="12">
        <f t="shared" ref="I22" si="29">H22/365</f>
        <v>8.2191780821917804E-2</v>
      </c>
      <c r="J22" s="12">
        <v>0</v>
      </c>
      <c r="K22" s="116">
        <v>0.31</v>
      </c>
      <c r="L22" s="13">
        <f>_xll.dnetGBlackScholesNGreeks("price",$Q22,$P22,$G22,$I22,$C$3,$J22,$K22,$C$4)*R22</f>
        <v>-257.9605278182803</v>
      </c>
      <c r="M22" s="15"/>
      <c r="N22" s="13">
        <f t="shared" ref="N22" si="30">M22/10000*I22*P22</f>
        <v>0</v>
      </c>
      <c r="O22" s="13">
        <f t="shared" ref="O22" si="31">IF(L22&lt;=0,ABS(L22)+N22,L22-N22)</f>
        <v>257.9605278182803</v>
      </c>
      <c r="P22" s="11">
        <f>RTD("wdf.rtq",,D22,"LastPrice")</f>
        <v>9135</v>
      </c>
      <c r="Q22" s="10" t="s">
        <v>85</v>
      </c>
      <c r="R22" s="10">
        <f t="shared" ref="R22" si="32">IF(S22="中金买入",1,-1)</f>
        <v>-1</v>
      </c>
      <c r="S22" s="10" t="s">
        <v>20</v>
      </c>
      <c r="T22" s="14">
        <f t="shared" ref="T22" si="33">O22/P22</f>
        <v>2.8238700363249075E-2</v>
      </c>
      <c r="U22" s="13">
        <f>_xll.dnetGBlackScholesNGreeks("delta",$Q22,$P22,$G22,$I22,$C$3,$J22,$K22,$C$4)*R22</f>
        <v>0.41538510135978868</v>
      </c>
      <c r="V22" s="13">
        <f>_xll.dnetGBlackScholesNGreeks("vega",$Q22,$P22,$G22,$I22,$C$3,$J22,$K22,$C$4)*R22</f>
        <v>-10.198974974975272</v>
      </c>
    </row>
    <row r="23" spans="1:25" x14ac:dyDescent="0.15">
      <c r="B23" s="13" t="s">
        <v>172</v>
      </c>
      <c r="C23" s="10" t="s">
        <v>160</v>
      </c>
      <c r="D23" s="10" t="s">
        <v>245</v>
      </c>
      <c r="E23" s="8">
        <f t="shared" ca="1" si="9"/>
        <v>43257</v>
      </c>
      <c r="F23" s="8">
        <f t="shared" ref="F23" ca="1" si="34">E23+H23</f>
        <v>43318</v>
      </c>
      <c r="G23" s="11">
        <v>9000</v>
      </c>
      <c r="H23" s="10">
        <v>61</v>
      </c>
      <c r="I23" s="12">
        <f t="shared" ref="I23" si="35">H23/365</f>
        <v>0.16712328767123288</v>
      </c>
      <c r="J23" s="12">
        <v>0</v>
      </c>
      <c r="K23" s="116">
        <v>0.31</v>
      </c>
      <c r="L23" s="13">
        <f>_xll.dnetGBlackScholesNGreeks("price",$Q23,$P23,$G23,$I23,$C$3,$J23,$K23,$C$4)*R23</f>
        <v>-392.46810326872628</v>
      </c>
      <c r="M23" s="15"/>
      <c r="N23" s="13">
        <f t="shared" ref="N23" si="36">M23/10000*I23*P23</f>
        <v>0</v>
      </c>
      <c r="O23" s="13">
        <f t="shared" ref="O23" si="37">IF(L23&lt;=0,ABS(L23)+N23,L23-N23)</f>
        <v>392.46810326872628</v>
      </c>
      <c r="P23" s="11">
        <f>RTD("wdf.rtq",,D23,"LastPrice")</f>
        <v>9135</v>
      </c>
      <c r="Q23" s="10" t="s">
        <v>85</v>
      </c>
      <c r="R23" s="10">
        <f t="shared" ref="R23" si="38">IF(S23="中金买入",1,-1)</f>
        <v>-1</v>
      </c>
      <c r="S23" s="10" t="s">
        <v>20</v>
      </c>
      <c r="T23" s="14">
        <f t="shared" ref="T23" si="39">O23/P23</f>
        <v>4.2963120226461551E-2</v>
      </c>
      <c r="U23" s="13">
        <f>_xll.dnetGBlackScholesNGreeks("delta",$Q23,$P23,$G23,$I23,$C$3,$J23,$K23,$C$4)*R23</f>
        <v>0.42681450458985637</v>
      </c>
      <c r="V23" s="13">
        <f>_xll.dnetGBlackScholesNGreeks("vega",$Q23,$P23,$G23,$I23,$C$3,$J23,$K23,$C$4)*R23</f>
        <v>-14.607640293951135</v>
      </c>
    </row>
    <row r="25" spans="1:25" ht="10.5" customHeight="1" x14ac:dyDescent="0.15">
      <c r="A25" s="34"/>
      <c r="B25" s="13" t="s">
        <v>172</v>
      </c>
      <c r="C25" s="10" t="s">
        <v>160</v>
      </c>
      <c r="D25" s="10" t="s">
        <v>246</v>
      </c>
      <c r="E25" s="8">
        <f t="shared" ca="1" si="9"/>
        <v>43257</v>
      </c>
      <c r="F25" s="8">
        <f t="shared" ref="F25" ca="1" si="40">E25+H25</f>
        <v>43281</v>
      </c>
      <c r="G25" s="11">
        <v>52230</v>
      </c>
      <c r="H25" s="10">
        <v>24</v>
      </c>
      <c r="I25" s="12">
        <f t="shared" ref="I25" si="41">H25/365</f>
        <v>6.575342465753424E-2</v>
      </c>
      <c r="J25" s="12">
        <v>0</v>
      </c>
      <c r="K25" s="116">
        <v>0.1275</v>
      </c>
      <c r="L25" s="13">
        <f>_xll.dnetGBlackScholesNGreeks("price",$Q25,$P25,$G25,$I25,$C$3,$J25,$K25,$C$4)*R25</f>
        <v>190.50384453499828</v>
      </c>
      <c r="M25" s="15">
        <v>30</v>
      </c>
      <c r="N25" s="13">
        <f t="shared" ref="N25" si="42">M25/10000*I25*P25</f>
        <v>10.592876712328767</v>
      </c>
      <c r="O25" s="13">
        <f t="shared" ref="O25" si="43">IF(L25&lt;=0,ABS(L25)+N25,L25-N25)</f>
        <v>179.91096782266951</v>
      </c>
      <c r="P25" s="11">
        <v>53700</v>
      </c>
      <c r="Q25" s="10" t="s">
        <v>85</v>
      </c>
      <c r="R25" s="10">
        <f t="shared" ref="R25" si="44">IF(S25="中金买入",1,-1)</f>
        <v>1</v>
      </c>
      <c r="S25" s="10" t="s">
        <v>151</v>
      </c>
      <c r="T25" s="14">
        <f t="shared" ref="T25" si="45">O25/P25</f>
        <v>3.3502973523774583E-3</v>
      </c>
      <c r="U25" s="13">
        <f>_xll.dnetGBlackScholesNGreeks("delta",$Q25,$P25,$G25,$I25,$C$3,$J25,$K25,$C$4)*R25</f>
        <v>-0.19318112281325739</v>
      </c>
      <c r="V25" s="13">
        <f>_xll.dnetGBlackScholesNGreeks("vega",$Q25,$P25,$G25,$I25,$C$3,$J25,$K25,$C$4)*R25</f>
        <v>37.665912727388786</v>
      </c>
      <c r="W25" s="114"/>
      <c r="X25" s="115">
        <v>400</v>
      </c>
      <c r="Y25" s="6">
        <f>X25*U25</f>
        <v>-77.272449125302956</v>
      </c>
    </row>
    <row r="27" spans="1:25" ht="10.5" customHeight="1" x14ac:dyDescent="0.15">
      <c r="A27" s="34"/>
      <c r="B27" s="13" t="s">
        <v>172</v>
      </c>
      <c r="C27" s="10" t="s">
        <v>160</v>
      </c>
      <c r="D27" s="10" t="s">
        <v>247</v>
      </c>
      <c r="E27" s="8">
        <f t="shared" ca="1" si="9"/>
        <v>43257</v>
      </c>
      <c r="F27" s="8">
        <f t="shared" ref="F27:F29" ca="1" si="46">E27+H27</f>
        <v>43564</v>
      </c>
      <c r="G27" s="11">
        <v>350</v>
      </c>
      <c r="H27" s="10">
        <v>307</v>
      </c>
      <c r="I27" s="12">
        <f t="shared" ref="I27:I29" si="47">H27/365</f>
        <v>0.84109589041095889</v>
      </c>
      <c r="J27" s="12">
        <v>0</v>
      </c>
      <c r="K27" s="116">
        <v>0.2</v>
      </c>
      <c r="L27" s="13">
        <f>_xll.dnetGBlackScholesNGreeks("price",$Q27,$P27,$G27,$I27,$C$3,$J27,$K27,$C$4)*R27</f>
        <v>2.1633534347839287</v>
      </c>
      <c r="M27" s="15"/>
      <c r="N27" s="13">
        <f t="shared" ref="N27:N29" si="48">M27/10000*I27*P27</f>
        <v>0</v>
      </c>
      <c r="O27" s="13">
        <f t="shared" ref="O27:O29" si="49">IF(L27&lt;=0,ABS(L27)+N27,L27-N27)</f>
        <v>2.1633534347839287</v>
      </c>
      <c r="P27" s="11">
        <v>460</v>
      </c>
      <c r="Q27" s="10" t="s">
        <v>85</v>
      </c>
      <c r="R27" s="10">
        <f t="shared" ref="R27:R29" si="50">IF(S27="中金买入",1,-1)</f>
        <v>1</v>
      </c>
      <c r="S27" s="10" t="s">
        <v>151</v>
      </c>
      <c r="T27" s="14">
        <f t="shared" ref="T27:T29" si="51">O27/P27</f>
        <v>4.70294224953028E-3</v>
      </c>
      <c r="U27" s="13">
        <f>_xll.dnetGBlackScholesNGreeks("delta",$Q27,$P27,$G27,$I27,$C$3,$J27,$K27,$C$4)*R27</f>
        <v>-5.5913136676899455E-2</v>
      </c>
      <c r="V27" s="13">
        <f>_xll.dnetGBlackScholesNGreeks("vega",$Q27,$P27,$G27,$I27,$C$3,$J27,$K27,$C$4)*R27</f>
        <v>0.47339859374906013</v>
      </c>
      <c r="W27" s="114"/>
      <c r="X27" s="115">
        <v>400</v>
      </c>
      <c r="Y27" s="6">
        <f>X27*U27</f>
        <v>-22.365254670759782</v>
      </c>
    </row>
    <row r="28" spans="1:25" ht="10.5" customHeight="1" x14ac:dyDescent="0.15">
      <c r="A28" s="34"/>
      <c r="B28" s="13" t="s">
        <v>172</v>
      </c>
      <c r="C28" s="10" t="s">
        <v>160</v>
      </c>
      <c r="D28" s="10" t="s">
        <v>247</v>
      </c>
      <c r="E28" s="8">
        <f t="shared" ca="1" si="9"/>
        <v>43257</v>
      </c>
      <c r="F28" s="8">
        <f t="shared" ca="1" si="46"/>
        <v>43564</v>
      </c>
      <c r="G28" s="11">
        <v>460</v>
      </c>
      <c r="H28" s="10">
        <v>307</v>
      </c>
      <c r="I28" s="12">
        <f t="shared" si="47"/>
        <v>0.84109589041095889</v>
      </c>
      <c r="J28" s="12">
        <v>0</v>
      </c>
      <c r="K28" s="116">
        <v>0.2</v>
      </c>
      <c r="L28" s="13">
        <f>_xll.dnetGBlackScholesNGreeks("price",$Q28,$P28,$G28,$I28,$C$3,$J28,$K28,$C$4)*R28</f>
        <v>-33.052667774565123</v>
      </c>
      <c r="M28" s="15"/>
      <c r="N28" s="13">
        <f t="shared" si="48"/>
        <v>0</v>
      </c>
      <c r="O28" s="13">
        <f t="shared" si="49"/>
        <v>33.052667774565123</v>
      </c>
      <c r="P28" s="11">
        <v>460</v>
      </c>
      <c r="Q28" s="10" t="s">
        <v>85</v>
      </c>
      <c r="R28" s="10">
        <f t="shared" si="50"/>
        <v>-1</v>
      </c>
      <c r="S28" s="10" t="s">
        <v>20</v>
      </c>
      <c r="T28" s="14">
        <f t="shared" si="51"/>
        <v>7.1853625596880702E-2</v>
      </c>
      <c r="U28" s="13">
        <f>_xll.dnetGBlackScholesNGreeks("delta",$Q28,$P28,$G28,$I28,$C$3,$J28,$K28,$C$4)*R28</f>
        <v>0.45573257775544107</v>
      </c>
      <c r="V28" s="13">
        <f>_xll.dnetGBlackScholesNGreeks("vega",$Q28,$P28,$G28,$I28,$C$3,$J28,$K28,$C$4)*R28</f>
        <v>-1.6479994453830926</v>
      </c>
      <c r="W28" s="114"/>
      <c r="X28" s="115">
        <v>400</v>
      </c>
      <c r="Y28" s="6">
        <f>X28*U28</f>
        <v>182.29303110217643</v>
      </c>
    </row>
    <row r="29" spans="1:25" ht="10.5" customHeight="1" x14ac:dyDescent="0.15">
      <c r="A29" s="34"/>
      <c r="B29" s="13" t="s">
        <v>172</v>
      </c>
      <c r="C29" s="10" t="s">
        <v>160</v>
      </c>
      <c r="D29" s="10" t="s">
        <v>247</v>
      </c>
      <c r="E29" s="8">
        <f t="shared" ca="1" si="9"/>
        <v>43257</v>
      </c>
      <c r="F29" s="8">
        <f t="shared" ca="1" si="46"/>
        <v>43564</v>
      </c>
      <c r="G29" s="11">
        <v>490</v>
      </c>
      <c r="H29" s="10">
        <v>307</v>
      </c>
      <c r="I29" s="12">
        <f t="shared" si="47"/>
        <v>0.84109589041095889</v>
      </c>
      <c r="J29" s="12">
        <v>0</v>
      </c>
      <c r="K29" s="116">
        <v>0.2</v>
      </c>
      <c r="L29" s="13">
        <f>_xll.dnetGBlackScholesNGreeks("price",$Q29,$P29,$G29,$I29,$C$3,$J29,$K29,$C$4)*R29</f>
        <v>21.37911798395055</v>
      </c>
      <c r="M29" s="15"/>
      <c r="N29" s="13">
        <f t="shared" si="48"/>
        <v>0</v>
      </c>
      <c r="O29" s="13">
        <f t="shared" si="49"/>
        <v>21.37911798395055</v>
      </c>
      <c r="P29" s="11">
        <v>460</v>
      </c>
      <c r="Q29" s="10" t="s">
        <v>248</v>
      </c>
      <c r="R29" s="10">
        <f t="shared" si="50"/>
        <v>1</v>
      </c>
      <c r="S29" s="10" t="s">
        <v>151</v>
      </c>
      <c r="T29" s="14">
        <f t="shared" si="51"/>
        <v>4.647634344337076E-2</v>
      </c>
      <c r="U29" s="13">
        <f>_xll.dnetGBlackScholesNGreeks("delta",$Q29,$P29,$G29,$I29,$C$3,$J29,$K29,$C$4)*R29</f>
        <v>0.39356072357037419</v>
      </c>
      <c r="V29" s="13">
        <f>_xll.dnetGBlackScholesNGreeks("vega",$Q29,$P29,$G29,$I29,$C$3,$J29,$K29,$C$4)*R29</f>
        <v>1.6026955359131847</v>
      </c>
      <c r="W29" s="114"/>
      <c r="X29" s="115">
        <v>400</v>
      </c>
      <c r="Y29" s="6">
        <f>X29*U29</f>
        <v>157.42428942814968</v>
      </c>
    </row>
    <row r="31" spans="1:25" ht="10.5" customHeight="1" x14ac:dyDescent="0.15">
      <c r="A31" s="34"/>
      <c r="B31" s="13" t="s">
        <v>172</v>
      </c>
      <c r="C31" s="10" t="s">
        <v>160</v>
      </c>
      <c r="D31" s="10" t="s">
        <v>255</v>
      </c>
      <c r="E31" s="8">
        <f t="shared" ca="1" si="9"/>
        <v>43257</v>
      </c>
      <c r="F31" s="8">
        <f t="shared" ref="F31" ca="1" si="52">E31+H31</f>
        <v>43287</v>
      </c>
      <c r="G31" s="11">
        <v>19910</v>
      </c>
      <c r="H31" s="10">
        <v>30</v>
      </c>
      <c r="I31" s="12">
        <f t="shared" ref="I31" si="53">H31/365</f>
        <v>8.2191780821917804E-2</v>
      </c>
      <c r="J31" s="12">
        <v>0</v>
      </c>
      <c r="K31" s="116">
        <v>0.33</v>
      </c>
      <c r="L31" s="13">
        <f>_xll.dnetGBlackScholesNGreeks("price",$Q31,$P31,$G31,$I31,$C$3,$J31,$K31,$C$4)*R31</f>
        <v>-79.835967339276294</v>
      </c>
      <c r="M31" s="15"/>
      <c r="N31" s="13">
        <f t="shared" ref="N31" si="54">M31/10000*I31*P31</f>
        <v>0</v>
      </c>
      <c r="O31" s="13">
        <f t="shared" ref="O31" si="55">IF(L31&lt;=0,ABS(L31)+N31,L31-N31)</f>
        <v>79.835967339276294</v>
      </c>
      <c r="P31" s="11">
        <v>17600</v>
      </c>
      <c r="Q31" s="10" t="s">
        <v>248</v>
      </c>
      <c r="R31" s="10">
        <f t="shared" ref="R31" si="56">IF(S31="中金买入",1,-1)</f>
        <v>-1</v>
      </c>
      <c r="S31" s="10" t="s">
        <v>20</v>
      </c>
      <c r="T31" s="14">
        <f t="shared" ref="T31" si="57">O31/P31</f>
        <v>4.5361345079134256E-3</v>
      </c>
      <c r="U31" s="13">
        <f>_xll.dnetGBlackScholesNGreeks("delta",$Q31,$P31,$G31,$I31,$C$3,$J31,$K31,$C$4)*R31</f>
        <v>-0.10434770722440589</v>
      </c>
      <c r="V31" s="13">
        <f>_xll.dnetGBlackScholesNGreeks("vega",$Q31,$P31,$G31,$I31,$C$3,$J31,$K31,$C$4)*R31</f>
        <v>-9.1264473239430117</v>
      </c>
      <c r="W31" s="114"/>
      <c r="X31" s="115">
        <v>400</v>
      </c>
      <c r="Y31" s="6">
        <f>X31*U31</f>
        <v>-41.739082889762358</v>
      </c>
    </row>
    <row r="32" spans="1:25" x14ac:dyDescent="0.15">
      <c r="L32" s="120"/>
    </row>
  </sheetData>
  <mergeCells count="1">
    <mergeCell ref="B1:C1"/>
  </mergeCells>
  <phoneticPr fontId="2" type="noConversion"/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configs!$B$1:$B$2</xm:f>
          </x14:formula1>
          <xm:sqref>S8:S9 S13:S17 S19:S20 S22:S23 S25 S27:S29 S31</xm:sqref>
        </x14:dataValidation>
        <x14:dataValidation type="list" allowBlank="1" showInputMessage="1" showErrorMessage="1">
          <x14:formula1>
            <xm:f>configs!$C$1:$C$2</xm:f>
          </x14:formula1>
          <xm:sqref>Q8:Q9 Q13:Q17 Q19:Q20 Q22:Q23 Q25 Q27:Q29 Q31</xm:sqref>
        </x14:dataValidation>
        <x14:dataValidation type="list" allowBlank="1" showInputMessage="1">
          <x14:formula1>
            <xm:f>configs!$A$1:$A$36</xm:f>
          </x14:formula1>
          <xm:sqref>C8:C9 C13:C17 C19:C20 C22:C23 C25 C27:C29 C31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"/>
  <sheetViews>
    <sheetView workbookViewId="0">
      <selection activeCell="U24" sqref="U24"/>
    </sheetView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V31"/>
  <sheetViews>
    <sheetView topLeftCell="A10" zoomScale="85" zoomScaleNormal="85" workbookViewId="0">
      <selection activeCell="N29" sqref="N29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9" style="6"/>
    <col min="5" max="5" width="11.625" style="6" bestFit="1" customWidth="1"/>
    <col min="6" max="6" width="10.5" style="6" bestFit="1" customWidth="1"/>
    <col min="7" max="7" width="11.5" style="6" customWidth="1"/>
    <col min="8" max="9" width="8.125" style="6" customWidth="1"/>
    <col min="10" max="10" width="9.25" style="6" bestFit="1" customWidth="1"/>
    <col min="11" max="11" width="7.25" style="6" customWidth="1"/>
    <col min="12" max="12" width="9.25" style="6" bestFit="1" customWidth="1"/>
    <col min="13" max="13" width="10.125" style="6" customWidth="1"/>
    <col min="14" max="14" width="6.5" style="6" customWidth="1"/>
    <col min="15" max="15" width="15.25" style="6" customWidth="1"/>
    <col min="16" max="16" width="10.5" style="6" bestFit="1" customWidth="1"/>
    <col min="17" max="17" width="9" style="6"/>
    <col min="18" max="18" width="9.375" style="6" customWidth="1"/>
    <col min="19" max="19" width="7" style="6" customWidth="1"/>
    <col min="20" max="20" width="9" style="6" customWidth="1"/>
    <col min="21" max="21" width="9.25" style="6" bestFit="1" customWidth="1"/>
    <col min="22" max="22" width="13.75" style="6" customWidth="1"/>
    <col min="23" max="16384" width="9" style="6"/>
  </cols>
  <sheetData>
    <row r="1" spans="1:22" ht="13.5" customHeight="1" thickBot="1" x14ac:dyDescent="0.2">
      <c r="B1" s="162" t="s">
        <v>37</v>
      </c>
      <c r="C1" s="161"/>
    </row>
    <row r="2" spans="1:22" ht="12" thickTop="1" x14ac:dyDescent="0.15">
      <c r="B2" s="29" t="s">
        <v>0</v>
      </c>
      <c r="C2" s="4">
        <v>43061</v>
      </c>
    </row>
    <row r="3" spans="1:22" x14ac:dyDescent="0.15">
      <c r="B3" s="29" t="s">
        <v>1</v>
      </c>
      <c r="C3" s="29">
        <v>0.02</v>
      </c>
    </row>
    <row r="4" spans="1:22" ht="12" thickBot="1" x14ac:dyDescent="0.2">
      <c r="B4" s="30" t="s">
        <v>18</v>
      </c>
      <c r="C4" s="30">
        <v>0.01</v>
      </c>
    </row>
    <row r="5" spans="1:22" ht="12" thickTop="1" x14ac:dyDescent="0.15"/>
    <row r="6" spans="1:22" ht="12" thickBot="1" x14ac:dyDescent="0.2"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</row>
    <row r="7" spans="1:22" ht="15" thickTop="1" thickBot="1" x14ac:dyDescent="0.2">
      <c r="A7" s="39"/>
      <c r="B7" s="40" t="s">
        <v>29</v>
      </c>
      <c r="C7" s="40" t="s">
        <v>2</v>
      </c>
      <c r="D7" s="41" t="s">
        <v>181</v>
      </c>
      <c r="E7" s="41" t="s">
        <v>183</v>
      </c>
      <c r="F7" s="41" t="s">
        <v>10</v>
      </c>
      <c r="G7" s="41" t="s">
        <v>7</v>
      </c>
      <c r="H7" s="41" t="s">
        <v>11</v>
      </c>
      <c r="I7" s="41" t="s">
        <v>12</v>
      </c>
      <c r="J7" s="41" t="s">
        <v>47</v>
      </c>
      <c r="K7" s="41" t="s">
        <v>13</v>
      </c>
      <c r="L7" s="41" t="s">
        <v>14</v>
      </c>
      <c r="M7" s="41" t="s">
        <v>26</v>
      </c>
      <c r="N7" s="41" t="s">
        <v>28</v>
      </c>
      <c r="O7" s="41" t="s">
        <v>182</v>
      </c>
      <c r="P7" s="41" t="s">
        <v>8</v>
      </c>
      <c r="Q7" s="41" t="s">
        <v>23</v>
      </c>
      <c r="R7" s="41"/>
      <c r="S7" s="41" t="s">
        <v>30</v>
      </c>
      <c r="T7" s="40" t="s">
        <v>33</v>
      </c>
      <c r="U7" s="40" t="s">
        <v>16</v>
      </c>
      <c r="V7" s="40" t="s">
        <v>17</v>
      </c>
    </row>
    <row r="8" spans="1:22" ht="14.25" thickTop="1" x14ac:dyDescent="0.15">
      <c r="A8" s="42"/>
      <c r="B8" s="43" t="s">
        <v>173</v>
      </c>
      <c r="C8" s="44" t="s">
        <v>160</v>
      </c>
      <c r="D8" s="44" t="s">
        <v>159</v>
      </c>
      <c r="E8" s="46">
        <f ca="1">TODAY()</f>
        <v>43257</v>
      </c>
      <c r="F8" s="46">
        <f ca="1">E8+H8</f>
        <v>43287</v>
      </c>
      <c r="G8" s="44">
        <v>100</v>
      </c>
      <c r="H8" s="44">
        <v>30</v>
      </c>
      <c r="I8" s="47">
        <f>H8/365</f>
        <v>8.2191780821917804E-2</v>
      </c>
      <c r="J8" s="47">
        <v>0</v>
      </c>
      <c r="K8" s="48">
        <v>0.32</v>
      </c>
      <c r="L8" s="43">
        <f>_xll.dnetGBlackScholesNGreeks("price",$Q8,$P8,$G8,$I8,$C$3,$J8,$K8,$C$4)*R8</f>
        <v>-3.6526499295562971</v>
      </c>
      <c r="M8" s="49"/>
      <c r="N8" s="43"/>
      <c r="O8" s="43">
        <f t="shared" ref="O8:O10" si="0">IF(L8&lt;=0,ABS(L8)+N8,L8-N8)</f>
        <v>3.6526499295562971</v>
      </c>
      <c r="P8" s="45">
        <v>100</v>
      </c>
      <c r="Q8" s="44" t="s">
        <v>39</v>
      </c>
      <c r="R8" s="44">
        <f>IF(S8="中金买入",1,-1)</f>
        <v>-1</v>
      </c>
      <c r="S8" s="48" t="s">
        <v>20</v>
      </c>
      <c r="T8" s="50"/>
      <c r="U8" s="43">
        <f>_xll.dnetGBlackScholesNGreeks("delta",$Q8,$P8,$G8,$I8,$C$3,$J8,$K8,$C$4)*R8</f>
        <v>-0.51744199617651532</v>
      </c>
      <c r="V8" s="43">
        <f>_xll.dnetGBlackScholesNGreeks("vega",$Q8,$P8,$G8,$I8,$C$3,$J8,$K8,$C$4)*R8</f>
        <v>-0.11406523569462124</v>
      </c>
    </row>
    <row r="9" spans="1:22" ht="13.5" x14ac:dyDescent="0.15">
      <c r="A9" s="42"/>
      <c r="B9" s="51" t="s">
        <v>174</v>
      </c>
      <c r="C9" s="52" t="s">
        <v>160</v>
      </c>
      <c r="D9" s="52" t="s">
        <v>159</v>
      </c>
      <c r="E9" s="54">
        <f ca="1">E8</f>
        <v>43257</v>
      </c>
      <c r="F9" s="54">
        <f ca="1">F8</f>
        <v>43287</v>
      </c>
      <c r="G9" s="52">
        <v>100</v>
      </c>
      <c r="H9" s="52">
        <f>H8</f>
        <v>30</v>
      </c>
      <c r="I9" s="55">
        <f>H9/365</f>
        <v>8.2191780821917804E-2</v>
      </c>
      <c r="J9" s="55">
        <f>J8</f>
        <v>0</v>
      </c>
      <c r="K9" s="56">
        <v>0.3</v>
      </c>
      <c r="L9" s="51">
        <f>_xll.dnetGBlackScholesNGreeks("price",$Q9,$P9,$G9,$I9,$C$3,$J9,$K9,$C$4)*R9</f>
        <v>3.4245046917201378</v>
      </c>
      <c r="M9" s="57"/>
      <c r="N9" s="51"/>
      <c r="O9" s="51">
        <f t="shared" si="0"/>
        <v>3.4245046917201378</v>
      </c>
      <c r="P9" s="53">
        <v>100</v>
      </c>
      <c r="Q9" s="52" t="s">
        <v>39</v>
      </c>
      <c r="R9" s="52">
        <f>IF(S9="中金买入",1,-1)</f>
        <v>1</v>
      </c>
      <c r="S9" s="56" t="s">
        <v>151</v>
      </c>
      <c r="T9" s="58"/>
      <c r="U9" s="51">
        <f>_xll.dnetGBlackScholesNGreeks("delta",$Q9,$P9,$G9,$I9,$C$3,$J9,$K9,$C$4)*R9</f>
        <v>0.51630126926376363</v>
      </c>
      <c r="V9" s="51">
        <f>_xll.dnetGBlackScholesNGreeks("vega",$Q9,$P9,$G9,$I9,$C$3,$J9,$K9,$C$4)*R9</f>
        <v>0.11407976820886745</v>
      </c>
    </row>
    <row r="10" spans="1:22" ht="14.25" thickBot="1" x14ac:dyDescent="0.2">
      <c r="A10" s="42"/>
      <c r="B10" s="59" t="s">
        <v>175</v>
      </c>
      <c r="C10" s="60" t="s">
        <v>160</v>
      </c>
      <c r="D10" s="60" t="str">
        <f>D9</f>
        <v>RB1805</v>
      </c>
      <c r="E10" s="62">
        <f ca="1">E9</f>
        <v>43257</v>
      </c>
      <c r="F10" s="62">
        <f ca="1">F9</f>
        <v>43287</v>
      </c>
      <c r="G10" s="60" t="str">
        <f>G8 &amp; "|" &amp; G9</f>
        <v>100|100</v>
      </c>
      <c r="H10" s="60">
        <f>H9</f>
        <v>30</v>
      </c>
      <c r="I10" s="63">
        <f>I9</f>
        <v>8.2191780821917804E-2</v>
      </c>
      <c r="J10" s="63"/>
      <c r="K10" s="60"/>
      <c r="L10" s="59">
        <f>L9+L8</f>
        <v>-0.22814523783615925</v>
      </c>
      <c r="M10" s="60"/>
      <c r="N10" s="59">
        <f>M10/10000*I10*P10</f>
        <v>0</v>
      </c>
      <c r="O10" s="59">
        <f t="shared" si="0"/>
        <v>0.22814523783615925</v>
      </c>
      <c r="P10" s="61">
        <f>P9</f>
        <v>100</v>
      </c>
      <c r="Q10" s="60"/>
      <c r="R10" s="60"/>
      <c r="S10" s="56" t="s">
        <v>151</v>
      </c>
      <c r="T10" s="64">
        <f>O10/P10</f>
        <v>2.2814523783615927E-3</v>
      </c>
      <c r="U10" s="64">
        <f>U9+U8</f>
        <v>-1.1407269127516884E-3</v>
      </c>
      <c r="V10" s="64">
        <f>V9+V8</f>
        <v>1.4532514246212713E-5</v>
      </c>
    </row>
    <row r="11" spans="1:22" s="95" customFormat="1" ht="14.25" thickTop="1" x14ac:dyDescent="0.15">
      <c r="A11" s="96"/>
      <c r="B11" s="43" t="s">
        <v>173</v>
      </c>
      <c r="C11" s="44" t="s">
        <v>160</v>
      </c>
      <c r="D11" s="44" t="s">
        <v>201</v>
      </c>
      <c r="E11" s="46">
        <f ca="1">TODAY()</f>
        <v>43257</v>
      </c>
      <c r="F11" s="46">
        <f ca="1">E11+H11</f>
        <v>43272</v>
      </c>
      <c r="G11" s="113">
        <f>P11-20</f>
        <v>450.5</v>
      </c>
      <c r="H11" s="44">
        <v>15</v>
      </c>
      <c r="I11" s="47">
        <f>H11/365</f>
        <v>4.1095890410958902E-2</v>
      </c>
      <c r="J11" s="47">
        <v>0</v>
      </c>
      <c r="K11" s="48">
        <v>0.3</v>
      </c>
      <c r="L11" s="43">
        <f>_xll.dnetGBlackScholesNGreeks("price",$Q11,$P11,$G11,$I11,$C$3,$J11,$K11,$C$4)*R11</f>
        <v>-3.9006590657247244</v>
      </c>
      <c r="M11" s="49"/>
      <c r="N11" s="43"/>
      <c r="O11" s="43">
        <f t="shared" ref="O11:O13" si="1">IF(L11&lt;=0,ABS(L11)+N11,L11-N11)</f>
        <v>3.9006590657247244</v>
      </c>
      <c r="P11" s="110">
        <f>RTD("wdf.rtq",,D11,"LastPrice")</f>
        <v>470.5</v>
      </c>
      <c r="Q11" s="44" t="s">
        <v>85</v>
      </c>
      <c r="R11" s="44">
        <f>IF(S11="中金买入",1,-1)</f>
        <v>-1</v>
      </c>
      <c r="S11" s="48" t="s">
        <v>20</v>
      </c>
      <c r="T11" s="50"/>
      <c r="U11" s="43">
        <f>_xll.dnetGBlackScholesNGreeks("delta",$Q11,$P11,$G11,$I11,$C$3,$J11,$K11,$C$4)*R11</f>
        <v>0.22805270440429126</v>
      </c>
      <c r="V11" s="43">
        <f>_xll.dnetGBlackScholesNGreeks("vega",$Q11,$P11,$G11,$I11,$C$3,$J11,$K11,$C$4)*R11</f>
        <v>-0.28807069277139874</v>
      </c>
    </row>
    <row r="12" spans="1:22" s="95" customFormat="1" ht="13.5" x14ac:dyDescent="0.15">
      <c r="A12" s="96"/>
      <c r="B12" s="51" t="s">
        <v>174</v>
      </c>
      <c r="C12" s="52" t="s">
        <v>160</v>
      </c>
      <c r="D12" s="52" t="s">
        <v>201</v>
      </c>
      <c r="E12" s="54">
        <f t="shared" ref="E12:F12" ca="1" si="2">E11</f>
        <v>43257</v>
      </c>
      <c r="F12" s="54">
        <f t="shared" ca="1" si="2"/>
        <v>43272</v>
      </c>
      <c r="G12" s="52">
        <f>G11+50</f>
        <v>500.5</v>
      </c>
      <c r="H12" s="52">
        <f>H11</f>
        <v>15</v>
      </c>
      <c r="I12" s="55">
        <f>H12/365</f>
        <v>4.1095890410958902E-2</v>
      </c>
      <c r="J12" s="55">
        <f>J11</f>
        <v>0</v>
      </c>
      <c r="K12" s="56">
        <v>0.28999999999999998</v>
      </c>
      <c r="L12" s="51">
        <f>_xll.dnetGBlackScholesNGreeks("price",$Q12,$P12,$G12,$I12,$C$3,$J12,$K12,$C$4)*R12</f>
        <v>2.150761854557345</v>
      </c>
      <c r="M12" s="57"/>
      <c r="N12" s="51"/>
      <c r="O12" s="51">
        <f t="shared" si="1"/>
        <v>2.150761854557345</v>
      </c>
      <c r="P12" s="94">
        <f>P11</f>
        <v>470.5</v>
      </c>
      <c r="Q12" s="52" t="s">
        <v>39</v>
      </c>
      <c r="R12" s="52">
        <f>IF(S12="中金买入",1,-1)</f>
        <v>1</v>
      </c>
      <c r="S12" s="56" t="s">
        <v>151</v>
      </c>
      <c r="T12" s="58"/>
      <c r="U12" s="51">
        <f>_xll.dnetGBlackScholesNGreeks("delta",$Q12,$P12,$G12,$I12,$C$3,$J12,$K12,$C$4)*R12</f>
        <v>0.1532602325177379</v>
      </c>
      <c r="V12" s="51">
        <f>_xll.dnetGBlackScholesNGreeks("vega",$Q12,$P12,$G12,$I12,$C$3,$J12,$K12,$C$4)*R12</f>
        <v>0.22543259802305471</v>
      </c>
    </row>
    <row r="13" spans="1:22" s="98" customFormat="1" ht="14.25" thickBot="1" x14ac:dyDescent="0.2">
      <c r="A13" s="97"/>
      <c r="B13" s="59" t="s">
        <v>175</v>
      </c>
      <c r="C13" s="60" t="s">
        <v>160</v>
      </c>
      <c r="D13" s="60" t="str">
        <f t="shared" ref="D13:F13" si="3">D12</f>
        <v>i1809</v>
      </c>
      <c r="E13" s="62">
        <f t="shared" ca="1" si="3"/>
        <v>43257</v>
      </c>
      <c r="F13" s="62">
        <f t="shared" ca="1" si="3"/>
        <v>43272</v>
      </c>
      <c r="G13" s="60" t="str">
        <f>G11 &amp; "|" &amp; G12</f>
        <v>450.5|500.5</v>
      </c>
      <c r="H13" s="60">
        <f>H12</f>
        <v>15</v>
      </c>
      <c r="I13" s="63">
        <f>I12</f>
        <v>4.1095890410958902E-2</v>
      </c>
      <c r="J13" s="63"/>
      <c r="K13" s="60"/>
      <c r="L13" s="59">
        <f>L12+L11</f>
        <v>-1.7498972111673794</v>
      </c>
      <c r="M13" s="60">
        <v>0</v>
      </c>
      <c r="N13" s="59">
        <f>M13/10000*I13*P13</f>
        <v>0</v>
      </c>
      <c r="O13" s="59">
        <f t="shared" si="1"/>
        <v>1.7498972111673794</v>
      </c>
      <c r="P13" s="111">
        <f>P12</f>
        <v>470.5</v>
      </c>
      <c r="Q13" s="60"/>
      <c r="R13" s="60"/>
      <c r="S13" s="56" t="s">
        <v>151</v>
      </c>
      <c r="T13" s="64">
        <f>O13/P13</f>
        <v>3.7192289291548978E-3</v>
      </c>
      <c r="U13" s="64">
        <f>U12+U11</f>
        <v>0.38131293692202917</v>
      </c>
      <c r="V13" s="64">
        <f>V12+V11</f>
        <v>-6.2638094748344031E-2</v>
      </c>
    </row>
    <row r="14" spans="1:22" s="95" customFormat="1" ht="14.25" thickTop="1" x14ac:dyDescent="0.15">
      <c r="A14" s="96"/>
      <c r="B14" s="43" t="s">
        <v>173</v>
      </c>
      <c r="C14" s="44" t="s">
        <v>160</v>
      </c>
      <c r="D14" s="44" t="s">
        <v>210</v>
      </c>
      <c r="E14" s="46">
        <f ca="1">TODAY()</f>
        <v>43257</v>
      </c>
      <c r="F14" s="46">
        <f ca="1">E14+H14</f>
        <v>43348</v>
      </c>
      <c r="G14" s="113">
        <v>3480</v>
      </c>
      <c r="H14" s="44">
        <v>91</v>
      </c>
      <c r="I14" s="47">
        <f>H14/365</f>
        <v>0.24931506849315069</v>
      </c>
      <c r="J14" s="47">
        <v>0</v>
      </c>
      <c r="K14" s="48">
        <f>K15+0.02</f>
        <v>0.30000000000000004</v>
      </c>
      <c r="L14" s="43">
        <f>_xll.dnetGBlackScholesNGreeks("price",$Q14,$P14,$G14,$I14,$C$3,$J14,$K14,$C$4)*R14</f>
        <v>-393.94618718218817</v>
      </c>
      <c r="M14" s="49"/>
      <c r="N14" s="43"/>
      <c r="O14" s="43">
        <f t="shared" ref="O14:O16" si="4">IF(L14&lt;=0,ABS(L14)+N14,L14-N14)</f>
        <v>393.94618718218817</v>
      </c>
      <c r="P14" s="110">
        <f>RTD("wdf.rtq",,D14,"LastPrice")</f>
        <v>3776</v>
      </c>
      <c r="Q14" s="44" t="s">
        <v>39</v>
      </c>
      <c r="R14" s="44">
        <f>IF(S14="中金买入",1,-1)</f>
        <v>-1</v>
      </c>
      <c r="S14" s="48" t="s">
        <v>20</v>
      </c>
      <c r="T14" s="50"/>
      <c r="U14" s="43">
        <f>_xll.dnetGBlackScholesNGreeks("delta",$Q14,$P14,$G14,$I14,$C$3,$J14,$K14,$C$4)*R14</f>
        <v>-0.72868380118507048</v>
      </c>
      <c r="V14" s="43">
        <f>_xll.dnetGBlackScholesNGreeks("vega",$Q14,$P14,$G14,$I14,$C$3,$J14,$K14,$C$4)*R14</f>
        <v>-6.1751952200188498</v>
      </c>
    </row>
    <row r="15" spans="1:22" s="95" customFormat="1" ht="13.5" x14ac:dyDescent="0.15">
      <c r="A15" s="96"/>
      <c r="B15" s="51" t="s">
        <v>174</v>
      </c>
      <c r="C15" s="52" t="s">
        <v>160</v>
      </c>
      <c r="D15" s="52" t="str">
        <f>D14</f>
        <v>rb1810</v>
      </c>
      <c r="E15" s="54">
        <f t="shared" ref="E15:F15" ca="1" si="5">E14</f>
        <v>43257</v>
      </c>
      <c r="F15" s="54">
        <f t="shared" ca="1" si="5"/>
        <v>43348</v>
      </c>
      <c r="G15" s="52">
        <v>3280</v>
      </c>
      <c r="H15" s="52">
        <f>H14</f>
        <v>91</v>
      </c>
      <c r="I15" s="55">
        <f>H15/365</f>
        <v>0.24931506849315069</v>
      </c>
      <c r="J15" s="55">
        <f>J14</f>
        <v>0</v>
      </c>
      <c r="K15" s="56">
        <v>0.28000000000000003</v>
      </c>
      <c r="L15" s="51">
        <f>_xll.dnetGBlackScholesNGreeks("price",$Q15,$P15,$G15,$I15,$C$3,$J15,$K15,$C$4)*R15</f>
        <v>40.166629430091689</v>
      </c>
      <c r="M15" s="57"/>
      <c r="N15" s="51"/>
      <c r="O15" s="51">
        <f t="shared" si="4"/>
        <v>40.166629430091689</v>
      </c>
      <c r="P15" s="94">
        <f>P14</f>
        <v>3776</v>
      </c>
      <c r="Q15" s="52" t="s">
        <v>85</v>
      </c>
      <c r="R15" s="52">
        <f>IF(S15="中金买入",1,-1)</f>
        <v>1</v>
      </c>
      <c r="S15" s="56" t="s">
        <v>151</v>
      </c>
      <c r="T15" s="58"/>
      <c r="U15" s="51">
        <f>_xll.dnetGBlackScholesNGreeks("delta",$Q15,$P15,$G15,$I15,$C$3,$J15,$K15,$C$4)*R15</f>
        <v>-0.1400056652926196</v>
      </c>
      <c r="V15" s="51">
        <f>_xll.dnetGBlackScholesNGreeks("vega",$Q15,$P15,$G15,$I15,$C$3,$J15,$K15,$C$4)*R15</f>
        <v>4.1880854434049866</v>
      </c>
    </row>
    <row r="16" spans="1:22" s="98" customFormat="1" ht="14.25" thickBot="1" x14ac:dyDescent="0.2">
      <c r="A16" s="97"/>
      <c r="B16" s="59" t="s">
        <v>175</v>
      </c>
      <c r="C16" s="60" t="s">
        <v>160</v>
      </c>
      <c r="D16" s="60" t="str">
        <f>D15</f>
        <v>rb1810</v>
      </c>
      <c r="E16" s="62">
        <f t="shared" ref="E16:F16" ca="1" si="6">E15</f>
        <v>43257</v>
      </c>
      <c r="F16" s="62">
        <f t="shared" ca="1" si="6"/>
        <v>43348</v>
      </c>
      <c r="G16" s="60" t="str">
        <f>G14 &amp; "|" &amp; G15</f>
        <v>3480|3280</v>
      </c>
      <c r="H16" s="60">
        <f>H15</f>
        <v>91</v>
      </c>
      <c r="I16" s="63">
        <f>I15</f>
        <v>0.24931506849315069</v>
      </c>
      <c r="J16" s="63"/>
      <c r="K16" s="60"/>
      <c r="L16" s="59">
        <f>L15+L14</f>
        <v>-353.77955775209648</v>
      </c>
      <c r="M16" s="60">
        <v>0</v>
      </c>
      <c r="N16" s="59">
        <f>M16/10000*I16*P16</f>
        <v>0</v>
      </c>
      <c r="O16" s="59">
        <f t="shared" si="4"/>
        <v>353.77955775209648</v>
      </c>
      <c r="P16" s="111">
        <f>P15</f>
        <v>3776</v>
      </c>
      <c r="Q16" s="60"/>
      <c r="R16" s="60"/>
      <c r="S16" s="56" t="s">
        <v>151</v>
      </c>
      <c r="T16" s="64">
        <f>O16/P16</f>
        <v>9.3691620167398432E-2</v>
      </c>
      <c r="U16" s="64">
        <f>U15+U14</f>
        <v>-0.86868946647769008</v>
      </c>
      <c r="V16" s="64">
        <f>V15+V14</f>
        <v>-1.9871097766138632</v>
      </c>
    </row>
    <row r="17" spans="1:22" ht="12" thickBot="1" x14ac:dyDescent="0.2"/>
    <row r="18" spans="1:22" s="95" customFormat="1" ht="14.25" thickTop="1" x14ac:dyDescent="0.15">
      <c r="A18" s="96"/>
      <c r="B18" s="43" t="s">
        <v>173</v>
      </c>
      <c r="C18" s="44" t="s">
        <v>160</v>
      </c>
      <c r="D18" s="44" t="s">
        <v>228</v>
      </c>
      <c r="E18" s="46">
        <f ca="1">TODAY()</f>
        <v>43257</v>
      </c>
      <c r="F18" s="46">
        <f ca="1">E18+H18</f>
        <v>43288</v>
      </c>
      <c r="G18" s="118">
        <v>3000</v>
      </c>
      <c r="H18" s="44">
        <v>31</v>
      </c>
      <c r="I18" s="47">
        <f>H18/365</f>
        <v>8.4931506849315067E-2</v>
      </c>
      <c r="J18" s="47">
        <v>0</v>
      </c>
      <c r="K18" s="48">
        <v>0.16</v>
      </c>
      <c r="L18" s="43">
        <f>_xll.dnetGBlackScholesNGreeks("price",$Q18,$P18,$G18,$I18,$C$3,$J18,$K18,$C$4)*R18</f>
        <v>49.578408324926158</v>
      </c>
      <c r="M18" s="49"/>
      <c r="N18" s="43"/>
      <c r="O18" s="43">
        <f t="shared" ref="O18:O20" si="7">IF(L18&lt;=0,ABS(L18)+N18,L18-N18)</f>
        <v>49.578408324926158</v>
      </c>
      <c r="P18" s="110">
        <f>RTD("wdf.rtq",,D18,"LastPrice")</f>
        <v>3013</v>
      </c>
      <c r="Q18" s="44" t="s">
        <v>85</v>
      </c>
      <c r="R18" s="44">
        <f>IF(S18="中金买入",1,-1)</f>
        <v>1</v>
      </c>
      <c r="S18" s="48" t="s">
        <v>151</v>
      </c>
      <c r="T18" s="50"/>
      <c r="U18" s="43">
        <f>_xll.dnetGBlackScholesNGreeks("delta",$Q18,$P18,$G18,$I18,$C$3,$J18,$K18,$C$4)*R18</f>
        <v>-0.45303778505285663</v>
      </c>
      <c r="V18" s="43">
        <f>_xll.dnetGBlackScholesNGreeks("vega",$Q18,$P18,$G18,$I18,$C$3,$J18,$K18,$C$4)*R18</f>
        <v>3.4735550805258981</v>
      </c>
    </row>
    <row r="19" spans="1:22" s="95" customFormat="1" ht="13.5" x14ac:dyDescent="0.15">
      <c r="A19" s="96"/>
      <c r="B19" s="51" t="s">
        <v>174</v>
      </c>
      <c r="C19" s="52" t="s">
        <v>160</v>
      </c>
      <c r="D19" s="52" t="str">
        <f>D18</f>
        <v>m1809</v>
      </c>
      <c r="E19" s="54">
        <f t="shared" ref="E19:F19" ca="1" si="8">E18</f>
        <v>43257</v>
      </c>
      <c r="F19" s="54">
        <f t="shared" ca="1" si="8"/>
        <v>43288</v>
      </c>
      <c r="G19" s="119">
        <v>3280</v>
      </c>
      <c r="H19" s="52">
        <f>H18</f>
        <v>31</v>
      </c>
      <c r="I19" s="55">
        <f>H19/365</f>
        <v>8.4931506849315067E-2</v>
      </c>
      <c r="J19" s="55">
        <f>J18</f>
        <v>0</v>
      </c>
      <c r="K19" s="56">
        <v>0.18</v>
      </c>
      <c r="L19" s="51">
        <f>_xll.dnetGBlackScholesNGreeks("price",$Q19,$P19,$G19,$I19,$C$3,$J19,$K19,$C$4)*R19</f>
        <v>-3.6607602143990334</v>
      </c>
      <c r="M19" s="57"/>
      <c r="N19" s="51"/>
      <c r="O19" s="51">
        <f t="shared" si="7"/>
        <v>3.6607602143990334</v>
      </c>
      <c r="P19" s="94">
        <f>P18</f>
        <v>3013</v>
      </c>
      <c r="Q19" s="52" t="s">
        <v>39</v>
      </c>
      <c r="R19" s="52">
        <f>IF(S19="中金买入",1,-1)</f>
        <v>-1</v>
      </c>
      <c r="S19" s="56" t="s">
        <v>20</v>
      </c>
      <c r="T19" s="58"/>
      <c r="U19" s="51">
        <f>_xll.dnetGBlackScholesNGreeks("delta",$Q19,$P19,$G19,$I19,$C$3,$J19,$K19,$C$4)*R19</f>
        <v>-5.5557091698688055E-2</v>
      </c>
      <c r="V19" s="51">
        <f>_xll.dnetGBlackScholesNGreeks("vega",$Q19,$P19,$G19,$I19,$C$3,$J19,$K19,$C$4)*R19</f>
        <v>-0.98374394062787474</v>
      </c>
    </row>
    <row r="20" spans="1:22" s="98" customFormat="1" ht="14.25" thickBot="1" x14ac:dyDescent="0.2">
      <c r="A20" s="97"/>
      <c r="B20" s="59" t="s">
        <v>175</v>
      </c>
      <c r="C20" s="60" t="s">
        <v>160</v>
      </c>
      <c r="D20" s="60" t="str">
        <f>D19</f>
        <v>m1809</v>
      </c>
      <c r="E20" s="62">
        <f t="shared" ref="E20:F20" ca="1" si="9">E19</f>
        <v>43257</v>
      </c>
      <c r="F20" s="62">
        <f t="shared" ca="1" si="9"/>
        <v>43288</v>
      </c>
      <c r="G20" s="60" t="str">
        <f>G18 &amp; "|" &amp; G19</f>
        <v>3000|3280</v>
      </c>
      <c r="H20" s="60">
        <f>H19</f>
        <v>31</v>
      </c>
      <c r="I20" s="63">
        <f>I19</f>
        <v>8.4931506849315067E-2</v>
      </c>
      <c r="J20" s="63"/>
      <c r="K20" s="60"/>
      <c r="L20" s="59">
        <f>L19+L18</f>
        <v>45.917648110527125</v>
      </c>
      <c r="M20" s="60">
        <v>0</v>
      </c>
      <c r="N20" s="59">
        <f>M20/10000*I20*P20</f>
        <v>0</v>
      </c>
      <c r="O20" s="59">
        <f t="shared" si="7"/>
        <v>45.917648110527125</v>
      </c>
      <c r="P20" s="111">
        <f>P19</f>
        <v>3013</v>
      </c>
      <c r="Q20" s="60"/>
      <c r="R20" s="60"/>
      <c r="S20" s="56"/>
      <c r="T20" s="64">
        <f>O20/P20</f>
        <v>1.5239843382186235E-2</v>
      </c>
      <c r="U20" s="64">
        <f>U19+U18</f>
        <v>-0.50859487675154469</v>
      </c>
      <c r="V20" s="64">
        <f>V19+V18</f>
        <v>2.4898111398980234</v>
      </c>
    </row>
    <row r="21" spans="1:22" s="95" customFormat="1" ht="14.25" thickTop="1" x14ac:dyDescent="0.15">
      <c r="A21" s="96"/>
      <c r="B21" s="43" t="s">
        <v>173</v>
      </c>
      <c r="C21" s="44" t="s">
        <v>160</v>
      </c>
      <c r="D21" s="44" t="s">
        <v>228</v>
      </c>
      <c r="E21" s="46">
        <f ca="1">TODAY()</f>
        <v>43257</v>
      </c>
      <c r="F21" s="46">
        <f ca="1">E21+H21</f>
        <v>43349</v>
      </c>
      <c r="G21" s="118">
        <v>3000</v>
      </c>
      <c r="H21" s="44">
        <v>92</v>
      </c>
      <c r="I21" s="47">
        <f>H21/365</f>
        <v>0.25205479452054796</v>
      </c>
      <c r="J21" s="47">
        <v>0</v>
      </c>
      <c r="K21" s="48">
        <v>0.16</v>
      </c>
      <c r="L21" s="43">
        <f>_xll.dnetGBlackScholesNGreeks("price",$Q21,$P21,$G21,$I21,$C$3,$J21,$K21,$C$4)*R21</f>
        <v>89.508302286593334</v>
      </c>
      <c r="M21" s="49"/>
      <c r="N21" s="43"/>
      <c r="O21" s="43">
        <f t="shared" ref="O21:O23" si="10">IF(L21&lt;=0,ABS(L21)+N21,L21-N21)</f>
        <v>89.508302286593334</v>
      </c>
      <c r="P21" s="110">
        <f>RTD("wdf.rtq",,D21,"LastPrice")</f>
        <v>3013</v>
      </c>
      <c r="Q21" s="44" t="s">
        <v>85</v>
      </c>
      <c r="R21" s="44">
        <f>IF(S21="中金买入",1,-1)</f>
        <v>1</v>
      </c>
      <c r="S21" s="48" t="s">
        <v>151</v>
      </c>
      <c r="T21" s="50"/>
      <c r="U21" s="43">
        <f>_xll.dnetGBlackScholesNGreeks("delta",$Q21,$P21,$G21,$I21,$C$3,$J21,$K21,$C$4)*R21</f>
        <v>-0.46023145836215917</v>
      </c>
      <c r="V21" s="43">
        <f>_xll.dnetGBlackScholesNGreeks("vega",$Q21,$P21,$G21,$I21,$C$3,$J21,$K21,$C$4)*R21</f>
        <v>5.9778637390663789</v>
      </c>
    </row>
    <row r="22" spans="1:22" s="95" customFormat="1" ht="13.5" x14ac:dyDescent="0.15">
      <c r="A22" s="96"/>
      <c r="B22" s="51" t="s">
        <v>174</v>
      </c>
      <c r="C22" s="52" t="s">
        <v>160</v>
      </c>
      <c r="D22" s="52" t="str">
        <f>D21</f>
        <v>m1809</v>
      </c>
      <c r="E22" s="54">
        <f t="shared" ref="E22:F22" ca="1" si="11">E21</f>
        <v>43257</v>
      </c>
      <c r="F22" s="54">
        <f t="shared" ca="1" si="11"/>
        <v>43349</v>
      </c>
      <c r="G22" s="119">
        <v>3280</v>
      </c>
      <c r="H22" s="52">
        <f>H21</f>
        <v>92</v>
      </c>
      <c r="I22" s="55">
        <f>H22/365</f>
        <v>0.25205479452054796</v>
      </c>
      <c r="J22" s="55">
        <f>J21</f>
        <v>0</v>
      </c>
      <c r="K22" s="56">
        <v>0.18</v>
      </c>
      <c r="L22" s="51">
        <f>_xll.dnetGBlackScholesNGreeks("price",$Q22,$P22,$G22,$I22,$C$3,$J22,$K22,$C$4)*R22</f>
        <v>-26.371296040464927</v>
      </c>
      <c r="M22" s="57"/>
      <c r="N22" s="51"/>
      <c r="O22" s="51">
        <f t="shared" si="10"/>
        <v>26.371296040464927</v>
      </c>
      <c r="P22" s="94">
        <f>P21</f>
        <v>3013</v>
      </c>
      <c r="Q22" s="52" t="s">
        <v>39</v>
      </c>
      <c r="R22" s="52">
        <f>IF(S22="中金买入",1,-1)</f>
        <v>-1</v>
      </c>
      <c r="S22" s="56" t="s">
        <v>20</v>
      </c>
      <c r="T22" s="58"/>
      <c r="U22" s="51">
        <f>_xll.dnetGBlackScholesNGreeks("delta",$Q22,$P22,$G22,$I22,$C$3,$J22,$K22,$C$4)*R22</f>
        <v>-0.18462755128325625</v>
      </c>
      <c r="V22" s="51">
        <f>_xll.dnetGBlackScholesNGreeks("vega",$Q22,$P22,$G22,$I22,$C$3,$J22,$K22,$C$4)*R22</f>
        <v>-4.0211529428331687</v>
      </c>
    </row>
    <row r="23" spans="1:22" s="98" customFormat="1" ht="14.25" thickBot="1" x14ac:dyDescent="0.2">
      <c r="A23" s="97"/>
      <c r="B23" s="59" t="s">
        <v>175</v>
      </c>
      <c r="C23" s="60" t="s">
        <v>160</v>
      </c>
      <c r="D23" s="60" t="str">
        <f>D22</f>
        <v>m1809</v>
      </c>
      <c r="E23" s="62">
        <f t="shared" ref="E23:F23" ca="1" si="12">E22</f>
        <v>43257</v>
      </c>
      <c r="F23" s="62">
        <f t="shared" ca="1" si="12"/>
        <v>43349</v>
      </c>
      <c r="G23" s="60" t="str">
        <f>G21 &amp; "|" &amp; G22</f>
        <v>3000|3280</v>
      </c>
      <c r="H23" s="60">
        <f>H22</f>
        <v>92</v>
      </c>
      <c r="I23" s="63">
        <f>I22</f>
        <v>0.25205479452054796</v>
      </c>
      <c r="J23" s="63"/>
      <c r="K23" s="60"/>
      <c r="L23" s="59">
        <f>L22+L21</f>
        <v>63.137006246128408</v>
      </c>
      <c r="M23" s="60">
        <v>0</v>
      </c>
      <c r="N23" s="59">
        <f>M23/10000*I23*P23</f>
        <v>0</v>
      </c>
      <c r="O23" s="59">
        <f t="shared" si="10"/>
        <v>63.137006246128408</v>
      </c>
      <c r="P23" s="111">
        <f>P22</f>
        <v>3013</v>
      </c>
      <c r="Q23" s="60"/>
      <c r="R23" s="60"/>
      <c r="S23" s="56"/>
      <c r="T23" s="64">
        <f>O23/P23</f>
        <v>2.0954864336584271E-2</v>
      </c>
      <c r="U23" s="64">
        <f>U22+U21</f>
        <v>-0.64485900964541543</v>
      </c>
      <c r="V23" s="64">
        <f>V22+V21</f>
        <v>1.9567107962332102</v>
      </c>
    </row>
    <row r="25" spans="1:22" ht="12" thickBot="1" x14ac:dyDescent="0.2"/>
    <row r="26" spans="1:22" s="95" customFormat="1" ht="14.25" thickTop="1" x14ac:dyDescent="0.15">
      <c r="A26" s="96"/>
      <c r="B26" s="43" t="s">
        <v>173</v>
      </c>
      <c r="C26" s="44" t="s">
        <v>160</v>
      </c>
      <c r="D26" s="44" t="s">
        <v>228</v>
      </c>
      <c r="E26" s="46">
        <f ca="1">TODAY()</f>
        <v>43257</v>
      </c>
      <c r="F26" s="46">
        <f ca="1">E26+H26</f>
        <v>43288</v>
      </c>
      <c r="G26" s="118">
        <v>2950</v>
      </c>
      <c r="H26" s="44">
        <v>31</v>
      </c>
      <c r="I26" s="47">
        <f>H26/365</f>
        <v>8.4931506849315067E-2</v>
      </c>
      <c r="J26" s="47">
        <v>0</v>
      </c>
      <c r="K26" s="48">
        <v>0.16</v>
      </c>
      <c r="L26" s="43">
        <f>_xll.dnetGBlackScholesNGreeks("price",$Q26,$P26,$G26,$I26,$C$3,$J26,$K26,$C$4)*R26</f>
        <v>29.505149158082418</v>
      </c>
      <c r="M26" s="49"/>
      <c r="N26" s="43"/>
      <c r="O26" s="43">
        <f t="shared" ref="O26:O31" si="13">IF(L26&lt;=0,ABS(L26)+N26,L26-N26)</f>
        <v>29.505149158082418</v>
      </c>
      <c r="P26" s="110">
        <f>RTD("wdf.rtq",,D26,"LastPrice")</f>
        <v>3013</v>
      </c>
      <c r="Q26" s="44" t="s">
        <v>85</v>
      </c>
      <c r="R26" s="44">
        <f>IF(S26="中金买入",1,-1)</f>
        <v>1</v>
      </c>
      <c r="S26" s="48" t="s">
        <v>151</v>
      </c>
      <c r="T26" s="50"/>
      <c r="U26" s="43">
        <f>_xll.dnetGBlackScholesNGreeks("delta",$Q26,$P26,$G26,$I26,$C$3,$J26,$K26,$C$4)*R26</f>
        <v>-0.31632452301550984</v>
      </c>
      <c r="V26" s="43">
        <f>_xll.dnetGBlackScholesNGreeks("vega",$Q26,$P26,$G26,$I26,$C$3,$J26,$K26,$C$4)*R26</f>
        <v>3.1206204798867248</v>
      </c>
    </row>
    <row r="27" spans="1:22" s="95" customFormat="1" ht="13.5" x14ac:dyDescent="0.15">
      <c r="A27" s="96"/>
      <c r="B27" s="51" t="s">
        <v>174</v>
      </c>
      <c r="C27" s="52" t="s">
        <v>160</v>
      </c>
      <c r="D27" s="52" t="str">
        <f>D26</f>
        <v>m1809</v>
      </c>
      <c r="E27" s="54">
        <f t="shared" ref="E27:F27" ca="1" si="14">E26</f>
        <v>43257</v>
      </c>
      <c r="F27" s="54">
        <f t="shared" ca="1" si="14"/>
        <v>43288</v>
      </c>
      <c r="G27" s="119">
        <v>3350</v>
      </c>
      <c r="H27" s="52">
        <f>H26</f>
        <v>31</v>
      </c>
      <c r="I27" s="55">
        <f>H27/365</f>
        <v>8.4931506849315067E-2</v>
      </c>
      <c r="J27" s="55">
        <f>J26</f>
        <v>0</v>
      </c>
      <c r="K27" s="56">
        <v>0.18</v>
      </c>
      <c r="L27" s="51">
        <f>_xll.dnetGBlackScholesNGreeks("price",$Q27,$P27,$G27,$I27,$C$3,$J27,$K27,$C$4)*R27</f>
        <v>-1.3342309769147107</v>
      </c>
      <c r="M27" s="57"/>
      <c r="N27" s="51"/>
      <c r="O27" s="51">
        <f t="shared" si="13"/>
        <v>1.3342309769147107</v>
      </c>
      <c r="P27" s="94">
        <f>P26</f>
        <v>3013</v>
      </c>
      <c r="Q27" s="52" t="s">
        <v>39</v>
      </c>
      <c r="R27" s="52">
        <f>IF(S27="中金买入",1,-1)</f>
        <v>-1</v>
      </c>
      <c r="S27" s="56" t="s">
        <v>20</v>
      </c>
      <c r="T27" s="58"/>
      <c r="U27" s="51">
        <f>_xll.dnetGBlackScholesNGreeks("delta",$Q27,$P27,$G27,$I27,$C$3,$J27,$K27,$C$4)*R27</f>
        <v>-2.2986889202059047E-2</v>
      </c>
      <c r="V27" s="51">
        <f>_xll.dnetGBlackScholesNGreeks("vega",$Q27,$P27,$G27,$I27,$C$3,$J27,$K27,$C$4)*R27</f>
        <v>-0.4791991577496546</v>
      </c>
    </row>
    <row r="28" spans="1:22" s="98" customFormat="1" ht="14.25" thickBot="1" x14ac:dyDescent="0.2">
      <c r="A28" s="97"/>
      <c r="B28" s="59" t="s">
        <v>175</v>
      </c>
      <c r="C28" s="60" t="s">
        <v>160</v>
      </c>
      <c r="D28" s="60" t="str">
        <f>D27</f>
        <v>m1809</v>
      </c>
      <c r="E28" s="62">
        <f t="shared" ref="E28:F28" ca="1" si="15">E27</f>
        <v>43257</v>
      </c>
      <c r="F28" s="62">
        <f t="shared" ca="1" si="15"/>
        <v>43288</v>
      </c>
      <c r="G28" s="60" t="str">
        <f>G26 &amp; "|" &amp; G27</f>
        <v>2950|3350</v>
      </c>
      <c r="H28" s="60">
        <f>H27</f>
        <v>31</v>
      </c>
      <c r="I28" s="63">
        <f>I27</f>
        <v>8.4931506849315067E-2</v>
      </c>
      <c r="J28" s="63"/>
      <c r="K28" s="60"/>
      <c r="L28" s="59">
        <f>L27+L26</f>
        <v>28.170918181167707</v>
      </c>
      <c r="M28" s="60">
        <v>0</v>
      </c>
      <c r="N28" s="59">
        <f>M28/10000*I28*P28</f>
        <v>0</v>
      </c>
      <c r="O28" s="59">
        <f t="shared" si="13"/>
        <v>28.170918181167707</v>
      </c>
      <c r="P28" s="111">
        <f>P27</f>
        <v>3013</v>
      </c>
      <c r="Q28" s="60"/>
      <c r="R28" s="60"/>
      <c r="S28" s="56"/>
      <c r="T28" s="64">
        <f>O28/P28</f>
        <v>9.3497903024121164E-3</v>
      </c>
      <c r="U28" s="64">
        <f>U27+U26</f>
        <v>-0.33931141221756889</v>
      </c>
      <c r="V28" s="64">
        <f>V27+V26</f>
        <v>2.6414213221370701</v>
      </c>
    </row>
    <row r="29" spans="1:22" s="95" customFormat="1" ht="14.25" thickTop="1" x14ac:dyDescent="0.15">
      <c r="A29" s="96"/>
      <c r="B29" s="43" t="s">
        <v>173</v>
      </c>
      <c r="C29" s="44" t="s">
        <v>160</v>
      </c>
      <c r="D29" s="44" t="s">
        <v>228</v>
      </c>
      <c r="E29" s="46">
        <f ca="1">TODAY()</f>
        <v>43257</v>
      </c>
      <c r="F29" s="46">
        <f ca="1">E29+H29</f>
        <v>43349</v>
      </c>
      <c r="G29" s="118">
        <v>2950</v>
      </c>
      <c r="H29" s="44">
        <v>92</v>
      </c>
      <c r="I29" s="47">
        <f>H29/365</f>
        <v>0.25205479452054796</v>
      </c>
      <c r="J29" s="47">
        <v>0</v>
      </c>
      <c r="K29" s="48">
        <v>0.16</v>
      </c>
      <c r="L29" s="43">
        <f>_xll.dnetGBlackScholesNGreeks("price",$Q29,$P29,$G29,$I29,$C$3,$J29,$K29,$C$4)*R29</f>
        <v>66.966022295379389</v>
      </c>
      <c r="M29" s="49"/>
      <c r="N29" s="43"/>
      <c r="O29" s="43">
        <f t="shared" si="13"/>
        <v>66.966022295379389</v>
      </c>
      <c r="P29" s="110">
        <f>RTD("wdf.rtq",,D29,"LastPrice")</f>
        <v>3013</v>
      </c>
      <c r="Q29" s="44" t="s">
        <v>85</v>
      </c>
      <c r="R29" s="44">
        <f>IF(S29="中金买入",1,-1)</f>
        <v>1</v>
      </c>
      <c r="S29" s="48" t="s">
        <v>151</v>
      </c>
      <c r="T29" s="50"/>
      <c r="U29" s="43">
        <f>_xll.dnetGBlackScholesNGreeks("delta",$Q29,$P29,$G29,$I29,$C$3,$J29,$K29,$C$4)*R29</f>
        <v>-0.37894453201943179</v>
      </c>
      <c r="V29" s="43">
        <f>_xll.dnetGBlackScholesNGreeks("vega",$Q29,$P29,$G29,$I29,$C$3,$J29,$K29,$C$4)*R29</f>
        <v>5.7338159418681016</v>
      </c>
    </row>
    <row r="30" spans="1:22" s="95" customFormat="1" ht="13.5" x14ac:dyDescent="0.15">
      <c r="A30" s="96"/>
      <c r="B30" s="51" t="s">
        <v>174</v>
      </c>
      <c r="C30" s="52" t="s">
        <v>160</v>
      </c>
      <c r="D30" s="52" t="str">
        <f>D29</f>
        <v>m1809</v>
      </c>
      <c r="E30" s="54">
        <f t="shared" ref="E30:F30" ca="1" si="16">E29</f>
        <v>43257</v>
      </c>
      <c r="F30" s="54">
        <f t="shared" ca="1" si="16"/>
        <v>43349</v>
      </c>
      <c r="G30" s="119">
        <v>3350</v>
      </c>
      <c r="H30" s="52">
        <f>H29</f>
        <v>92</v>
      </c>
      <c r="I30" s="55">
        <f>H30/365</f>
        <v>0.25205479452054796</v>
      </c>
      <c r="J30" s="55">
        <f>J29</f>
        <v>0</v>
      </c>
      <c r="K30" s="56">
        <v>0.18</v>
      </c>
      <c r="L30" s="51">
        <f>_xll.dnetGBlackScholesNGreeks("price",$Q30,$P30,$G30,$I30,$C$3,$J30,$K30,$C$4)*R30</f>
        <v>-16.914710392619781</v>
      </c>
      <c r="M30" s="57"/>
      <c r="N30" s="51"/>
      <c r="O30" s="51">
        <f t="shared" si="13"/>
        <v>16.914710392619781</v>
      </c>
      <c r="P30" s="94">
        <f>P29</f>
        <v>3013</v>
      </c>
      <c r="Q30" s="52" t="s">
        <v>39</v>
      </c>
      <c r="R30" s="52">
        <f>IF(S30="中金买入",1,-1)</f>
        <v>-1</v>
      </c>
      <c r="S30" s="56" t="s">
        <v>20</v>
      </c>
      <c r="T30" s="58"/>
      <c r="U30" s="51">
        <f>_xll.dnetGBlackScholesNGreeks("delta",$Q30,$P30,$G30,$I30,$C$3,$J30,$K30,$C$4)*R30</f>
        <v>-0.12899763910070305</v>
      </c>
      <c r="V30" s="51">
        <f>_xll.dnetGBlackScholesNGreeks("vega",$Q30,$P30,$G30,$I30,$C$3,$J30,$K30,$C$4)*R30</f>
        <v>-3.1742994596027359</v>
      </c>
    </row>
    <row r="31" spans="1:22" s="98" customFormat="1" ht="14.25" thickBot="1" x14ac:dyDescent="0.2">
      <c r="A31" s="97"/>
      <c r="B31" s="59" t="s">
        <v>175</v>
      </c>
      <c r="C31" s="60" t="s">
        <v>160</v>
      </c>
      <c r="D31" s="60" t="str">
        <f>D30</f>
        <v>m1809</v>
      </c>
      <c r="E31" s="62">
        <f t="shared" ref="E31:F31" ca="1" si="17">E30</f>
        <v>43257</v>
      </c>
      <c r="F31" s="62">
        <f t="shared" ca="1" si="17"/>
        <v>43349</v>
      </c>
      <c r="G31" s="60" t="str">
        <f>G29 &amp; "|" &amp; G30</f>
        <v>2950|3350</v>
      </c>
      <c r="H31" s="60">
        <f>H30</f>
        <v>92</v>
      </c>
      <c r="I31" s="63">
        <f>I30</f>
        <v>0.25205479452054796</v>
      </c>
      <c r="J31" s="63"/>
      <c r="K31" s="60"/>
      <c r="L31" s="59">
        <f>L30+L29</f>
        <v>50.051311902759608</v>
      </c>
      <c r="M31" s="60">
        <v>0</v>
      </c>
      <c r="N31" s="59">
        <f>M31/10000*I31*P31</f>
        <v>0</v>
      </c>
      <c r="O31" s="59">
        <f t="shared" si="13"/>
        <v>50.051311902759608</v>
      </c>
      <c r="P31" s="111">
        <f>P30</f>
        <v>3013</v>
      </c>
      <c r="Q31" s="60"/>
      <c r="R31" s="60"/>
      <c r="S31" s="56"/>
      <c r="T31" s="64">
        <f>O31/P31</f>
        <v>1.6611786227268374E-2</v>
      </c>
      <c r="U31" s="64">
        <f>U30+U29</f>
        <v>-0.50794217112013484</v>
      </c>
      <c r="V31" s="64">
        <f>V30+V29</f>
        <v>2.5595164822653658</v>
      </c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>
          <x14:formula1>
            <xm:f>configs!$A$1:$A$36</xm:f>
          </x14:formula1>
          <xm:sqref>C8:C16 C18:C23 C26:C31</xm:sqref>
        </x14:dataValidation>
        <x14:dataValidation type="list" allowBlank="1" showInputMessage="1" showErrorMessage="1">
          <x14:formula1>
            <xm:f>configs!$C$1:$C$2</xm:f>
          </x14:formula1>
          <xm:sqref>Q8:Q16 Q18:Q23 Q26:Q31</xm:sqref>
        </x14:dataValidation>
        <x14:dataValidation type="list" allowBlank="1" showInputMessage="1" showErrorMessage="1">
          <x14:formula1>
            <xm:f>configs!$B$1:$B$2</xm:f>
          </x14:formula1>
          <xm:sqref>S8:S16 S18:S23 S26:S31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U15"/>
  <sheetViews>
    <sheetView workbookViewId="0">
      <selection activeCell="J25" sqref="J25"/>
    </sheetView>
  </sheetViews>
  <sheetFormatPr defaultColWidth="9" defaultRowHeight="11.25" x14ac:dyDescent="0.15"/>
  <cols>
    <col min="1" max="1" width="9" style="6"/>
    <col min="2" max="2" width="10.5" style="6" customWidth="1"/>
    <col min="3" max="3" width="8.75" style="6" customWidth="1"/>
    <col min="4" max="6" width="9" style="6"/>
    <col min="7" max="8" width="13.5" style="6" customWidth="1"/>
    <col min="9" max="9" width="13.5" style="6" hidden="1" customWidth="1"/>
    <col min="10" max="10" width="11.25" style="6" customWidth="1"/>
    <col min="11" max="11" width="11.125" style="6" customWidth="1"/>
    <col min="12" max="12" width="9" style="6"/>
    <col min="13" max="13" width="9" style="6" customWidth="1"/>
    <col min="14" max="17" width="9" style="6" hidden="1" customWidth="1"/>
    <col min="18" max="18" width="10.75" style="6" hidden="1" customWidth="1"/>
    <col min="19" max="19" width="10.125" style="6" hidden="1" customWidth="1"/>
    <col min="20" max="16384" width="9" style="6"/>
  </cols>
  <sheetData>
    <row r="1" spans="1:21" ht="14.25" customHeight="1" thickBot="1" x14ac:dyDescent="0.2">
      <c r="B1" s="138" t="s">
        <v>158</v>
      </c>
      <c r="C1" s="138"/>
      <c r="D1" s="138"/>
    </row>
    <row r="2" spans="1:21" ht="12" thickTop="1" x14ac:dyDescent="0.15"/>
    <row r="3" spans="1:21" x14ac:dyDescent="0.15"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</row>
    <row r="4" spans="1:21" ht="12" thickBot="1" x14ac:dyDescent="0.2">
      <c r="A4" s="35"/>
      <c r="B4" s="17" t="s">
        <v>30</v>
      </c>
      <c r="C4" s="17"/>
      <c r="D4" s="17" t="s">
        <v>32</v>
      </c>
      <c r="E4" s="17" t="s">
        <v>23</v>
      </c>
      <c r="F4" s="17" t="s">
        <v>8</v>
      </c>
      <c r="G4" s="17" t="s">
        <v>7</v>
      </c>
      <c r="H4" s="17" t="s">
        <v>44</v>
      </c>
      <c r="I4" s="17" t="s">
        <v>45</v>
      </c>
      <c r="J4" s="17" t="s">
        <v>46</v>
      </c>
      <c r="K4" s="17" t="s">
        <v>9</v>
      </c>
      <c r="L4" s="17" t="s">
        <v>10</v>
      </c>
      <c r="M4" s="17" t="s">
        <v>11</v>
      </c>
      <c r="N4" s="17" t="s">
        <v>12</v>
      </c>
      <c r="O4" s="17" t="s">
        <v>47</v>
      </c>
      <c r="P4" s="17" t="s">
        <v>13</v>
      </c>
      <c r="Q4" s="17" t="s">
        <v>14</v>
      </c>
      <c r="R4" s="17" t="s">
        <v>26</v>
      </c>
      <c r="S4" s="17" t="s">
        <v>28</v>
      </c>
      <c r="T4" s="17" t="s">
        <v>15</v>
      </c>
      <c r="U4" s="18" t="s">
        <v>33</v>
      </c>
    </row>
    <row r="5" spans="1:21" ht="12" thickTop="1" x14ac:dyDescent="0.15">
      <c r="B5" s="10"/>
      <c r="C5" s="10"/>
      <c r="D5" s="10"/>
      <c r="E5" s="10"/>
      <c r="F5" s="10"/>
      <c r="G5" s="10"/>
      <c r="H5" s="10"/>
      <c r="I5" s="10"/>
      <c r="J5" s="10"/>
      <c r="K5" s="38"/>
      <c r="L5" s="38"/>
      <c r="M5" s="10"/>
      <c r="N5" s="10"/>
      <c r="O5" s="10"/>
      <c r="P5" s="10"/>
      <c r="Q5" s="10"/>
      <c r="R5" s="10"/>
      <c r="S5" s="10"/>
      <c r="T5" s="10"/>
      <c r="U5" s="10"/>
    </row>
    <row r="7" spans="1:21" ht="12" thickBot="1" x14ac:dyDescent="0.2">
      <c r="B7" s="17" t="s">
        <v>30</v>
      </c>
      <c r="C7" s="17"/>
      <c r="D7" s="17" t="s">
        <v>32</v>
      </c>
      <c r="E7" s="17" t="s">
        <v>23</v>
      </c>
      <c r="F7" s="17" t="s">
        <v>8</v>
      </c>
      <c r="G7" s="17" t="s">
        <v>7</v>
      </c>
      <c r="H7" s="17" t="s">
        <v>44</v>
      </c>
      <c r="I7" s="17" t="s">
        <v>45</v>
      </c>
      <c r="J7" s="17" t="s">
        <v>46</v>
      </c>
      <c r="K7" s="17" t="s">
        <v>9</v>
      </c>
      <c r="L7" s="17" t="s">
        <v>10</v>
      </c>
      <c r="M7" s="17" t="s">
        <v>11</v>
      </c>
      <c r="N7" s="17" t="s">
        <v>12</v>
      </c>
      <c r="O7" s="17" t="s">
        <v>47</v>
      </c>
      <c r="P7" s="17" t="s">
        <v>13</v>
      </c>
      <c r="Q7" s="17" t="s">
        <v>14</v>
      </c>
      <c r="R7" s="17" t="s">
        <v>26</v>
      </c>
      <c r="S7" s="17" t="s">
        <v>28</v>
      </c>
      <c r="T7" s="17" t="s">
        <v>15</v>
      </c>
      <c r="U7" s="18" t="s">
        <v>33</v>
      </c>
    </row>
    <row r="8" spans="1:21" ht="12" thickTop="1" x14ac:dyDescent="0.15">
      <c r="B8" s="10"/>
      <c r="C8" s="10"/>
      <c r="D8" s="10"/>
      <c r="E8" s="10"/>
      <c r="F8" s="10"/>
      <c r="G8" s="10"/>
      <c r="H8" s="10"/>
      <c r="I8" s="10"/>
      <c r="J8" s="10"/>
      <c r="K8" s="38"/>
      <c r="L8" s="38"/>
      <c r="M8" s="10"/>
      <c r="N8" s="10"/>
      <c r="O8" s="10"/>
      <c r="P8" s="10"/>
      <c r="Q8" s="10"/>
      <c r="R8" s="10"/>
      <c r="S8" s="10"/>
      <c r="T8" s="13"/>
      <c r="U8" s="10"/>
    </row>
    <row r="9" spans="1:21" ht="12" thickBot="1" x14ac:dyDescent="0.2">
      <c r="B9" s="17" t="s">
        <v>30</v>
      </c>
      <c r="C9" s="17"/>
      <c r="D9" s="17" t="s">
        <v>32</v>
      </c>
      <c r="E9" s="17" t="s">
        <v>23</v>
      </c>
      <c r="F9" s="17" t="s">
        <v>8</v>
      </c>
      <c r="G9" s="17" t="s">
        <v>7</v>
      </c>
      <c r="H9" s="17" t="s">
        <v>44</v>
      </c>
      <c r="I9" s="17" t="s">
        <v>45</v>
      </c>
      <c r="J9" s="17" t="s">
        <v>46</v>
      </c>
      <c r="K9" s="17" t="s">
        <v>9</v>
      </c>
      <c r="L9" s="17" t="s">
        <v>10</v>
      </c>
      <c r="M9" s="17" t="s">
        <v>11</v>
      </c>
      <c r="N9" s="17" t="s">
        <v>12</v>
      </c>
      <c r="O9" s="17" t="s">
        <v>47</v>
      </c>
      <c r="P9" s="17" t="s">
        <v>13</v>
      </c>
      <c r="Q9" s="17" t="s">
        <v>14</v>
      </c>
      <c r="R9" s="17" t="s">
        <v>26</v>
      </c>
      <c r="S9" s="17" t="s">
        <v>28</v>
      </c>
      <c r="T9" s="17" t="s">
        <v>15</v>
      </c>
      <c r="U9" s="10"/>
    </row>
    <row r="10" spans="1:21" ht="12" thickTop="1" x14ac:dyDescent="0.15">
      <c r="A10" s="6" t="str">
        <f>pricer_sf!C11</f>
        <v>Example</v>
      </c>
      <c r="B10" s="10" t="str">
        <f>pricer_sf!D11</f>
        <v>中金卖出</v>
      </c>
      <c r="C10" s="10">
        <f>pricer_sf!E11</f>
        <v>-1</v>
      </c>
      <c r="D10" s="10" t="s">
        <v>214</v>
      </c>
      <c r="E10" s="10" t="str">
        <f>pricer_sf!G11</f>
        <v>cuo</v>
      </c>
      <c r="F10" s="10">
        <f>pricer_sf!H11</f>
        <v>100</v>
      </c>
      <c r="G10" s="10">
        <f>pricer_sf!I11</f>
        <v>100</v>
      </c>
      <c r="H10" s="10">
        <f>pricer_sf!J11</f>
        <v>118</v>
      </c>
      <c r="I10" s="10">
        <f>pricer_sf!K11</f>
        <v>118.97557113438837</v>
      </c>
      <c r="J10" s="10">
        <f>pricer_sf!L11</f>
        <v>0</v>
      </c>
      <c r="K10" s="38">
        <f ca="1">pricer_sf!M11</f>
        <v>43257</v>
      </c>
      <c r="L10" s="38">
        <f ca="1">pricer_sf!N11</f>
        <v>43348</v>
      </c>
      <c r="M10" s="10">
        <f>pricer_sf!O11</f>
        <v>91</v>
      </c>
      <c r="N10" s="10">
        <f>pricer_sf!P11</f>
        <v>0.24931506849315069</v>
      </c>
      <c r="O10" s="10">
        <f>pricer_sf!Q11</f>
        <v>0</v>
      </c>
      <c r="P10" s="10">
        <f>pricer_sf!R11</f>
        <v>0.27</v>
      </c>
      <c r="Q10" s="10">
        <f>pricer_sf!S11</f>
        <v>-1.9129556509179371</v>
      </c>
      <c r="R10" s="10">
        <f>pricer_sf!T11</f>
        <v>200.54945054945054</v>
      </c>
      <c r="S10" s="10">
        <f>pricer_sf!U11</f>
        <v>0.49999999999999994</v>
      </c>
      <c r="T10" s="13">
        <f>pricer_sf!V11</f>
        <v>2.4129556509179371</v>
      </c>
      <c r="U10" s="10"/>
    </row>
    <row r="11" spans="1:21" x14ac:dyDescent="0.15">
      <c r="A11" s="6" t="str">
        <f>pricer_sf!C12</f>
        <v>Example</v>
      </c>
      <c r="B11" s="10" t="str">
        <f>pricer_sf!D12</f>
        <v>中金卖出</v>
      </c>
      <c r="C11" s="10">
        <f>pricer_sf!E12</f>
        <v>-1</v>
      </c>
      <c r="D11" s="10" t="s">
        <v>215</v>
      </c>
      <c r="E11" s="10" t="str">
        <f>pricer_sf!G12</f>
        <v>cuo</v>
      </c>
      <c r="F11" s="10">
        <f>pricer_sf!H12</f>
        <v>100</v>
      </c>
      <c r="G11" s="10">
        <f>pricer_sf!I12</f>
        <v>100</v>
      </c>
      <c r="H11" s="10">
        <f>pricer_sf!J12</f>
        <v>118</v>
      </c>
      <c r="I11" s="10">
        <f>pricer_sf!K12</f>
        <v>118.83053474115295</v>
      </c>
      <c r="J11" s="10">
        <f>pricer_sf!L12</f>
        <v>0</v>
      </c>
      <c r="K11" s="38">
        <f ca="1">pricer_sf!M12</f>
        <v>43257</v>
      </c>
      <c r="L11" s="38">
        <f ca="1">pricer_sf!N12</f>
        <v>43348</v>
      </c>
      <c r="M11" s="10">
        <f>pricer_sf!O12</f>
        <v>91</v>
      </c>
      <c r="N11" s="10">
        <f>pricer_sf!P12</f>
        <v>0.24931506849315069</v>
      </c>
      <c r="O11" s="10">
        <f>pricer_sf!Q12</f>
        <v>0</v>
      </c>
      <c r="P11" s="10">
        <f>pricer_sf!R12</f>
        <v>0.23</v>
      </c>
      <c r="Q11" s="10">
        <f>pricer_sf!S12</f>
        <v>-2.268083861152451</v>
      </c>
      <c r="R11" s="10">
        <f>pricer_sf!T12</f>
        <v>200.54945054945054</v>
      </c>
      <c r="S11" s="10">
        <f>pricer_sf!U12</f>
        <v>0.49999999999999994</v>
      </c>
      <c r="T11" s="13">
        <f>pricer_sf!V12</f>
        <v>2.768083861152451</v>
      </c>
      <c r="U11" s="10"/>
    </row>
    <row r="12" spans="1:21" x14ac:dyDescent="0.15">
      <c r="A12" s="6" t="str">
        <f>pricer_sf!C13</f>
        <v>Example</v>
      </c>
      <c r="B12" s="10" t="str">
        <f>pricer_sf!D13</f>
        <v>中金卖出</v>
      </c>
      <c r="C12" s="10">
        <f>pricer_sf!E13</f>
        <v>-1</v>
      </c>
      <c r="D12" s="10" t="s">
        <v>216</v>
      </c>
      <c r="E12" s="10" t="str">
        <f>pricer_sf!G13</f>
        <v>cuo</v>
      </c>
      <c r="F12" s="10">
        <f>pricer_sf!H13</f>
        <v>100</v>
      </c>
      <c r="G12" s="10">
        <f>pricer_sf!I13</f>
        <v>100</v>
      </c>
      <c r="H12" s="10">
        <f>pricer_sf!J13</f>
        <v>118</v>
      </c>
      <c r="I12" s="10">
        <f>pricer_sf!K13</f>
        <v>118.75808286013783</v>
      </c>
      <c r="J12" s="10">
        <f>pricer_sf!L13</f>
        <v>0</v>
      </c>
      <c r="K12" s="38">
        <f ca="1">pricer_sf!M13</f>
        <v>43257</v>
      </c>
      <c r="L12" s="38">
        <f ca="1">pricer_sf!N13</f>
        <v>43348</v>
      </c>
      <c r="M12" s="10">
        <f>pricer_sf!O13</f>
        <v>91</v>
      </c>
      <c r="N12" s="10">
        <f>pricer_sf!P13</f>
        <v>0.24931506849315069</v>
      </c>
      <c r="O12" s="10">
        <f>pricer_sf!Q13</f>
        <v>0</v>
      </c>
      <c r="P12" s="10">
        <f>pricer_sf!R13</f>
        <v>0.21</v>
      </c>
      <c r="Q12" s="10">
        <f>pricer_sf!S13</f>
        <v>-2.429130538035877</v>
      </c>
      <c r="R12" s="10">
        <f>pricer_sf!T13</f>
        <v>200.54945054945054</v>
      </c>
      <c r="S12" s="10">
        <f>pricer_sf!U13</f>
        <v>0.49999999999999994</v>
      </c>
      <c r="T12" s="13">
        <f>pricer_sf!V13</f>
        <v>2.929130538035877</v>
      </c>
      <c r="U12" s="10"/>
    </row>
    <row r="13" spans="1:21" x14ac:dyDescent="0.15">
      <c r="A13" s="6" t="str">
        <f>pricer_sf!C14</f>
        <v>Example</v>
      </c>
      <c r="B13" s="10" t="str">
        <f>pricer_sf!D14</f>
        <v>中金卖出</v>
      </c>
      <c r="C13" s="10">
        <f>pricer_sf!E14</f>
        <v>-1</v>
      </c>
      <c r="D13" s="10" t="s">
        <v>214</v>
      </c>
      <c r="E13" s="10" t="str">
        <f>pricer_sf!G14</f>
        <v>cuo</v>
      </c>
      <c r="F13" s="10">
        <f>pricer_sf!H14</f>
        <v>100</v>
      </c>
      <c r="G13" s="10">
        <f>pricer_sf!I14</f>
        <v>100</v>
      </c>
      <c r="H13" s="10">
        <f>pricer_sf!J14</f>
        <v>118</v>
      </c>
      <c r="I13" s="10">
        <f>pricer_sf!K14</f>
        <v>118.97557113438837</v>
      </c>
      <c r="J13" s="10">
        <f>pricer_sf!L14</f>
        <v>0</v>
      </c>
      <c r="K13" s="38">
        <f ca="1">pricer_sf!M14</f>
        <v>43257</v>
      </c>
      <c r="L13" s="38">
        <f ca="1">pricer_sf!N14</f>
        <v>43440</v>
      </c>
      <c r="M13" s="10">
        <f>pricer_sf!O14</f>
        <v>183</v>
      </c>
      <c r="N13" s="10">
        <f>pricer_sf!P14</f>
        <v>0.50136986301369868</v>
      </c>
      <c r="O13" s="10">
        <f>pricer_sf!Q14</f>
        <v>0</v>
      </c>
      <c r="P13" s="10">
        <f>pricer_sf!R14</f>
        <v>0.27</v>
      </c>
      <c r="Q13" s="10">
        <f>pricer_sf!S14</f>
        <v>-1.0363206281910617</v>
      </c>
      <c r="R13" s="10">
        <f>pricer_sf!T14</f>
        <v>99.726775956284158</v>
      </c>
      <c r="S13" s="10">
        <f>pricer_sf!U14</f>
        <v>0.50000000000000011</v>
      </c>
      <c r="T13" s="13">
        <f>pricer_sf!V14</f>
        <v>1.5363206281910617</v>
      </c>
      <c r="U13" s="10"/>
    </row>
    <row r="14" spans="1:21" x14ac:dyDescent="0.15">
      <c r="A14" s="6" t="str">
        <f>pricer_sf!C15</f>
        <v>Example</v>
      </c>
      <c r="B14" s="10" t="str">
        <f>pricer_sf!D15</f>
        <v>中金卖出</v>
      </c>
      <c r="C14" s="10">
        <f>pricer_sf!E15</f>
        <v>-1</v>
      </c>
      <c r="D14" s="10" t="s">
        <v>215</v>
      </c>
      <c r="E14" s="10" t="str">
        <f>pricer_sf!G15</f>
        <v>cuo</v>
      </c>
      <c r="F14" s="10">
        <f>pricer_sf!H15</f>
        <v>100</v>
      </c>
      <c r="G14" s="10">
        <f>pricer_sf!I15</f>
        <v>100</v>
      </c>
      <c r="H14" s="10">
        <f>pricer_sf!J15</f>
        <v>118</v>
      </c>
      <c r="I14" s="10">
        <f>pricer_sf!K15</f>
        <v>118.83053474115295</v>
      </c>
      <c r="J14" s="10">
        <f>pricer_sf!L15</f>
        <v>0</v>
      </c>
      <c r="K14" s="38">
        <f ca="1">pricer_sf!M15</f>
        <v>43257</v>
      </c>
      <c r="L14" s="38">
        <f ca="1">pricer_sf!N15</f>
        <v>43440</v>
      </c>
      <c r="M14" s="10">
        <f>pricer_sf!O15</f>
        <v>183</v>
      </c>
      <c r="N14" s="10">
        <f>pricer_sf!P15</f>
        <v>0.50136986301369868</v>
      </c>
      <c r="O14" s="10">
        <f>pricer_sf!Q15</f>
        <v>0</v>
      </c>
      <c r="P14" s="10">
        <f>pricer_sf!R15</f>
        <v>0.23</v>
      </c>
      <c r="Q14" s="10">
        <f>pricer_sf!S15</f>
        <v>-1.3855950829873169</v>
      </c>
      <c r="R14" s="10">
        <f>pricer_sf!T15</f>
        <v>99.726775956284158</v>
      </c>
      <c r="S14" s="10">
        <f>pricer_sf!U15</f>
        <v>0.50000000000000011</v>
      </c>
      <c r="T14" s="13">
        <f>pricer_sf!V15</f>
        <v>1.8855950829873169</v>
      </c>
      <c r="U14" s="10"/>
    </row>
    <row r="15" spans="1:21" x14ac:dyDescent="0.15">
      <c r="A15" s="6" t="str">
        <f>pricer_sf!C16</f>
        <v>Example</v>
      </c>
      <c r="B15" s="10" t="str">
        <f>pricer_sf!D16</f>
        <v>中金卖出</v>
      </c>
      <c r="C15" s="10">
        <f>pricer_sf!E16</f>
        <v>-1</v>
      </c>
      <c r="D15" s="10" t="s">
        <v>216</v>
      </c>
      <c r="E15" s="10" t="str">
        <f>pricer_sf!G16</f>
        <v>cuo</v>
      </c>
      <c r="F15" s="10">
        <f>pricer_sf!H16</f>
        <v>100</v>
      </c>
      <c r="G15" s="10">
        <f>pricer_sf!I16</f>
        <v>100</v>
      </c>
      <c r="H15" s="10">
        <f>pricer_sf!J16</f>
        <v>118</v>
      </c>
      <c r="I15" s="10">
        <f>pricer_sf!K16</f>
        <v>118.75808286013783</v>
      </c>
      <c r="J15" s="10">
        <f>pricer_sf!L16</f>
        <v>0</v>
      </c>
      <c r="K15" s="38">
        <f ca="1">pricer_sf!M16</f>
        <v>43257</v>
      </c>
      <c r="L15" s="38">
        <f ca="1">pricer_sf!N16</f>
        <v>43440</v>
      </c>
      <c r="M15" s="10">
        <f>pricer_sf!O16</f>
        <v>183</v>
      </c>
      <c r="N15" s="10">
        <f>pricer_sf!P16</f>
        <v>0.50136986301369868</v>
      </c>
      <c r="O15" s="10">
        <f>pricer_sf!Q16</f>
        <v>0</v>
      </c>
      <c r="P15" s="10">
        <f>pricer_sf!R16</f>
        <v>0.21</v>
      </c>
      <c r="Q15" s="10">
        <f>pricer_sf!S16</f>
        <v>-1.6027351301156738</v>
      </c>
      <c r="R15" s="10">
        <f>pricer_sf!T16</f>
        <v>99.726775956284158</v>
      </c>
      <c r="S15" s="10">
        <f>pricer_sf!U16</f>
        <v>0.50000000000000011</v>
      </c>
      <c r="T15" s="13">
        <f>pricer_sf!V16</f>
        <v>2.1027351301156738</v>
      </c>
      <c r="U15" s="10"/>
    </row>
  </sheetData>
  <mergeCells count="1">
    <mergeCell ref="B1:D1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F33"/>
  <sheetViews>
    <sheetView topLeftCell="A10" workbookViewId="0">
      <selection activeCell="C38" sqref="C38"/>
    </sheetView>
  </sheetViews>
  <sheetFormatPr defaultRowHeight="13.5" x14ac:dyDescent="0.15"/>
  <cols>
    <col min="1" max="1" width="10.875" bestFit="1" customWidth="1"/>
  </cols>
  <sheetData>
    <row r="1" spans="1:6" ht="15.75" thickBot="1" x14ac:dyDescent="0.2">
      <c r="A1" s="65">
        <v>43087</v>
      </c>
      <c r="B1" s="66"/>
      <c r="C1" s="67" t="s">
        <v>49</v>
      </c>
      <c r="D1" s="66"/>
      <c r="E1" s="67" t="s">
        <v>50</v>
      </c>
      <c r="F1" s="68"/>
    </row>
    <row r="2" spans="1:6" ht="15.75" thickBot="1" x14ac:dyDescent="0.2">
      <c r="A2" s="69" t="s">
        <v>51</v>
      </c>
      <c r="B2" s="70" t="s">
        <v>52</v>
      </c>
      <c r="C2" s="71" t="s">
        <v>53</v>
      </c>
      <c r="D2" s="71" t="s">
        <v>54</v>
      </c>
      <c r="E2" s="71" t="s">
        <v>55</v>
      </c>
      <c r="F2" s="72" t="s">
        <v>56</v>
      </c>
    </row>
    <row r="3" spans="1:6" ht="15.75" thickBot="1" x14ac:dyDescent="0.2">
      <c r="A3" s="73" t="s">
        <v>57</v>
      </c>
      <c r="B3" s="74" t="s">
        <v>58</v>
      </c>
      <c r="C3" s="75">
        <v>0.20499999999999999</v>
      </c>
      <c r="D3" s="75">
        <v>0.25</v>
      </c>
      <c r="E3" s="75">
        <v>0.21</v>
      </c>
      <c r="F3" s="77">
        <v>0.25</v>
      </c>
    </row>
    <row r="4" spans="1:6" ht="15.75" thickBot="1" x14ac:dyDescent="0.2">
      <c r="A4" s="69" t="s">
        <v>59</v>
      </c>
      <c r="B4" s="70" t="s">
        <v>60</v>
      </c>
      <c r="C4" s="78">
        <v>0.13750000000000001</v>
      </c>
      <c r="D4" s="78">
        <v>0.1825</v>
      </c>
      <c r="E4" s="78">
        <v>0.14499999999999999</v>
      </c>
      <c r="F4" s="79">
        <v>0.185</v>
      </c>
    </row>
    <row r="5" spans="1:6" ht="15.75" thickBot="1" x14ac:dyDescent="0.2">
      <c r="A5" s="73" t="s">
        <v>61</v>
      </c>
      <c r="B5" s="74" t="s">
        <v>62</v>
      </c>
      <c r="C5" s="76"/>
      <c r="D5" s="76"/>
      <c r="E5" s="76"/>
      <c r="F5" s="80"/>
    </row>
    <row r="6" spans="1:6" ht="15.75" thickBot="1" x14ac:dyDescent="0.2">
      <c r="A6" s="69" t="s">
        <v>63</v>
      </c>
      <c r="B6" s="70" t="s">
        <v>64</v>
      </c>
      <c r="C6" s="81">
        <v>0.29499999999999998</v>
      </c>
      <c r="D6" s="81">
        <v>0.35499999999999998</v>
      </c>
      <c r="E6" s="81">
        <v>0.26500000000000001</v>
      </c>
      <c r="F6" s="82">
        <v>0.315</v>
      </c>
    </row>
    <row r="7" spans="1:6" ht="15.75" thickBot="1" x14ac:dyDescent="0.2">
      <c r="A7" s="73" t="s">
        <v>65</v>
      </c>
      <c r="B7" s="74" t="s">
        <v>66</v>
      </c>
      <c r="C7" s="75">
        <v>0.15</v>
      </c>
      <c r="D7" s="75">
        <v>0.19</v>
      </c>
      <c r="E7" s="75">
        <v>0.155</v>
      </c>
      <c r="F7" s="77">
        <v>0.19</v>
      </c>
    </row>
    <row r="8" spans="1:6" ht="15.75" thickBot="1" x14ac:dyDescent="0.2">
      <c r="A8" s="69" t="s">
        <v>67</v>
      </c>
      <c r="B8" s="70" t="s">
        <v>68</v>
      </c>
      <c r="C8" s="81">
        <v>0.32</v>
      </c>
      <c r="D8" s="81">
        <v>0.44</v>
      </c>
      <c r="E8" s="81">
        <v>0.32</v>
      </c>
      <c r="F8" s="82">
        <v>0.42</v>
      </c>
    </row>
    <row r="9" spans="1:6" ht="15.75" thickBot="1" x14ac:dyDescent="0.2">
      <c r="A9" s="73" t="s">
        <v>69</v>
      </c>
      <c r="B9" s="74" t="s">
        <v>70</v>
      </c>
      <c r="C9" s="75">
        <v>0.32</v>
      </c>
      <c r="D9" s="75">
        <v>0.44</v>
      </c>
      <c r="E9" s="75">
        <v>0.32</v>
      </c>
      <c r="F9" s="77">
        <v>0.42</v>
      </c>
    </row>
    <row r="10" spans="1:6" ht="15.75" thickBot="1" x14ac:dyDescent="0.2">
      <c r="A10" s="69" t="s">
        <v>71</v>
      </c>
      <c r="B10" s="70" t="s">
        <v>72</v>
      </c>
      <c r="C10" s="81">
        <v>0.24</v>
      </c>
      <c r="D10" s="81">
        <v>0.32</v>
      </c>
      <c r="E10" s="81">
        <v>0.27</v>
      </c>
      <c r="F10" s="82">
        <v>0.34</v>
      </c>
    </row>
    <row r="11" spans="1:6" ht="15.75" thickBot="1" x14ac:dyDescent="0.2">
      <c r="A11" s="73" t="s">
        <v>73</v>
      </c>
      <c r="B11" s="74" t="s">
        <v>74</v>
      </c>
      <c r="C11" s="75">
        <v>0.32250000000000001</v>
      </c>
      <c r="D11" s="75">
        <v>0.39750000000000002</v>
      </c>
      <c r="E11" s="75">
        <v>0.32500000000000001</v>
      </c>
      <c r="F11" s="77">
        <v>0.39500000000000002</v>
      </c>
    </row>
    <row r="12" spans="1:6" ht="15.75" thickBot="1" x14ac:dyDescent="0.2">
      <c r="A12" s="69" t="s">
        <v>75</v>
      </c>
      <c r="B12" s="70" t="s">
        <v>76</v>
      </c>
      <c r="C12" s="81">
        <v>0.215</v>
      </c>
      <c r="D12" s="81">
        <v>0.28499999999999998</v>
      </c>
      <c r="E12" s="81">
        <v>0.23499999999999999</v>
      </c>
      <c r="F12" s="82">
        <v>0.30499999999999999</v>
      </c>
    </row>
    <row r="13" spans="1:6" ht="15.75" thickBot="1" x14ac:dyDescent="0.2">
      <c r="A13" s="73" t="s">
        <v>77</v>
      </c>
      <c r="B13" s="74" t="s">
        <v>78</v>
      </c>
      <c r="C13" s="75">
        <v>9.2499999999999999E-2</v>
      </c>
      <c r="D13" s="75">
        <v>0.1225</v>
      </c>
      <c r="E13" s="75">
        <v>0.1</v>
      </c>
      <c r="F13" s="77">
        <v>0.13</v>
      </c>
    </row>
    <row r="14" spans="1:6" ht="15.75" thickBot="1" x14ac:dyDescent="0.2">
      <c r="A14" s="69" t="s">
        <v>79</v>
      </c>
      <c r="B14" s="70" t="s">
        <v>80</v>
      </c>
      <c r="C14" s="78">
        <v>0.11</v>
      </c>
      <c r="D14" s="78">
        <v>0.17</v>
      </c>
      <c r="E14" s="78">
        <v>0.14499999999999999</v>
      </c>
      <c r="F14" s="79">
        <v>0.19500000000000001</v>
      </c>
    </row>
    <row r="15" spans="1:6" ht="15.75" thickBot="1" x14ac:dyDescent="0.2">
      <c r="A15" s="73" t="s">
        <v>81</v>
      </c>
      <c r="B15" s="74" t="s">
        <v>82</v>
      </c>
      <c r="C15" s="76"/>
      <c r="D15" s="76"/>
      <c r="E15" s="76"/>
      <c r="F15" s="80"/>
    </row>
    <row r="16" spans="1:6" ht="15.75" thickBot="1" x14ac:dyDescent="0.2">
      <c r="A16" s="69" t="s">
        <v>83</v>
      </c>
      <c r="B16" s="70" t="s">
        <v>84</v>
      </c>
      <c r="C16" s="81">
        <v>0.13</v>
      </c>
      <c r="D16" s="81">
        <v>0.19</v>
      </c>
      <c r="E16" s="81">
        <v>0.185</v>
      </c>
      <c r="F16" s="82">
        <v>0.23499999999999999</v>
      </c>
    </row>
    <row r="17" spans="1:6" ht="15.75" thickBot="1" x14ac:dyDescent="0.2">
      <c r="A17" s="73" t="s">
        <v>85</v>
      </c>
      <c r="B17" s="74" t="s">
        <v>86</v>
      </c>
      <c r="C17" s="83">
        <v>0.14749999999999999</v>
      </c>
      <c r="D17" s="83">
        <v>0.19750000000000001</v>
      </c>
      <c r="E17" s="83">
        <v>0.16</v>
      </c>
      <c r="F17" s="84">
        <v>0.21</v>
      </c>
    </row>
    <row r="18" spans="1:6" ht="15.75" thickBot="1" x14ac:dyDescent="0.2">
      <c r="A18" s="69" t="s">
        <v>87</v>
      </c>
      <c r="B18" s="70" t="s">
        <v>88</v>
      </c>
      <c r="C18" s="85"/>
      <c r="D18" s="85"/>
      <c r="E18" s="85"/>
      <c r="F18" s="86"/>
    </row>
    <row r="19" spans="1:6" ht="15.75" thickBot="1" x14ac:dyDescent="0.2">
      <c r="A19" s="73" t="s">
        <v>89</v>
      </c>
      <c r="B19" s="74" t="s">
        <v>90</v>
      </c>
      <c r="C19" s="76"/>
      <c r="D19" s="76"/>
      <c r="E19" s="76"/>
      <c r="F19" s="80"/>
    </row>
    <row r="20" spans="1:6" ht="15.75" thickBot="1" x14ac:dyDescent="0.2">
      <c r="A20" s="69" t="s">
        <v>91</v>
      </c>
      <c r="B20" s="70" t="s">
        <v>92</v>
      </c>
      <c r="C20" s="78">
        <v>0.09</v>
      </c>
      <c r="D20" s="78">
        <v>0.17</v>
      </c>
      <c r="E20" s="78">
        <v>0.11</v>
      </c>
      <c r="F20" s="79">
        <v>0.19</v>
      </c>
    </row>
    <row r="21" spans="1:6" ht="15.75" thickBot="1" x14ac:dyDescent="0.2">
      <c r="A21" s="73" t="s">
        <v>93</v>
      </c>
      <c r="B21" s="74" t="s">
        <v>94</v>
      </c>
      <c r="C21" s="76"/>
      <c r="D21" s="76"/>
      <c r="E21" s="76"/>
      <c r="F21" s="80"/>
    </row>
    <row r="22" spans="1:6" ht="15.75" thickBot="1" x14ac:dyDescent="0.2">
      <c r="A22" s="69" t="s">
        <v>95</v>
      </c>
      <c r="B22" s="70" t="s">
        <v>96</v>
      </c>
      <c r="C22" s="81">
        <v>0.12</v>
      </c>
      <c r="D22" s="81">
        <v>0.16</v>
      </c>
      <c r="E22" s="81">
        <v>0.13500000000000001</v>
      </c>
      <c r="F22" s="82">
        <v>0.17</v>
      </c>
    </row>
    <row r="23" spans="1:6" ht="15.75" thickBot="1" x14ac:dyDescent="0.2">
      <c r="A23" s="73" t="s">
        <v>97</v>
      </c>
      <c r="B23" s="74" t="s">
        <v>98</v>
      </c>
      <c r="C23" s="75">
        <v>0.12</v>
      </c>
      <c r="D23" s="75">
        <v>0.16</v>
      </c>
      <c r="E23" s="75">
        <v>0.13500000000000001</v>
      </c>
      <c r="F23" s="77">
        <v>0.17499999999999999</v>
      </c>
    </row>
    <row r="24" spans="1:6" ht="15.75" thickBot="1" x14ac:dyDescent="0.2">
      <c r="A24" s="69" t="s">
        <v>39</v>
      </c>
      <c r="B24" s="70" t="s">
        <v>99</v>
      </c>
      <c r="C24" s="81">
        <v>7.7499999999999999E-2</v>
      </c>
      <c r="D24" s="81">
        <v>0.1225</v>
      </c>
      <c r="E24" s="81">
        <v>8.5000000000000006E-2</v>
      </c>
      <c r="F24" s="82">
        <v>0.125</v>
      </c>
    </row>
    <row r="25" spans="1:6" ht="15.75" thickBot="1" x14ac:dyDescent="0.2">
      <c r="A25" s="73" t="s">
        <v>100</v>
      </c>
      <c r="B25" s="74" t="s">
        <v>101</v>
      </c>
      <c r="C25" s="75">
        <v>0.1</v>
      </c>
      <c r="D25" s="75">
        <v>0.15</v>
      </c>
      <c r="E25" s="75">
        <v>0.105</v>
      </c>
      <c r="F25" s="77">
        <v>0.155</v>
      </c>
    </row>
    <row r="26" spans="1:6" ht="15.75" thickBot="1" x14ac:dyDescent="0.2">
      <c r="A26" s="69" t="s">
        <v>102</v>
      </c>
      <c r="B26" s="70" t="s">
        <v>103</v>
      </c>
      <c r="C26" s="78">
        <v>0.2</v>
      </c>
      <c r="D26" s="78">
        <v>0.28000000000000003</v>
      </c>
      <c r="E26" s="78">
        <v>0.2</v>
      </c>
      <c r="F26" s="79">
        <v>0.27</v>
      </c>
    </row>
    <row r="27" spans="1:6" ht="15.75" thickBot="1" x14ac:dyDescent="0.2">
      <c r="A27" s="73" t="s">
        <v>104</v>
      </c>
      <c r="B27" s="74" t="s">
        <v>105</v>
      </c>
      <c r="C27" s="87"/>
      <c r="D27" s="87"/>
      <c r="E27" s="87"/>
      <c r="F27" s="88"/>
    </row>
    <row r="28" spans="1:6" ht="15.75" thickBot="1" x14ac:dyDescent="0.2">
      <c r="A28" s="69" t="s">
        <v>106</v>
      </c>
      <c r="B28" s="70" t="s">
        <v>107</v>
      </c>
      <c r="C28" s="89"/>
      <c r="D28" s="89"/>
      <c r="E28" s="89"/>
      <c r="F28" s="90"/>
    </row>
    <row r="29" spans="1:6" ht="15.75" thickBot="1" x14ac:dyDescent="0.2">
      <c r="A29" s="73" t="s">
        <v>108</v>
      </c>
      <c r="B29" s="74" t="s">
        <v>109</v>
      </c>
      <c r="C29" s="75">
        <v>0.23250000000000001</v>
      </c>
      <c r="D29" s="75">
        <v>0.28749999999999998</v>
      </c>
      <c r="E29" s="75">
        <v>0.22</v>
      </c>
      <c r="F29" s="77">
        <v>0.27</v>
      </c>
    </row>
    <row r="30" spans="1:6" ht="15.75" thickBot="1" x14ac:dyDescent="0.2">
      <c r="A30" s="69" t="s">
        <v>110</v>
      </c>
      <c r="B30" s="70" t="s">
        <v>111</v>
      </c>
      <c r="C30" s="78">
        <v>0.19</v>
      </c>
      <c r="D30" s="78">
        <v>0.23</v>
      </c>
      <c r="E30" s="78">
        <v>0.2</v>
      </c>
      <c r="F30" s="79">
        <v>0.24</v>
      </c>
    </row>
    <row r="31" spans="1:6" ht="15.75" thickBot="1" x14ac:dyDescent="0.2">
      <c r="A31" s="73" t="s">
        <v>112</v>
      </c>
      <c r="B31" s="74" t="s">
        <v>113</v>
      </c>
      <c r="C31" s="76"/>
      <c r="D31" s="76"/>
      <c r="E31" s="76"/>
      <c r="F31" s="80"/>
    </row>
    <row r="32" spans="1:6" ht="15.75" thickBot="1" x14ac:dyDescent="0.2">
      <c r="A32" s="69" t="s">
        <v>114</v>
      </c>
      <c r="B32" s="70" t="s">
        <v>115</v>
      </c>
      <c r="C32" s="81">
        <v>0.3</v>
      </c>
      <c r="D32" s="81">
        <v>0.4</v>
      </c>
      <c r="E32" s="81">
        <v>0.30499999999999999</v>
      </c>
      <c r="F32" s="82">
        <v>0.39500000000000002</v>
      </c>
    </row>
    <row r="33" spans="1:6" ht="15.75" thickBot="1" x14ac:dyDescent="0.2">
      <c r="A33" s="73" t="s">
        <v>116</v>
      </c>
      <c r="B33" s="74" t="s">
        <v>117</v>
      </c>
      <c r="C33" s="75">
        <v>0.1225</v>
      </c>
      <c r="D33" s="75">
        <v>0.16250000000000001</v>
      </c>
      <c r="E33" s="75">
        <v>0.13</v>
      </c>
      <c r="F33" s="77">
        <v>0.17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Y39"/>
  <sheetViews>
    <sheetView workbookViewId="0">
      <selection activeCell="H28" sqref="H28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0" width="9" style="6"/>
    <col min="11" max="11" width="8" style="6" customWidth="1"/>
    <col min="12" max="14" width="9" style="6"/>
    <col min="15" max="15" width="8.125" style="6" customWidth="1"/>
    <col min="16" max="16" width="6.875" style="6" customWidth="1"/>
    <col min="17" max="17" width="9" style="6"/>
    <col min="18" max="18" width="7.25" style="6" customWidth="1"/>
    <col min="19" max="19" width="9" style="6"/>
    <col min="20" max="20" width="10.125" style="6" customWidth="1"/>
    <col min="21" max="22" width="6.5" style="6" customWidth="1"/>
    <col min="23" max="24" width="9" style="6"/>
    <col min="25" max="25" width="13.75" style="6" customWidth="1"/>
    <col min="26" max="16384" width="9" style="6"/>
  </cols>
  <sheetData>
    <row r="1" spans="1:25" ht="13.5" customHeight="1" thickBot="1" x14ac:dyDescent="0.2">
      <c r="B1" s="161" t="s">
        <v>38</v>
      </c>
      <c r="C1" s="161"/>
    </row>
    <row r="2" spans="1:25" ht="12" thickTop="1" x14ac:dyDescent="0.15">
      <c r="B2" s="3" t="s">
        <v>0</v>
      </c>
      <c r="C2" s="4">
        <v>43061</v>
      </c>
    </row>
    <row r="3" spans="1:25" x14ac:dyDescent="0.15">
      <c r="B3" s="3" t="s">
        <v>1</v>
      </c>
      <c r="C3" s="3">
        <v>0.02</v>
      </c>
    </row>
    <row r="4" spans="1:25" ht="12" thickBot="1" x14ac:dyDescent="0.2">
      <c r="B4" s="5" t="s">
        <v>18</v>
      </c>
      <c r="C4" s="5">
        <v>0.01</v>
      </c>
    </row>
    <row r="5" spans="1:25" ht="12" thickTop="1" x14ac:dyDescent="0.15"/>
    <row r="6" spans="1:25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1:25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44</v>
      </c>
      <c r="K7" s="17" t="s">
        <v>45</v>
      </c>
      <c r="L7" s="17" t="s">
        <v>46</v>
      </c>
      <c r="M7" s="17" t="s">
        <v>9</v>
      </c>
      <c r="N7" s="17" t="s">
        <v>10</v>
      </c>
      <c r="O7" s="17" t="s">
        <v>11</v>
      </c>
      <c r="P7" s="17" t="s">
        <v>12</v>
      </c>
      <c r="Q7" s="17" t="s">
        <v>47</v>
      </c>
      <c r="R7" s="17" t="s">
        <v>13</v>
      </c>
      <c r="S7" s="17" t="s">
        <v>14</v>
      </c>
      <c r="T7" s="17" t="s">
        <v>26</v>
      </c>
      <c r="U7" s="17" t="s">
        <v>28</v>
      </c>
      <c r="V7" s="17" t="s">
        <v>15</v>
      </c>
      <c r="W7" s="18" t="s">
        <v>33</v>
      </c>
      <c r="X7" s="18" t="s">
        <v>16</v>
      </c>
      <c r="Y7" s="18" t="s">
        <v>17</v>
      </c>
    </row>
    <row r="8" spans="1:25" ht="12" thickTop="1" x14ac:dyDescent="0.15">
      <c r="A8" s="34"/>
      <c r="B8" s="24" t="s">
        <v>171</v>
      </c>
      <c r="C8" s="19" t="s">
        <v>160</v>
      </c>
      <c r="D8" s="19" t="s">
        <v>31</v>
      </c>
      <c r="E8" s="19">
        <f>IF(D8="中金买入",1,-1)</f>
        <v>-1</v>
      </c>
      <c r="F8" s="19" t="s">
        <v>22</v>
      </c>
      <c r="G8" s="19" t="s">
        <v>48</v>
      </c>
      <c r="H8" s="20">
        <f>RTD("wdf.rtq",,F8,"LastPrice")</f>
        <v>0</v>
      </c>
      <c r="I8" s="19">
        <v>3800</v>
      </c>
      <c r="J8" s="19">
        <v>3890</v>
      </c>
      <c r="K8" s="19">
        <f>_xll.dnetDiscreteAdjustedBarrier($H8,$J8,$R8,1/365)</f>
        <v>3925.7505698872742</v>
      </c>
      <c r="L8" s="36">
        <v>0.02</v>
      </c>
      <c r="M8" s="21">
        <f ca="1">TODAY()</f>
        <v>43257</v>
      </c>
      <c r="N8" s="21">
        <f ca="1">M8+O8</f>
        <v>43287</v>
      </c>
      <c r="O8" s="19">
        <v>30</v>
      </c>
      <c r="P8" s="22">
        <f>O8/365</f>
        <v>8.2191780821917804E-2</v>
      </c>
      <c r="Q8" s="22">
        <v>0</v>
      </c>
      <c r="R8" s="23">
        <v>0.3</v>
      </c>
      <c r="S8" s="24" t="e">
        <f>_xll.dnetStandardBarrierNGreeks("price",G8,H8,I8,K8,L8*H8,P8,$C$3,Q8,R8,$C$4)*E8</f>
        <v>#VALUE!</v>
      </c>
      <c r="T8" s="25">
        <v>80</v>
      </c>
      <c r="U8" s="24">
        <f>T8/10000*P8*H8</f>
        <v>0</v>
      </c>
      <c r="V8" s="24" t="e">
        <f>IF(S8&lt;=0,ABS(S8)+U8,S8-U8)</f>
        <v>#VALUE!</v>
      </c>
      <c r="W8" s="26" t="e">
        <f>V8/H8</f>
        <v>#VALUE!</v>
      </c>
      <c r="X8" s="24" t="e">
        <f>_xll.dnetStandardBarrierNGreeks("delta",G8,H8,I8,K8,L8*H8,P8,$C$3,Q8,R8,$C$4)</f>
        <v>#VALUE!</v>
      </c>
      <c r="Y8" s="24" t="e">
        <f>_xll.dnetStandardBarrierNGreeks("vega",G8,H8,I8,K8,L8*H8,P8,$C$3,Q8,R8,$C$4)</f>
        <v>#VALUE!</v>
      </c>
    </row>
    <row r="9" spans="1:25" x14ac:dyDescent="0.15">
      <c r="A9" s="34"/>
      <c r="B9" s="13" t="s">
        <v>172</v>
      </c>
      <c r="C9" s="10" t="s">
        <v>162</v>
      </c>
      <c r="D9" s="10" t="s">
        <v>31</v>
      </c>
      <c r="E9" s="10">
        <f>IF(D9="中金买入",1,-1)</f>
        <v>-1</v>
      </c>
      <c r="F9" s="10" t="s">
        <v>40</v>
      </c>
      <c r="G9" s="10" t="s">
        <v>48</v>
      </c>
      <c r="H9" s="11">
        <v>100</v>
      </c>
      <c r="I9" s="10">
        <v>101</v>
      </c>
      <c r="J9" s="10">
        <v>110</v>
      </c>
      <c r="K9" s="10">
        <f>_xll.dnetDiscreteAdjustedBarrier($H9,$J9,$R9,1/365)</f>
        <v>111.01094156493576</v>
      </c>
      <c r="L9" s="37">
        <v>5.0000000000000001E-3</v>
      </c>
      <c r="M9" s="8">
        <f ca="1">TODAY()</f>
        <v>43257</v>
      </c>
      <c r="N9" s="8">
        <f ca="1">M9+O9</f>
        <v>43437</v>
      </c>
      <c r="O9" s="10">
        <v>180</v>
      </c>
      <c r="P9" s="12">
        <f>O9/365</f>
        <v>0.49315068493150682</v>
      </c>
      <c r="Q9" s="12">
        <v>0</v>
      </c>
      <c r="R9" s="9">
        <v>0.3</v>
      </c>
      <c r="S9" s="13">
        <f>_xll.dnetStandardBarrierNGreeks("price",G9,H9,I9,K9,L9*H9,P9,$C$3,Q9,R9,$C$4)*E9</f>
        <v>-0.39957595854158601</v>
      </c>
      <c r="T9" s="15">
        <v>80</v>
      </c>
      <c r="U9" s="13">
        <f>T9/10000*P9*H9</f>
        <v>0.39452054794520547</v>
      </c>
      <c r="V9" s="13">
        <f>IF(S9&lt;=0,ABS(S9)+U9,S9-U9)</f>
        <v>0.79409650648679153</v>
      </c>
      <c r="W9" s="14">
        <f>V9/H9</f>
        <v>7.9409650648679161E-3</v>
      </c>
      <c r="X9" s="13">
        <f>_xll.dnetStandardBarrierNGreeks("delta",G9,H9,I9,K9,L9*H9,P9,$C$3,Q9,R9,$C$4)</f>
        <v>1.0164007825252952E-2</v>
      </c>
      <c r="Y9" s="13">
        <f>_xll.dnetStandardBarrierNGreeks("vega",G9,H9,I9,K9,L9*H9,P9,$C$3,Q9,R9,$C$4)</f>
        <v>-4.1771721369176229E-3</v>
      </c>
    </row>
    <row r="10" spans="1:25" x14ac:dyDescent="0.15">
      <c r="B10" s="13"/>
      <c r="C10" s="10"/>
      <c r="D10" s="10"/>
      <c r="E10" s="10"/>
      <c r="F10" s="10"/>
      <c r="G10" s="10"/>
      <c r="H10" s="11"/>
      <c r="I10" s="10"/>
      <c r="J10" s="10"/>
      <c r="K10" s="10"/>
      <c r="L10" s="37"/>
      <c r="M10" s="8"/>
      <c r="N10" s="8"/>
      <c r="O10" s="10"/>
      <c r="P10" s="12"/>
      <c r="Q10" s="12"/>
      <c r="R10" s="9"/>
      <c r="S10" s="13"/>
      <c r="T10" s="15"/>
      <c r="U10" s="13"/>
      <c r="V10" s="13"/>
      <c r="W10" s="14"/>
      <c r="X10" s="13"/>
      <c r="Y10" s="13"/>
    </row>
    <row r="11" spans="1:25" x14ac:dyDescent="0.15">
      <c r="A11" s="34"/>
      <c r="B11" s="13" t="s">
        <v>172</v>
      </c>
      <c r="C11" s="10" t="s">
        <v>162</v>
      </c>
      <c r="D11" s="10" t="s">
        <v>31</v>
      </c>
      <c r="E11" s="10">
        <f t="shared" ref="E11:E16" si="0">IF(D11="中金买入",1,-1)</f>
        <v>-1</v>
      </c>
      <c r="F11" s="10" t="s">
        <v>211</v>
      </c>
      <c r="G11" s="10" t="s">
        <v>48</v>
      </c>
      <c r="H11" s="11">
        <v>100</v>
      </c>
      <c r="I11" s="10">
        <v>100</v>
      </c>
      <c r="J11" s="10">
        <v>118</v>
      </c>
      <c r="K11" s="10">
        <f>_xll.dnetDiscreteAdjustedBarrier($H11,$J11,$R11,1/365)</f>
        <v>118.97557113438837</v>
      </c>
      <c r="L11" s="37">
        <v>0</v>
      </c>
      <c r="M11" s="8">
        <f t="shared" ref="M11:M16" ca="1" si="1">TODAY()</f>
        <v>43257</v>
      </c>
      <c r="N11" s="8">
        <f t="shared" ref="N11:N16" ca="1" si="2">M11+O11</f>
        <v>43348</v>
      </c>
      <c r="O11" s="10">
        <v>91</v>
      </c>
      <c r="P11" s="12">
        <f t="shared" ref="P11:P16" si="3">O11/365</f>
        <v>0.24931506849315069</v>
      </c>
      <c r="Q11" s="12">
        <v>0</v>
      </c>
      <c r="R11" s="9">
        <v>0.27</v>
      </c>
      <c r="S11" s="13">
        <f>_xll.dnetStandardBarrierNGreeks("price",G11,H11,I11,K11,L11*H11,P11,$C$3,Q11,R11,$C$4)*E11</f>
        <v>-1.9129556509179371</v>
      </c>
      <c r="T11" s="15">
        <f>50*365/O11</f>
        <v>200.54945054945054</v>
      </c>
      <c r="U11" s="13">
        <f t="shared" ref="U11:U16" si="4">T11/10000*P11*H11</f>
        <v>0.49999999999999994</v>
      </c>
      <c r="V11" s="13">
        <f t="shared" ref="V11:V16" si="5">IF(S11&lt;=0,ABS(S11)+U11,S11-U11)</f>
        <v>2.4129556509179371</v>
      </c>
      <c r="W11" s="14">
        <f t="shared" ref="W11:W16" si="6">V11/H11</f>
        <v>2.4129556509179372E-2</v>
      </c>
      <c r="X11" s="13">
        <f>_xll.dnetStandardBarrierNGreeks("delta",G11,H11,I11,K11,L11*H11,P11,$C$3,Q11,R11,$C$4)</f>
        <v>5.6102419511372403E-2</v>
      </c>
      <c r="Y11" s="13">
        <f>_xll.dnetStandardBarrierNGreeks("vega",G11,H11,I11,K11,L11*H11,P11,$C$3,Q11,R11,$C$4)</f>
        <v>-9.5908124536094208E-2</v>
      </c>
    </row>
    <row r="12" spans="1:25" x14ac:dyDescent="0.15">
      <c r="A12" s="34"/>
      <c r="B12" s="13" t="s">
        <v>172</v>
      </c>
      <c r="C12" s="10" t="s">
        <v>162</v>
      </c>
      <c r="D12" s="10" t="s">
        <v>31</v>
      </c>
      <c r="E12" s="10">
        <f t="shared" si="0"/>
        <v>-1</v>
      </c>
      <c r="F12" s="10" t="s">
        <v>212</v>
      </c>
      <c r="G12" s="10" t="s">
        <v>48</v>
      </c>
      <c r="H12" s="11">
        <v>100</v>
      </c>
      <c r="I12" s="10">
        <v>100</v>
      </c>
      <c r="J12" s="10">
        <v>118</v>
      </c>
      <c r="K12" s="10">
        <f>_xll.dnetDiscreteAdjustedBarrier($H12,$J12,$R12,1/365)</f>
        <v>118.83053474115295</v>
      </c>
      <c r="L12" s="37">
        <v>0</v>
      </c>
      <c r="M12" s="8">
        <f t="shared" ca="1" si="1"/>
        <v>43257</v>
      </c>
      <c r="N12" s="8">
        <f t="shared" ca="1" si="2"/>
        <v>43348</v>
      </c>
      <c r="O12" s="10">
        <v>91</v>
      </c>
      <c r="P12" s="12">
        <f t="shared" si="3"/>
        <v>0.24931506849315069</v>
      </c>
      <c r="Q12" s="12">
        <v>0</v>
      </c>
      <c r="R12" s="9">
        <v>0.23</v>
      </c>
      <c r="S12" s="13">
        <f>_xll.dnetStandardBarrierNGreeks("price",G12,H12,I12,K12,L12*H12,P12,$C$3,Q12,R12,$C$4)*E12</f>
        <v>-2.268083861152451</v>
      </c>
      <c r="T12" s="15">
        <f t="shared" ref="T12:T16" si="7">50*365/O12</f>
        <v>200.54945054945054</v>
      </c>
      <c r="U12" s="13">
        <f t="shared" si="4"/>
        <v>0.49999999999999994</v>
      </c>
      <c r="V12" s="13">
        <f t="shared" si="5"/>
        <v>2.768083861152451</v>
      </c>
      <c r="W12" s="14">
        <f t="shared" si="6"/>
        <v>2.7680838611524511E-2</v>
      </c>
      <c r="X12" s="13">
        <f>_xll.dnetStandardBarrierNGreeks("delta",G12,H12,I12,K12,L12*H12,P12,$C$3,Q12,R12,$C$4)</f>
        <v>0.12152567414362991</v>
      </c>
      <c r="Y12" s="13">
        <f>_xll.dnetStandardBarrierNGreeks("vega",G12,H12,I12,K12,L12*H12,P12,$C$3,Q12,R12,$C$4)</f>
        <v>-9.3231985931003347E-2</v>
      </c>
    </row>
    <row r="13" spans="1:25" x14ac:dyDescent="0.15">
      <c r="A13" s="34"/>
      <c r="B13" s="13" t="s">
        <v>172</v>
      </c>
      <c r="C13" s="10" t="s">
        <v>162</v>
      </c>
      <c r="D13" s="10" t="s">
        <v>31</v>
      </c>
      <c r="E13" s="10">
        <f t="shared" si="0"/>
        <v>-1</v>
      </c>
      <c r="F13" s="10" t="s">
        <v>213</v>
      </c>
      <c r="G13" s="10" t="s">
        <v>48</v>
      </c>
      <c r="H13" s="11">
        <v>100</v>
      </c>
      <c r="I13" s="10">
        <v>100</v>
      </c>
      <c r="J13" s="10">
        <v>118</v>
      </c>
      <c r="K13" s="10">
        <f>_xll.dnetDiscreteAdjustedBarrier($H13,$J13,$R13,1/365)</f>
        <v>118.75808286013783</v>
      </c>
      <c r="L13" s="37">
        <v>0</v>
      </c>
      <c r="M13" s="8">
        <f t="shared" ca="1" si="1"/>
        <v>43257</v>
      </c>
      <c r="N13" s="8">
        <f t="shared" ca="1" si="2"/>
        <v>43348</v>
      </c>
      <c r="O13" s="10">
        <v>91</v>
      </c>
      <c r="P13" s="12">
        <f t="shared" si="3"/>
        <v>0.24931506849315069</v>
      </c>
      <c r="Q13" s="12">
        <v>0</v>
      </c>
      <c r="R13" s="9">
        <v>0.21</v>
      </c>
      <c r="S13" s="13">
        <f>_xll.dnetStandardBarrierNGreeks("price",G13,H13,I13,K13,L13*H13,P13,$C$3,Q13,R13,$C$4)*E13</f>
        <v>-2.429130538035877</v>
      </c>
      <c r="T13" s="15">
        <f t="shared" si="7"/>
        <v>200.54945054945054</v>
      </c>
      <c r="U13" s="13">
        <f t="shared" si="4"/>
        <v>0.49999999999999994</v>
      </c>
      <c r="V13" s="13">
        <f t="shared" si="5"/>
        <v>2.929130538035877</v>
      </c>
      <c r="W13" s="14">
        <f t="shared" si="6"/>
        <v>2.9291305380358769E-2</v>
      </c>
      <c r="X13" s="13">
        <f>_xll.dnetStandardBarrierNGreeks("delta",G13,H13,I13,K13,L13*H13,P13,$C$3,Q13,R13,$C$4)</f>
        <v>0.16955154890030411</v>
      </c>
      <c r="Y13" s="13">
        <f>_xll.dnetStandardBarrierNGreeks("vega",G13,H13,I13,K13,L13*H13,P13,$C$3,Q13,R13,$C$4)</f>
        <v>-8.0274776725061558E-2</v>
      </c>
    </row>
    <row r="14" spans="1:25" x14ac:dyDescent="0.15">
      <c r="A14" s="34"/>
      <c r="B14" s="13" t="s">
        <v>172</v>
      </c>
      <c r="C14" s="10" t="s">
        <v>162</v>
      </c>
      <c r="D14" s="10" t="s">
        <v>31</v>
      </c>
      <c r="E14" s="10">
        <f t="shared" si="0"/>
        <v>-1</v>
      </c>
      <c r="F14" s="10" t="s">
        <v>211</v>
      </c>
      <c r="G14" s="10" t="s">
        <v>48</v>
      </c>
      <c r="H14" s="11">
        <v>100</v>
      </c>
      <c r="I14" s="10">
        <v>100</v>
      </c>
      <c r="J14" s="10">
        <v>118</v>
      </c>
      <c r="K14" s="10">
        <f>_xll.dnetDiscreteAdjustedBarrier($H14,$J14,$R14,1/365)</f>
        <v>118.97557113438837</v>
      </c>
      <c r="L14" s="37">
        <v>0</v>
      </c>
      <c r="M14" s="8">
        <f t="shared" ca="1" si="1"/>
        <v>43257</v>
      </c>
      <c r="N14" s="8">
        <f t="shared" ca="1" si="2"/>
        <v>43440</v>
      </c>
      <c r="O14" s="10">
        <v>183</v>
      </c>
      <c r="P14" s="12">
        <f t="shared" si="3"/>
        <v>0.50136986301369868</v>
      </c>
      <c r="Q14" s="12">
        <v>0</v>
      </c>
      <c r="R14" s="9">
        <v>0.27</v>
      </c>
      <c r="S14" s="13">
        <f>_xll.dnetStandardBarrierNGreeks("price",G14,H14,I14,K14,L14*H14,P14,$C$3,Q14,R14,$C$4)*E14</f>
        <v>-1.0363206281910617</v>
      </c>
      <c r="T14" s="15">
        <f t="shared" si="7"/>
        <v>99.726775956284158</v>
      </c>
      <c r="U14" s="13">
        <f t="shared" si="4"/>
        <v>0.50000000000000011</v>
      </c>
      <c r="V14" s="13">
        <f t="shared" si="5"/>
        <v>1.5363206281910617</v>
      </c>
      <c r="W14" s="14">
        <f t="shared" si="6"/>
        <v>1.5363206281910617E-2</v>
      </c>
      <c r="X14" s="13">
        <f>_xll.dnetStandardBarrierNGreeks("delta",G14,H14,I14,K14,L14*H14,P14,$C$3,Q14,R14,$C$4)</f>
        <v>-8.979327686908789E-3</v>
      </c>
      <c r="Y14" s="13">
        <f>_xll.dnetStandardBarrierNGreeks("vega",G14,H14,I14,K14,L14*H14,P14,$C$3,Q14,R14,$C$4)</f>
        <v>-7.9718746239311411E-2</v>
      </c>
    </row>
    <row r="15" spans="1:25" x14ac:dyDescent="0.15">
      <c r="A15" s="34"/>
      <c r="B15" s="13" t="s">
        <v>172</v>
      </c>
      <c r="C15" s="10" t="s">
        <v>162</v>
      </c>
      <c r="D15" s="10" t="s">
        <v>31</v>
      </c>
      <c r="E15" s="10">
        <f t="shared" si="0"/>
        <v>-1</v>
      </c>
      <c r="F15" s="10" t="s">
        <v>212</v>
      </c>
      <c r="G15" s="10" t="s">
        <v>48</v>
      </c>
      <c r="H15" s="11">
        <v>100</v>
      </c>
      <c r="I15" s="10">
        <v>100</v>
      </c>
      <c r="J15" s="10">
        <v>118</v>
      </c>
      <c r="K15" s="10">
        <f>_xll.dnetDiscreteAdjustedBarrier($H15,$J15,$R15,1/365)</f>
        <v>118.83053474115295</v>
      </c>
      <c r="L15" s="37">
        <v>0</v>
      </c>
      <c r="M15" s="8">
        <f t="shared" ca="1" si="1"/>
        <v>43257</v>
      </c>
      <c r="N15" s="8">
        <f t="shared" ca="1" si="2"/>
        <v>43440</v>
      </c>
      <c r="O15" s="10">
        <v>183</v>
      </c>
      <c r="P15" s="12">
        <f t="shared" si="3"/>
        <v>0.50136986301369868</v>
      </c>
      <c r="Q15" s="12">
        <v>0</v>
      </c>
      <c r="R15" s="9">
        <v>0.23</v>
      </c>
      <c r="S15" s="13">
        <f>_xll.dnetStandardBarrierNGreeks("price",G15,H15,I15,K15,L15*H15,P15,$C$3,Q15,R15,$C$4)*E15</f>
        <v>-1.3855950829873169</v>
      </c>
      <c r="T15" s="15">
        <f t="shared" si="7"/>
        <v>99.726775956284158</v>
      </c>
      <c r="U15" s="13">
        <f t="shared" si="4"/>
        <v>0.50000000000000011</v>
      </c>
      <c r="V15" s="13">
        <f t="shared" si="5"/>
        <v>1.8855950829873169</v>
      </c>
      <c r="W15" s="14">
        <f t="shared" si="6"/>
        <v>1.885595082987317E-2</v>
      </c>
      <c r="X15" s="13">
        <f>_xll.dnetStandardBarrierNGreeks("delta",G15,H15,I15,K15,L15*H15,P15,$C$3,Q15,R15,$C$4)</f>
        <v>7.5959108423395705E-3</v>
      </c>
      <c r="Y15" s="13">
        <f>_xll.dnetStandardBarrierNGreeks("vega",G15,H15,I15,K15,L15*H15,P15,$C$3,Q15,R15,$C$4)</f>
        <v>-0.10820566193518943</v>
      </c>
    </row>
    <row r="16" spans="1:25" x14ac:dyDescent="0.15">
      <c r="A16" s="34"/>
      <c r="B16" s="13" t="s">
        <v>172</v>
      </c>
      <c r="C16" s="10" t="s">
        <v>162</v>
      </c>
      <c r="D16" s="10" t="s">
        <v>31</v>
      </c>
      <c r="E16" s="10">
        <f t="shared" si="0"/>
        <v>-1</v>
      </c>
      <c r="F16" s="10" t="s">
        <v>213</v>
      </c>
      <c r="G16" s="10" t="s">
        <v>48</v>
      </c>
      <c r="H16" s="11">
        <v>100</v>
      </c>
      <c r="I16" s="10">
        <v>100</v>
      </c>
      <c r="J16" s="10">
        <v>118</v>
      </c>
      <c r="K16" s="10">
        <f>_xll.dnetDiscreteAdjustedBarrier($H16,$J16,$R16,1/365)</f>
        <v>118.75808286013783</v>
      </c>
      <c r="L16" s="37">
        <v>0</v>
      </c>
      <c r="M16" s="8">
        <f t="shared" ca="1" si="1"/>
        <v>43257</v>
      </c>
      <c r="N16" s="8">
        <f t="shared" ca="1" si="2"/>
        <v>43440</v>
      </c>
      <c r="O16" s="10">
        <v>183</v>
      </c>
      <c r="P16" s="12">
        <f t="shared" si="3"/>
        <v>0.50136986301369868</v>
      </c>
      <c r="Q16" s="12">
        <v>0</v>
      </c>
      <c r="R16" s="9">
        <v>0.21</v>
      </c>
      <c r="S16" s="13">
        <f>_xll.dnetStandardBarrierNGreeks("price",G16,H16,I16,K16,L16*H16,P16,$C$3,Q16,R16,$C$4)*E16</f>
        <v>-1.6027351301156738</v>
      </c>
      <c r="T16" s="15">
        <f t="shared" si="7"/>
        <v>99.726775956284158</v>
      </c>
      <c r="U16" s="13">
        <f t="shared" si="4"/>
        <v>0.50000000000000011</v>
      </c>
      <c r="V16" s="13">
        <f t="shared" si="5"/>
        <v>2.1027351301156738</v>
      </c>
      <c r="W16" s="14">
        <f t="shared" si="6"/>
        <v>2.1027351301156738E-2</v>
      </c>
      <c r="X16" s="13">
        <f>_xll.dnetStandardBarrierNGreeks("delta",G16,H16,I16,K16,L16*H16,P16,$C$3,Q16,R16,$C$4)</f>
        <v>2.4612309731497639E-2</v>
      </c>
      <c r="Y16" s="13">
        <f>_xll.dnetStandardBarrierNGreeks("vega",G16,H16,I16,K16,L16*H16,P16,$C$3,Q16,R16,$C$4)</f>
        <v>-0.12284663697839449</v>
      </c>
    </row>
    <row r="17" spans="2:25" x14ac:dyDescent="0.15">
      <c r="B17" s="13"/>
      <c r="C17" s="10"/>
      <c r="D17" s="10"/>
      <c r="E17" s="10"/>
      <c r="F17" s="10"/>
      <c r="G17" s="10"/>
      <c r="H17" s="11"/>
      <c r="I17" s="10"/>
      <c r="J17" s="10"/>
      <c r="K17" s="10"/>
      <c r="L17" s="10"/>
      <c r="M17" s="8"/>
      <c r="N17" s="8"/>
      <c r="O17" s="10"/>
      <c r="P17" s="12"/>
      <c r="Q17" s="12"/>
      <c r="R17" s="9"/>
      <c r="S17" s="13"/>
      <c r="T17" s="15"/>
      <c r="U17" s="13"/>
      <c r="V17" s="13"/>
      <c r="W17" s="14"/>
      <c r="X17" s="13"/>
      <c r="Y17" s="13"/>
    </row>
    <row r="18" spans="2:25" x14ac:dyDescent="0.15">
      <c r="B18" s="13"/>
      <c r="C18" s="10"/>
      <c r="D18" s="10"/>
      <c r="E18" s="10"/>
      <c r="F18" s="10"/>
      <c r="G18" s="10"/>
      <c r="H18" s="11"/>
      <c r="I18" s="10"/>
      <c r="J18" s="10"/>
      <c r="K18" s="10"/>
      <c r="L18" s="10"/>
      <c r="M18" s="8"/>
      <c r="N18" s="8"/>
      <c r="O18" s="10"/>
      <c r="P18" s="12"/>
      <c r="Q18" s="12"/>
      <c r="R18" s="9"/>
      <c r="S18" s="13"/>
      <c r="T18" s="15"/>
      <c r="U18" s="13"/>
      <c r="V18" s="13"/>
      <c r="W18" s="14"/>
      <c r="X18" s="13"/>
      <c r="Y18" s="13"/>
    </row>
    <row r="19" spans="2:25" x14ac:dyDescent="0.15">
      <c r="B19" s="13"/>
      <c r="C19" s="10"/>
      <c r="D19" s="10"/>
      <c r="E19" s="10"/>
      <c r="F19" s="10"/>
      <c r="G19" s="10"/>
      <c r="H19" s="11"/>
      <c r="I19" s="10"/>
      <c r="J19" s="10"/>
      <c r="K19" s="10"/>
      <c r="L19" s="10"/>
      <c r="M19" s="8"/>
      <c r="N19" s="8"/>
      <c r="O19" s="10"/>
      <c r="P19" s="12"/>
      <c r="Q19" s="12"/>
      <c r="R19" s="9"/>
      <c r="S19" s="13"/>
      <c r="T19" s="15"/>
      <c r="U19" s="13"/>
      <c r="V19" s="13"/>
      <c r="W19" s="14"/>
      <c r="X19" s="13"/>
      <c r="Y19" s="13"/>
    </row>
    <row r="20" spans="2:25" x14ac:dyDescent="0.15">
      <c r="B20" s="13"/>
      <c r="C20" s="10"/>
      <c r="D20" s="10"/>
      <c r="E20" s="10"/>
      <c r="F20" s="10"/>
      <c r="G20" s="10"/>
      <c r="H20" s="11"/>
      <c r="I20" s="10"/>
      <c r="J20" s="10"/>
      <c r="K20" s="10"/>
      <c r="L20" s="10"/>
      <c r="M20" s="8"/>
      <c r="N20" s="8"/>
      <c r="O20" s="10"/>
      <c r="P20" s="12"/>
      <c r="Q20" s="12"/>
      <c r="R20" s="9"/>
      <c r="S20" s="13"/>
      <c r="T20" s="15"/>
      <c r="U20" s="13"/>
      <c r="V20" s="13"/>
      <c r="W20" s="14"/>
      <c r="X20" s="13"/>
      <c r="Y20" s="13"/>
    </row>
    <row r="21" spans="2:25" x14ac:dyDescent="0.15">
      <c r="B21" s="13"/>
      <c r="C21" s="10"/>
      <c r="D21" s="10"/>
      <c r="E21" s="10"/>
      <c r="F21" s="10"/>
      <c r="G21" s="10"/>
      <c r="H21" s="11"/>
      <c r="I21" s="10"/>
      <c r="J21" s="10"/>
      <c r="K21" s="10"/>
      <c r="L21" s="10"/>
      <c r="M21" s="8"/>
      <c r="N21" s="8"/>
      <c r="O21" s="10"/>
      <c r="P21" s="12"/>
      <c r="Q21" s="12"/>
      <c r="R21" s="9"/>
      <c r="S21" s="13"/>
      <c r="T21" s="15"/>
      <c r="U21" s="13"/>
      <c r="V21" s="13"/>
      <c r="W21" s="14"/>
      <c r="X21" s="13"/>
      <c r="Y21" s="13"/>
    </row>
    <row r="22" spans="2:25" x14ac:dyDescent="0.15">
      <c r="B22" s="13"/>
      <c r="C22" s="10"/>
      <c r="D22" s="10"/>
      <c r="E22" s="10"/>
      <c r="F22" s="10"/>
      <c r="G22" s="10"/>
      <c r="H22" s="11"/>
      <c r="I22" s="10"/>
      <c r="J22" s="10"/>
      <c r="K22" s="10"/>
      <c r="L22" s="10"/>
      <c r="M22" s="8"/>
      <c r="N22" s="8"/>
      <c r="O22" s="10"/>
      <c r="P22" s="12"/>
      <c r="Q22" s="12"/>
      <c r="R22" s="9"/>
      <c r="S22" s="13"/>
      <c r="T22" s="15"/>
      <c r="U22" s="13"/>
      <c r="V22" s="13"/>
      <c r="W22" s="14"/>
      <c r="X22" s="13"/>
      <c r="Y22" s="13"/>
    </row>
    <row r="23" spans="2:25" x14ac:dyDescent="0.15">
      <c r="B23" s="13"/>
      <c r="C23" s="10"/>
      <c r="D23" s="10"/>
      <c r="E23" s="10"/>
      <c r="F23" s="10"/>
      <c r="G23" s="10"/>
      <c r="H23" s="11"/>
      <c r="I23" s="10"/>
      <c r="J23" s="10"/>
      <c r="K23" s="10"/>
      <c r="L23" s="10"/>
      <c r="M23" s="8"/>
      <c r="N23" s="8"/>
      <c r="O23" s="10"/>
      <c r="P23" s="12"/>
      <c r="Q23" s="12"/>
      <c r="R23" s="9"/>
      <c r="S23" s="13"/>
      <c r="T23" s="15"/>
      <c r="U23" s="13"/>
      <c r="V23" s="13"/>
      <c r="W23" s="14"/>
      <c r="X23" s="13"/>
      <c r="Y23" s="13"/>
    </row>
    <row r="24" spans="2:25" x14ac:dyDescent="0.15">
      <c r="B24" s="13"/>
      <c r="C24" s="10"/>
      <c r="D24" s="10"/>
      <c r="E24" s="10"/>
      <c r="F24" s="10"/>
      <c r="G24" s="10"/>
      <c r="H24" s="11"/>
      <c r="I24" s="10"/>
      <c r="J24" s="10"/>
      <c r="K24" s="10"/>
      <c r="L24" s="10"/>
      <c r="M24" s="8"/>
      <c r="N24" s="8"/>
      <c r="O24" s="10"/>
      <c r="P24" s="12"/>
      <c r="Q24" s="12"/>
      <c r="R24" s="9"/>
      <c r="S24" s="13"/>
      <c r="T24" s="15"/>
      <c r="U24" s="13"/>
      <c r="V24" s="13"/>
      <c r="W24" s="14"/>
      <c r="X24" s="13"/>
      <c r="Y24" s="13"/>
    </row>
    <row r="25" spans="2:25" x14ac:dyDescent="0.15">
      <c r="B25" s="13"/>
      <c r="C25" s="10"/>
      <c r="D25" s="10"/>
      <c r="E25" s="10"/>
      <c r="F25" s="10"/>
      <c r="G25" s="10"/>
      <c r="H25" s="11"/>
      <c r="I25" s="10"/>
      <c r="J25" s="10"/>
      <c r="K25" s="10"/>
      <c r="L25" s="10"/>
      <c r="M25" s="8"/>
      <c r="N25" s="8"/>
      <c r="O25" s="10"/>
      <c r="P25" s="12"/>
      <c r="Q25" s="12"/>
      <c r="R25" s="9"/>
      <c r="S25" s="13"/>
      <c r="T25" s="15"/>
      <c r="U25" s="13"/>
      <c r="V25" s="13"/>
      <c r="W25" s="14"/>
      <c r="X25" s="13"/>
      <c r="Y25" s="13"/>
    </row>
    <row r="26" spans="2:25" x14ac:dyDescent="0.15">
      <c r="B26" s="13"/>
      <c r="C26" s="10"/>
      <c r="D26" s="10"/>
      <c r="E26" s="10"/>
      <c r="F26" s="10"/>
      <c r="G26" s="10"/>
      <c r="H26" s="11"/>
      <c r="I26" s="10"/>
      <c r="J26" s="10"/>
      <c r="K26" s="10"/>
      <c r="L26" s="10"/>
      <c r="M26" s="8"/>
      <c r="N26" s="8"/>
      <c r="O26" s="10"/>
      <c r="P26" s="12"/>
      <c r="Q26" s="12"/>
      <c r="R26" s="9"/>
      <c r="S26" s="13"/>
      <c r="T26" s="15"/>
      <c r="U26" s="13"/>
      <c r="V26" s="13"/>
      <c r="W26" s="14"/>
      <c r="X26" s="13"/>
      <c r="Y26" s="13"/>
    </row>
    <row r="27" spans="2:25" x14ac:dyDescent="0.15">
      <c r="B27" s="13"/>
      <c r="C27" s="10"/>
      <c r="D27" s="10"/>
      <c r="E27" s="10"/>
      <c r="F27" s="10"/>
      <c r="G27" s="10"/>
      <c r="H27" s="11"/>
      <c r="I27" s="10"/>
      <c r="J27" s="10"/>
      <c r="K27" s="10"/>
      <c r="L27" s="10"/>
      <c r="M27" s="8"/>
      <c r="N27" s="8"/>
      <c r="O27" s="10"/>
      <c r="P27" s="12"/>
      <c r="Q27" s="12"/>
      <c r="R27" s="9"/>
      <c r="S27" s="13"/>
      <c r="T27" s="15"/>
      <c r="U27" s="13"/>
      <c r="V27" s="13"/>
      <c r="W27" s="14"/>
      <c r="X27" s="13"/>
      <c r="Y27" s="13"/>
    </row>
    <row r="28" spans="2:25" x14ac:dyDescent="0.15">
      <c r="B28" s="13"/>
      <c r="C28" s="10"/>
      <c r="D28" s="10"/>
      <c r="E28" s="10"/>
      <c r="F28" s="10"/>
      <c r="G28" s="10"/>
      <c r="H28" s="11"/>
      <c r="I28" s="10"/>
      <c r="J28" s="10"/>
      <c r="K28" s="10"/>
      <c r="L28" s="10"/>
      <c r="M28" s="8"/>
      <c r="N28" s="8"/>
      <c r="O28" s="10"/>
      <c r="P28" s="12"/>
      <c r="Q28" s="12"/>
      <c r="R28" s="9"/>
      <c r="S28" s="13"/>
      <c r="T28" s="15"/>
      <c r="U28" s="13"/>
      <c r="V28" s="13"/>
      <c r="W28" s="14"/>
      <c r="X28" s="13"/>
      <c r="Y28" s="13"/>
    </row>
    <row r="29" spans="2:25" x14ac:dyDescent="0.15">
      <c r="B29" s="13"/>
      <c r="C29" s="10"/>
      <c r="D29" s="10"/>
      <c r="E29" s="10"/>
      <c r="F29" s="10"/>
      <c r="G29" s="10"/>
      <c r="H29" s="11"/>
      <c r="I29" s="10"/>
      <c r="J29" s="10"/>
      <c r="K29" s="10"/>
      <c r="L29" s="10"/>
      <c r="M29" s="8"/>
      <c r="N29" s="8"/>
      <c r="O29" s="10"/>
      <c r="P29" s="12"/>
      <c r="Q29" s="12"/>
      <c r="R29" s="9"/>
      <c r="S29" s="13"/>
      <c r="T29" s="15"/>
      <c r="U29" s="13"/>
      <c r="V29" s="13"/>
      <c r="W29" s="14"/>
      <c r="X29" s="13"/>
      <c r="Y29" s="13"/>
    </row>
    <row r="30" spans="2:25" x14ac:dyDescent="0.15">
      <c r="B30" s="13"/>
      <c r="C30" s="10"/>
      <c r="D30" s="10"/>
      <c r="E30" s="10"/>
      <c r="F30" s="10"/>
      <c r="G30" s="10"/>
      <c r="H30" s="11"/>
      <c r="I30" s="10"/>
      <c r="J30" s="10"/>
      <c r="K30" s="10"/>
      <c r="L30" s="10"/>
      <c r="M30" s="8"/>
      <c r="N30" s="8"/>
      <c r="O30" s="10"/>
      <c r="P30" s="12"/>
      <c r="Q30" s="12"/>
      <c r="R30" s="9"/>
      <c r="S30" s="13"/>
      <c r="T30" s="15"/>
      <c r="U30" s="13"/>
      <c r="V30" s="13"/>
      <c r="W30" s="14"/>
      <c r="X30" s="13"/>
      <c r="Y30" s="13"/>
    </row>
    <row r="31" spans="2:25" x14ac:dyDescent="0.15">
      <c r="B31" s="13"/>
      <c r="C31" s="10"/>
      <c r="D31" s="10"/>
      <c r="E31" s="10"/>
      <c r="F31" s="10"/>
      <c r="G31" s="10"/>
      <c r="H31" s="11"/>
      <c r="I31" s="10"/>
      <c r="J31" s="10"/>
      <c r="K31" s="10"/>
      <c r="L31" s="10"/>
      <c r="M31" s="8"/>
      <c r="N31" s="8"/>
      <c r="O31" s="10"/>
      <c r="P31" s="12"/>
      <c r="Q31" s="12"/>
      <c r="R31" s="9"/>
      <c r="S31" s="13"/>
      <c r="T31" s="15"/>
      <c r="U31" s="13"/>
      <c r="V31" s="13"/>
      <c r="W31" s="14"/>
      <c r="X31" s="13"/>
      <c r="Y31" s="13"/>
    </row>
    <row r="32" spans="2:25" x14ac:dyDescent="0.15">
      <c r="B32" s="13"/>
      <c r="C32" s="10"/>
      <c r="D32" s="10"/>
      <c r="E32" s="10"/>
      <c r="F32" s="10"/>
      <c r="G32" s="10"/>
      <c r="H32" s="11"/>
      <c r="I32" s="10"/>
      <c r="J32" s="10"/>
      <c r="K32" s="10"/>
      <c r="L32" s="10"/>
      <c r="M32" s="8"/>
      <c r="N32" s="8"/>
      <c r="O32" s="10"/>
      <c r="P32" s="12"/>
      <c r="Q32" s="12"/>
      <c r="R32" s="9"/>
      <c r="S32" s="13"/>
      <c r="T32" s="15"/>
      <c r="U32" s="13"/>
      <c r="V32" s="13"/>
      <c r="W32" s="14"/>
      <c r="X32" s="13"/>
      <c r="Y32" s="13"/>
    </row>
    <row r="33" spans="2:25" x14ac:dyDescent="0.15">
      <c r="B33" s="13"/>
      <c r="C33" s="10"/>
      <c r="D33" s="10"/>
      <c r="E33" s="10"/>
      <c r="F33" s="10"/>
      <c r="G33" s="10"/>
      <c r="H33" s="11"/>
      <c r="I33" s="10"/>
      <c r="J33" s="10"/>
      <c r="K33" s="10"/>
      <c r="L33" s="10"/>
      <c r="M33" s="8"/>
      <c r="N33" s="8"/>
      <c r="O33" s="10"/>
      <c r="P33" s="12"/>
      <c r="Q33" s="12"/>
      <c r="R33" s="9"/>
      <c r="S33" s="13"/>
      <c r="T33" s="15"/>
      <c r="U33" s="13"/>
      <c r="V33" s="13"/>
      <c r="W33" s="14"/>
      <c r="X33" s="13"/>
      <c r="Y33" s="13"/>
    </row>
    <row r="34" spans="2:25" x14ac:dyDescent="0.15">
      <c r="B34" s="13"/>
      <c r="C34" s="10"/>
      <c r="D34" s="10"/>
      <c r="E34" s="10"/>
      <c r="F34" s="10"/>
      <c r="G34" s="10"/>
      <c r="H34" s="11"/>
      <c r="I34" s="10"/>
      <c r="J34" s="10"/>
      <c r="K34" s="10"/>
      <c r="L34" s="10"/>
      <c r="M34" s="8"/>
      <c r="N34" s="8"/>
      <c r="O34" s="10"/>
      <c r="P34" s="12"/>
      <c r="Q34" s="12"/>
      <c r="R34" s="9"/>
      <c r="S34" s="13"/>
      <c r="T34" s="15"/>
      <c r="U34" s="13"/>
      <c r="V34" s="13"/>
      <c r="W34" s="14"/>
      <c r="X34" s="13"/>
      <c r="Y34" s="13"/>
    </row>
    <row r="35" spans="2:25" x14ac:dyDescent="0.15">
      <c r="B35" s="13"/>
      <c r="C35" s="10"/>
      <c r="D35" s="10"/>
      <c r="E35" s="10"/>
      <c r="F35" s="10"/>
      <c r="G35" s="10"/>
      <c r="H35" s="11"/>
      <c r="I35" s="10"/>
      <c r="J35" s="10"/>
      <c r="K35" s="10"/>
      <c r="L35" s="10"/>
      <c r="M35" s="8"/>
      <c r="N35" s="8"/>
      <c r="O35" s="10"/>
      <c r="P35" s="12"/>
      <c r="Q35" s="12"/>
      <c r="R35" s="9"/>
      <c r="S35" s="13"/>
      <c r="T35" s="15"/>
      <c r="U35" s="13"/>
      <c r="V35" s="13"/>
      <c r="W35" s="14"/>
      <c r="X35" s="13"/>
      <c r="Y35" s="13"/>
    </row>
    <row r="36" spans="2:25" x14ac:dyDescent="0.15">
      <c r="B36" s="13"/>
      <c r="C36" s="10"/>
      <c r="D36" s="10"/>
      <c r="E36" s="10"/>
      <c r="F36" s="10"/>
      <c r="G36" s="10"/>
      <c r="H36" s="11"/>
      <c r="I36" s="10"/>
      <c r="J36" s="10"/>
      <c r="K36" s="10"/>
      <c r="L36" s="10"/>
      <c r="M36" s="8"/>
      <c r="N36" s="8"/>
      <c r="O36" s="10"/>
      <c r="P36" s="12"/>
      <c r="Q36" s="12"/>
      <c r="R36" s="9"/>
      <c r="S36" s="13"/>
      <c r="T36" s="15"/>
      <c r="U36" s="13"/>
      <c r="V36" s="13"/>
      <c r="W36" s="14"/>
      <c r="X36" s="13"/>
      <c r="Y36" s="13"/>
    </row>
    <row r="37" spans="2:25" x14ac:dyDescent="0.15">
      <c r="B37" s="13"/>
      <c r="C37" s="10"/>
      <c r="D37" s="10"/>
      <c r="E37" s="10"/>
      <c r="F37" s="10"/>
      <c r="G37" s="10"/>
      <c r="H37" s="11"/>
      <c r="I37" s="10"/>
      <c r="J37" s="10"/>
      <c r="K37" s="10"/>
      <c r="L37" s="10"/>
      <c r="M37" s="8"/>
      <c r="N37" s="8"/>
      <c r="O37" s="10"/>
      <c r="P37" s="12"/>
      <c r="Q37" s="12"/>
      <c r="R37" s="9"/>
      <c r="S37" s="13"/>
      <c r="T37" s="15"/>
      <c r="U37" s="13"/>
      <c r="V37" s="13"/>
      <c r="W37" s="14"/>
      <c r="X37" s="13"/>
      <c r="Y37" s="13"/>
    </row>
    <row r="38" spans="2:25" x14ac:dyDescent="0.15">
      <c r="B38" s="13"/>
      <c r="C38" s="10"/>
      <c r="D38" s="10"/>
      <c r="E38" s="10"/>
      <c r="F38" s="10"/>
      <c r="G38" s="10"/>
      <c r="H38" s="11"/>
      <c r="I38" s="10"/>
      <c r="J38" s="10"/>
      <c r="K38" s="10"/>
      <c r="L38" s="10"/>
      <c r="M38" s="8"/>
      <c r="N38" s="8"/>
      <c r="O38" s="10"/>
      <c r="P38" s="12"/>
      <c r="Q38" s="12"/>
      <c r="R38" s="9"/>
      <c r="S38" s="13"/>
      <c r="T38" s="15"/>
      <c r="U38" s="13"/>
      <c r="V38" s="13"/>
      <c r="W38" s="14"/>
      <c r="X38" s="13"/>
      <c r="Y38" s="13"/>
    </row>
    <row r="39" spans="2:25" x14ac:dyDescent="0.15">
      <c r="B39" s="13"/>
      <c r="C39" s="10"/>
      <c r="D39" s="10"/>
      <c r="E39" s="10"/>
      <c r="F39" s="10"/>
      <c r="G39" s="10"/>
      <c r="H39" s="11"/>
      <c r="I39" s="10"/>
      <c r="J39" s="10"/>
      <c r="K39" s="10"/>
      <c r="L39" s="10"/>
      <c r="M39" s="8"/>
      <c r="N39" s="8"/>
      <c r="O39" s="10"/>
      <c r="P39" s="12"/>
      <c r="Q39" s="12"/>
      <c r="R39" s="9"/>
      <c r="S39" s="13"/>
      <c r="T39" s="15"/>
      <c r="U39" s="13"/>
      <c r="V39" s="13"/>
      <c r="W39" s="14"/>
      <c r="X39" s="13"/>
      <c r="Y39" s="13"/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configs!$A$1:$A$36</xm:f>
          </x14:formula1>
          <xm:sqref>B40:B42</xm:sqref>
        </x14:dataValidation>
        <x14:dataValidation type="list" allowBlank="1" showInputMessage="1" showErrorMessage="1">
          <x14:formula1>
            <xm:f>configs!$C$3:$C$4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>
          <x14:formula1>
            <xm:f>configs!$A$1:$A$36</xm:f>
          </x14:formula1>
          <xm:sqref>C8:C39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P36"/>
  <sheetViews>
    <sheetView workbookViewId="0">
      <selection activeCell="R7" sqref="R7"/>
    </sheetView>
  </sheetViews>
  <sheetFormatPr defaultRowHeight="13.5" x14ac:dyDescent="0.15"/>
  <cols>
    <col min="1" max="1" width="9" style="1"/>
  </cols>
  <sheetData>
    <row r="1" spans="1:16" x14ac:dyDescent="0.15">
      <c r="A1" s="16" t="s">
        <v>36</v>
      </c>
      <c r="B1" s="2" t="s">
        <v>19</v>
      </c>
      <c r="C1" s="2" t="s">
        <v>24</v>
      </c>
      <c r="K1" s="32" t="s">
        <v>155</v>
      </c>
      <c r="L1" s="32" t="s">
        <v>152</v>
      </c>
      <c r="M1" s="32"/>
      <c r="N1" s="32"/>
      <c r="O1" s="32"/>
      <c r="P1" s="32"/>
    </row>
    <row r="2" spans="1:16" x14ac:dyDescent="0.15">
      <c r="A2" s="16" t="s">
        <v>3</v>
      </c>
      <c r="B2" s="2" t="s">
        <v>21</v>
      </c>
      <c r="C2" s="2" t="s">
        <v>25</v>
      </c>
      <c r="K2" s="32" t="s">
        <v>156</v>
      </c>
      <c r="L2" s="32" t="s">
        <v>157</v>
      </c>
      <c r="M2" s="32"/>
      <c r="N2" s="32"/>
      <c r="O2" s="32"/>
      <c r="P2" s="32"/>
    </row>
    <row r="3" spans="1:16" x14ac:dyDescent="0.15">
      <c r="A3" s="2" t="s">
        <v>5</v>
      </c>
      <c r="C3" s="2" t="s">
        <v>153</v>
      </c>
    </row>
    <row r="4" spans="1:16" x14ac:dyDescent="0.15">
      <c r="A4" s="2" t="s">
        <v>4</v>
      </c>
      <c r="C4" s="2" t="s">
        <v>154</v>
      </c>
    </row>
    <row r="5" spans="1:16" x14ac:dyDescent="0.15">
      <c r="A5" s="2" t="s">
        <v>6</v>
      </c>
    </row>
    <row r="6" spans="1:16" x14ac:dyDescent="0.15">
      <c r="A6" s="2" t="s">
        <v>35</v>
      </c>
    </row>
    <row r="7" spans="1:16" x14ac:dyDescent="0.15">
      <c r="A7" s="2" t="s">
        <v>42</v>
      </c>
    </row>
    <row r="8" spans="1:16" x14ac:dyDescent="0.15">
      <c r="A8" s="2" t="s">
        <v>43</v>
      </c>
    </row>
    <row r="9" spans="1:16" x14ac:dyDescent="0.15">
      <c r="A9" s="2" t="s">
        <v>161</v>
      </c>
    </row>
    <row r="10" spans="1:16" x14ac:dyDescent="0.15">
      <c r="A10" s="2" t="s">
        <v>169</v>
      </c>
    </row>
    <row r="11" spans="1:16" x14ac:dyDescent="0.15">
      <c r="A11" s="2" t="s">
        <v>176</v>
      </c>
    </row>
    <row r="12" spans="1:16" x14ac:dyDescent="0.15">
      <c r="A12" s="2" t="s">
        <v>177</v>
      </c>
    </row>
    <row r="13" spans="1:16" x14ac:dyDescent="0.15">
      <c r="A13" s="2" t="s">
        <v>178</v>
      </c>
    </row>
    <row r="14" spans="1:16" x14ac:dyDescent="0.15">
      <c r="A14" s="2"/>
    </row>
    <row r="15" spans="1:16" x14ac:dyDescent="0.15">
      <c r="A15" s="2"/>
    </row>
    <row r="16" spans="1:16" x14ac:dyDescent="0.15">
      <c r="A16" s="2"/>
    </row>
    <row r="17" spans="1:1" x14ac:dyDescent="0.15">
      <c r="A17" s="2"/>
    </row>
    <row r="18" spans="1:1" x14ac:dyDescent="0.15">
      <c r="A18" s="2"/>
    </row>
    <row r="19" spans="1:1" x14ac:dyDescent="0.15">
      <c r="A19" s="2"/>
    </row>
    <row r="20" spans="1:1" x14ac:dyDescent="0.15">
      <c r="A20" s="2"/>
    </row>
    <row r="21" spans="1:1" x14ac:dyDescent="0.15">
      <c r="A21" s="2"/>
    </row>
    <row r="22" spans="1:1" x14ac:dyDescent="0.15">
      <c r="A22" s="2"/>
    </row>
    <row r="23" spans="1:1" x14ac:dyDescent="0.15">
      <c r="A23" s="2"/>
    </row>
    <row r="24" spans="1:1" x14ac:dyDescent="0.15">
      <c r="A24" s="2"/>
    </row>
    <row r="25" spans="1:1" x14ac:dyDescent="0.15">
      <c r="A25" s="2"/>
    </row>
    <row r="26" spans="1:1" x14ac:dyDescent="0.15">
      <c r="A26" s="2"/>
    </row>
    <row r="27" spans="1:1" x14ac:dyDescent="0.15">
      <c r="A27" s="2"/>
    </row>
    <row r="28" spans="1:1" x14ac:dyDescent="0.15">
      <c r="A28" s="2"/>
    </row>
    <row r="29" spans="1:1" x14ac:dyDescent="0.15">
      <c r="A29" s="2"/>
    </row>
    <row r="30" spans="1:1" x14ac:dyDescent="0.15">
      <c r="A30" s="2"/>
    </row>
    <row r="31" spans="1:1" x14ac:dyDescent="0.15">
      <c r="A31" s="2"/>
    </row>
    <row r="32" spans="1:1" x14ac:dyDescent="0.15">
      <c r="A32" s="2"/>
    </row>
    <row r="33" spans="1:1" x14ac:dyDescent="0.15">
      <c r="A33" s="2"/>
    </row>
    <row r="34" spans="1:1" x14ac:dyDescent="0.15">
      <c r="A34" s="2"/>
    </row>
    <row r="35" spans="1:1" x14ac:dyDescent="0.15">
      <c r="A35" s="2"/>
    </row>
    <row r="36" spans="1:1" x14ac:dyDescent="0.15">
      <c r="A36" s="2"/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U39"/>
  <sheetViews>
    <sheetView workbookViewId="0">
      <selection activeCell="G12" sqref="G12"/>
    </sheetView>
  </sheetViews>
  <sheetFormatPr defaultColWidth="9" defaultRowHeight="11.25" x14ac:dyDescent="0.15"/>
  <cols>
    <col min="1" max="1" width="8.125" style="6" customWidth="1"/>
    <col min="2" max="2" width="9" style="6"/>
    <col min="3" max="3" width="9.125" style="6" customWidth="1"/>
    <col min="4" max="4" width="7" style="6" customWidth="1"/>
    <col min="5" max="11" width="9" style="6"/>
    <col min="12" max="12" width="8.125" style="6" customWidth="1"/>
    <col min="13" max="13" width="9" style="6"/>
    <col min="14" max="14" width="7.25" style="6" customWidth="1"/>
    <col min="15" max="15" width="9" style="6"/>
    <col min="16" max="16" width="10.125" style="6" customWidth="1"/>
    <col min="17" max="18" width="6.5" style="6" customWidth="1"/>
    <col min="19" max="20" width="9" style="6"/>
    <col min="21" max="21" width="13.75" style="6" customWidth="1"/>
    <col min="22" max="16384" width="9" style="6"/>
  </cols>
  <sheetData>
    <row r="1" spans="1:21" ht="13.5" customHeight="1" thickBot="1" x14ac:dyDescent="0.2">
      <c r="B1" s="163" t="s">
        <v>37</v>
      </c>
      <c r="C1" s="163"/>
    </row>
    <row r="2" spans="1:21" ht="12" thickTop="1" x14ac:dyDescent="0.15">
      <c r="B2" s="3" t="s">
        <v>0</v>
      </c>
      <c r="C2" s="4">
        <v>43061</v>
      </c>
    </row>
    <row r="3" spans="1:21" x14ac:dyDescent="0.15">
      <c r="B3" s="3" t="s">
        <v>1</v>
      </c>
      <c r="C3" s="3">
        <v>0.02</v>
      </c>
    </row>
    <row r="4" spans="1:21" ht="12" thickBot="1" x14ac:dyDescent="0.2">
      <c r="B4" s="5" t="s">
        <v>18</v>
      </c>
      <c r="C4" s="5">
        <v>0.01</v>
      </c>
    </row>
    <row r="5" spans="1:21" ht="12" thickTop="1" x14ac:dyDescent="0.15"/>
    <row r="6" spans="1:21" ht="12" thickBot="1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</row>
    <row r="7" spans="1:21" ht="12.75" thickTop="1" thickBot="1" x14ac:dyDescent="0.2">
      <c r="B7" s="18" t="s">
        <v>29</v>
      </c>
      <c r="C7" s="18" t="s">
        <v>2</v>
      </c>
      <c r="D7" s="17" t="s">
        <v>30</v>
      </c>
      <c r="E7" s="17"/>
      <c r="F7" s="17" t="s">
        <v>32</v>
      </c>
      <c r="G7" s="17" t="s">
        <v>23</v>
      </c>
      <c r="H7" s="17" t="s">
        <v>8</v>
      </c>
      <c r="I7" s="17" t="s">
        <v>7</v>
      </c>
      <c r="J7" s="17" t="s">
        <v>9</v>
      </c>
      <c r="K7" s="17" t="s">
        <v>10</v>
      </c>
      <c r="L7" s="17" t="s">
        <v>11</v>
      </c>
      <c r="M7" s="17" t="s">
        <v>12</v>
      </c>
      <c r="N7" s="17" t="s">
        <v>13</v>
      </c>
      <c r="O7" s="17" t="s">
        <v>14</v>
      </c>
      <c r="P7" s="17" t="s">
        <v>26</v>
      </c>
      <c r="Q7" s="17" t="s">
        <v>28</v>
      </c>
      <c r="R7" s="17" t="s">
        <v>15</v>
      </c>
      <c r="S7" s="18" t="s">
        <v>33</v>
      </c>
      <c r="T7" s="18" t="s">
        <v>16</v>
      </c>
      <c r="U7" s="18" t="s">
        <v>17</v>
      </c>
    </row>
    <row r="8" spans="1:21" ht="12" thickTop="1" x14ac:dyDescent="0.15">
      <c r="A8" s="27"/>
      <c r="B8" s="24" t="s">
        <v>171</v>
      </c>
      <c r="C8" s="19" t="s">
        <v>3</v>
      </c>
      <c r="D8" s="19" t="s">
        <v>31</v>
      </c>
      <c r="E8" s="19">
        <f>IF(D8="中金买入",1,-1)</f>
        <v>-1</v>
      </c>
      <c r="F8" s="19" t="s">
        <v>22</v>
      </c>
      <c r="G8" s="19" t="s">
        <v>27</v>
      </c>
      <c r="H8" s="20">
        <f>RTD("wdf.rtq",,F8,"LastPrice")</f>
        <v>0</v>
      </c>
      <c r="I8" s="19">
        <v>3800</v>
      </c>
      <c r="J8" s="21">
        <f ca="1">TODAY()</f>
        <v>43257</v>
      </c>
      <c r="K8" s="21">
        <f ca="1">J8+L8</f>
        <v>43287</v>
      </c>
      <c r="L8" s="19">
        <v>30</v>
      </c>
      <c r="M8" s="22">
        <f>L8/365</f>
        <v>8.2191780821917804E-2</v>
      </c>
      <c r="N8" s="23">
        <v>0.3</v>
      </c>
      <c r="O8" s="24">
        <f>_xll.dnetGBlackScholesNGreeks("price",$G8,$H8,$I8,$M8,$C$3,$C$4,$N8)</f>
        <v>0</v>
      </c>
      <c r="P8" s="25">
        <v>80</v>
      </c>
      <c r="Q8" s="24">
        <f>P8/10000*M8*H8*(-E8)</f>
        <v>0</v>
      </c>
      <c r="R8" s="24">
        <f>O8+Q8</f>
        <v>0</v>
      </c>
      <c r="S8" s="26" t="e">
        <f>R8/H8</f>
        <v>#DIV/0!</v>
      </c>
      <c r="T8" s="24" t="e">
        <f>_xll.dnetGBlackScholesNGreeks("delta",$G8,$H8,$I8,$M8,$C$3,$C$4,$N8,$C$4)</f>
        <v>#VALUE!</v>
      </c>
      <c r="U8" s="24">
        <f>_xll.dnetGBlackScholesNGreeks("vega",$G8,$H8,$I8,$M8,$C$3,$C$4,$N8)</f>
        <v>0</v>
      </c>
    </row>
    <row r="9" spans="1:21" x14ac:dyDescent="0.15">
      <c r="A9" s="27"/>
      <c r="B9" s="13" t="s">
        <v>172</v>
      </c>
      <c r="C9" s="10" t="s">
        <v>3</v>
      </c>
      <c r="D9" s="10" t="s">
        <v>31</v>
      </c>
      <c r="E9" s="10">
        <f>IF(D9="中金买入",1,-1)</f>
        <v>-1</v>
      </c>
      <c r="F9" s="10" t="s">
        <v>40</v>
      </c>
      <c r="G9" s="10" t="s">
        <v>27</v>
      </c>
      <c r="H9" s="11">
        <v>100</v>
      </c>
      <c r="I9" s="10">
        <v>100</v>
      </c>
      <c r="J9" s="8">
        <f ca="1">TODAY()</f>
        <v>43257</v>
      </c>
      <c r="K9" s="8">
        <f ca="1">J9+L9</f>
        <v>43287</v>
      </c>
      <c r="L9" s="10">
        <v>30</v>
      </c>
      <c r="M9" s="12">
        <f>L9/365</f>
        <v>8.2191780821917804E-2</v>
      </c>
      <c r="N9" s="9">
        <v>0.3</v>
      </c>
      <c r="O9" s="13">
        <f>_xll.dnetGBlackScholesNGreeks("price",$G9,$H9,$I9,$M9,$C$3,$C$4,$N9)</f>
        <v>3.4671141943048909</v>
      </c>
      <c r="P9" s="15">
        <v>80</v>
      </c>
      <c r="Q9" s="13">
        <f>P9/10000*M9*H9*(-E9)</f>
        <v>6.5753424657534254E-2</v>
      </c>
      <c r="R9" s="13">
        <f>O9+Q9</f>
        <v>3.5328676189624253</v>
      </c>
      <c r="S9" s="14">
        <f>R9/H9</f>
        <v>3.532867618962425E-2</v>
      </c>
      <c r="T9" s="13">
        <f>_xll.dnetGBlackScholesNGreeks("delta",$G9,$H9,$I9,$M9,$C$3,$C$4,$N9,$C$4)</f>
        <v>0.52053074724724979</v>
      </c>
      <c r="U9" s="13">
        <f>_xll.dnetGBlackScholesNGreeks("vega",$G9,$H9,$I9,$M9,$C$3,$C$4,$N9)</f>
        <v>0.11412144299254479</v>
      </c>
    </row>
    <row r="10" spans="1:21" x14ac:dyDescent="0.15">
      <c r="B10" s="13"/>
      <c r="C10" s="10" t="s">
        <v>41</v>
      </c>
      <c r="D10" s="10" t="s">
        <v>20</v>
      </c>
      <c r="E10" s="10">
        <f>IF(D10="中金买入",1,-1)</f>
        <v>-1</v>
      </c>
      <c r="F10" s="10" t="s">
        <v>40</v>
      </c>
      <c r="G10" s="10" t="s">
        <v>39</v>
      </c>
      <c r="H10" s="11">
        <v>100</v>
      </c>
      <c r="I10" s="10">
        <v>100</v>
      </c>
      <c r="J10" s="8">
        <f ca="1">TODAY()</f>
        <v>43257</v>
      </c>
      <c r="K10" s="8">
        <f ca="1">J10+L10</f>
        <v>43287</v>
      </c>
      <c r="L10" s="10">
        <v>30</v>
      </c>
      <c r="M10" s="12">
        <f>L10/365</f>
        <v>8.2191780821917804E-2</v>
      </c>
      <c r="N10" s="9">
        <v>0.3</v>
      </c>
      <c r="O10" s="13">
        <f>_xll.dnetGBlackScholesNGreeks("price",$G10,$H10,$I10,$M10,$C$3,$C$4,$N10)</f>
        <v>3.4671141943048909</v>
      </c>
      <c r="P10" s="15">
        <v>80</v>
      </c>
      <c r="Q10" s="13">
        <f>P10/10000*M10*H10*(-E10)</f>
        <v>6.5753424657534254E-2</v>
      </c>
      <c r="R10" s="13">
        <f>O10+Q10</f>
        <v>3.5328676189624253</v>
      </c>
      <c r="S10" s="14">
        <f>R10/H10</f>
        <v>3.532867618962425E-2</v>
      </c>
      <c r="T10" s="13">
        <f>_xll.dnetGBlackScholesNGreeks("delta",$G10,$H10,$I10,$M10,$C$3,$C$4,$N10,$C$4)</f>
        <v>0.52053074724724979</v>
      </c>
      <c r="U10" s="13">
        <f>_xll.dnetGBlackScholesNGreeks("vega",$G10,$H10,$I10,$M10,$C$3,$C$4,$N10)</f>
        <v>0.11412144299254479</v>
      </c>
    </row>
    <row r="11" spans="1:21" x14ac:dyDescent="0.15">
      <c r="B11" s="13"/>
      <c r="C11" s="10"/>
      <c r="D11" s="10" t="s">
        <v>20</v>
      </c>
      <c r="E11" s="10"/>
      <c r="F11" s="10"/>
      <c r="G11" s="10"/>
      <c r="H11" s="11"/>
      <c r="I11" s="10"/>
      <c r="J11" s="8"/>
      <c r="K11" s="8"/>
      <c r="L11" s="10"/>
      <c r="M11" s="12"/>
      <c r="N11" s="9"/>
      <c r="O11" s="13"/>
      <c r="P11" s="15"/>
      <c r="Q11" s="13"/>
      <c r="R11" s="13"/>
      <c r="S11" s="14"/>
      <c r="T11" s="13"/>
      <c r="U11" s="13"/>
    </row>
    <row r="12" spans="1:21" x14ac:dyDescent="0.15">
      <c r="B12" s="13"/>
      <c r="C12" s="10"/>
      <c r="D12" s="10"/>
      <c r="E12" s="10"/>
      <c r="F12" s="10"/>
      <c r="G12" s="10"/>
      <c r="H12" s="11"/>
      <c r="I12" s="10"/>
      <c r="J12" s="8"/>
      <c r="K12" s="8"/>
      <c r="L12" s="10"/>
      <c r="M12" s="12"/>
      <c r="N12" s="9"/>
      <c r="O12" s="13"/>
      <c r="P12" s="15"/>
      <c r="Q12" s="13"/>
      <c r="R12" s="13"/>
      <c r="S12" s="14"/>
      <c r="T12" s="13"/>
      <c r="U12" s="13"/>
    </row>
    <row r="13" spans="1:21" x14ac:dyDescent="0.15">
      <c r="B13" s="13"/>
      <c r="C13" s="10"/>
      <c r="D13" s="10"/>
      <c r="E13" s="10"/>
      <c r="F13" s="10"/>
      <c r="G13" s="10"/>
      <c r="H13" s="11"/>
      <c r="I13" s="10"/>
      <c r="J13" s="8"/>
      <c r="K13" s="8"/>
      <c r="L13" s="10"/>
      <c r="M13" s="12"/>
      <c r="N13" s="9"/>
      <c r="O13" s="13"/>
      <c r="P13" s="15"/>
      <c r="Q13" s="13"/>
      <c r="R13" s="13"/>
      <c r="S13" s="14"/>
      <c r="T13" s="13"/>
      <c r="U13" s="13"/>
    </row>
    <row r="14" spans="1:21" x14ac:dyDescent="0.15">
      <c r="B14" s="13"/>
      <c r="C14" s="10"/>
      <c r="D14" s="10"/>
      <c r="E14" s="10"/>
      <c r="F14" s="10"/>
      <c r="G14" s="10"/>
      <c r="H14" s="11"/>
      <c r="I14" s="10"/>
      <c r="J14" s="8"/>
      <c r="K14" s="8"/>
      <c r="L14" s="10"/>
      <c r="M14" s="12"/>
      <c r="N14" s="9"/>
      <c r="O14" s="13"/>
      <c r="P14" s="15"/>
      <c r="Q14" s="13"/>
      <c r="R14" s="13"/>
      <c r="S14" s="14"/>
      <c r="T14" s="13"/>
      <c r="U14" s="13"/>
    </row>
    <row r="15" spans="1:21" x14ac:dyDescent="0.15">
      <c r="B15" s="13"/>
      <c r="C15" s="10"/>
      <c r="D15" s="10"/>
      <c r="E15" s="10"/>
      <c r="F15" s="10"/>
      <c r="G15" s="10"/>
      <c r="H15" s="11"/>
      <c r="I15" s="10"/>
      <c r="J15" s="8"/>
      <c r="K15" s="8"/>
      <c r="L15" s="10"/>
      <c r="M15" s="12"/>
      <c r="N15" s="9"/>
      <c r="O15" s="13"/>
      <c r="P15" s="15"/>
      <c r="Q15" s="13"/>
      <c r="R15" s="13"/>
      <c r="S15" s="14"/>
      <c r="T15" s="13"/>
      <c r="U15" s="13"/>
    </row>
    <row r="16" spans="1:21" x14ac:dyDescent="0.15">
      <c r="B16" s="13"/>
      <c r="C16" s="10"/>
      <c r="D16" s="10"/>
      <c r="E16" s="10"/>
      <c r="F16" s="10"/>
      <c r="G16" s="10"/>
      <c r="H16" s="11"/>
      <c r="I16" s="10"/>
      <c r="J16" s="8"/>
      <c r="K16" s="8"/>
      <c r="L16" s="10"/>
      <c r="M16" s="12"/>
      <c r="N16" s="9"/>
      <c r="O16" s="13"/>
      <c r="P16" s="15"/>
      <c r="Q16" s="13"/>
      <c r="R16" s="13"/>
      <c r="S16" s="14"/>
      <c r="T16" s="13"/>
      <c r="U16" s="13"/>
    </row>
    <row r="17" spans="2:21" x14ac:dyDescent="0.15">
      <c r="B17" s="13"/>
      <c r="C17" s="10"/>
      <c r="D17" s="10"/>
      <c r="E17" s="10"/>
      <c r="F17" s="10"/>
      <c r="G17" s="10"/>
      <c r="H17" s="11"/>
      <c r="I17" s="10"/>
      <c r="J17" s="8"/>
      <c r="K17" s="8"/>
      <c r="L17" s="10"/>
      <c r="M17" s="12"/>
      <c r="N17" s="9"/>
      <c r="O17" s="13"/>
      <c r="P17" s="15"/>
      <c r="Q17" s="13"/>
      <c r="R17" s="13"/>
      <c r="S17" s="14"/>
      <c r="T17" s="13"/>
      <c r="U17" s="13"/>
    </row>
    <row r="18" spans="2:21" x14ac:dyDescent="0.15">
      <c r="B18" s="13"/>
      <c r="C18" s="10"/>
      <c r="D18" s="10"/>
      <c r="E18" s="10"/>
      <c r="F18" s="10"/>
      <c r="G18" s="10"/>
      <c r="H18" s="11"/>
      <c r="I18" s="10"/>
      <c r="J18" s="8"/>
      <c r="K18" s="8"/>
      <c r="L18" s="10"/>
      <c r="M18" s="12"/>
      <c r="N18" s="9"/>
      <c r="O18" s="13"/>
      <c r="P18" s="15"/>
      <c r="Q18" s="13"/>
      <c r="R18" s="13"/>
      <c r="S18" s="14"/>
      <c r="T18" s="13"/>
      <c r="U18" s="13"/>
    </row>
    <row r="19" spans="2:21" x14ac:dyDescent="0.15">
      <c r="B19" s="13"/>
      <c r="C19" s="10"/>
      <c r="D19" s="10"/>
      <c r="E19" s="10"/>
      <c r="F19" s="10"/>
      <c r="G19" s="10"/>
      <c r="H19" s="11"/>
      <c r="I19" s="10"/>
      <c r="J19" s="8"/>
      <c r="K19" s="8"/>
      <c r="L19" s="10"/>
      <c r="M19" s="12"/>
      <c r="N19" s="9"/>
      <c r="O19" s="13"/>
      <c r="P19" s="15"/>
      <c r="Q19" s="13"/>
      <c r="R19" s="13"/>
      <c r="S19" s="14"/>
      <c r="T19" s="13"/>
      <c r="U19" s="13"/>
    </row>
    <row r="20" spans="2:21" x14ac:dyDescent="0.15">
      <c r="B20" s="13"/>
      <c r="C20" s="10"/>
      <c r="D20" s="10"/>
      <c r="E20" s="10"/>
      <c r="F20" s="10"/>
      <c r="G20" s="10"/>
      <c r="H20" s="11"/>
      <c r="I20" s="10"/>
      <c r="J20" s="8"/>
      <c r="K20" s="8"/>
      <c r="L20" s="10"/>
      <c r="M20" s="12"/>
      <c r="N20" s="9"/>
      <c r="O20" s="13"/>
      <c r="P20" s="15"/>
      <c r="Q20" s="13"/>
      <c r="R20" s="13"/>
      <c r="S20" s="14"/>
      <c r="T20" s="13"/>
      <c r="U20" s="13"/>
    </row>
    <row r="21" spans="2:21" x14ac:dyDescent="0.15">
      <c r="B21" s="13"/>
      <c r="C21" s="10"/>
      <c r="D21" s="10"/>
      <c r="E21" s="10"/>
      <c r="F21" s="10"/>
      <c r="G21" s="10"/>
      <c r="H21" s="11"/>
      <c r="I21" s="10"/>
      <c r="J21" s="8"/>
      <c r="K21" s="8"/>
      <c r="L21" s="10"/>
      <c r="M21" s="12"/>
      <c r="N21" s="9"/>
      <c r="O21" s="13"/>
      <c r="P21" s="15"/>
      <c r="Q21" s="13"/>
      <c r="R21" s="13"/>
      <c r="S21" s="14"/>
      <c r="T21" s="13"/>
      <c r="U21" s="13"/>
    </row>
    <row r="22" spans="2:21" x14ac:dyDescent="0.15">
      <c r="B22" s="13"/>
      <c r="C22" s="10"/>
      <c r="D22" s="10"/>
      <c r="E22" s="10"/>
      <c r="F22" s="10"/>
      <c r="G22" s="10"/>
      <c r="H22" s="11"/>
      <c r="I22" s="10"/>
      <c r="J22" s="8"/>
      <c r="K22" s="8"/>
      <c r="L22" s="10"/>
      <c r="M22" s="12"/>
      <c r="N22" s="9"/>
      <c r="O22" s="13"/>
      <c r="P22" s="15"/>
      <c r="Q22" s="13"/>
      <c r="R22" s="13"/>
      <c r="S22" s="14"/>
      <c r="T22" s="13"/>
      <c r="U22" s="13"/>
    </row>
    <row r="23" spans="2:21" x14ac:dyDescent="0.15">
      <c r="B23" s="13"/>
      <c r="C23" s="10"/>
      <c r="D23" s="10"/>
      <c r="E23" s="10"/>
      <c r="F23" s="10"/>
      <c r="G23" s="10"/>
      <c r="H23" s="11"/>
      <c r="I23" s="10"/>
      <c r="J23" s="8"/>
      <c r="K23" s="8"/>
      <c r="L23" s="10"/>
      <c r="M23" s="12"/>
      <c r="N23" s="9"/>
      <c r="O23" s="13"/>
      <c r="P23" s="15"/>
      <c r="Q23" s="13"/>
      <c r="R23" s="13"/>
      <c r="S23" s="14"/>
      <c r="T23" s="13"/>
      <c r="U23" s="13"/>
    </row>
    <row r="24" spans="2:21" x14ac:dyDescent="0.15">
      <c r="B24" s="13"/>
      <c r="C24" s="10"/>
      <c r="D24" s="10"/>
      <c r="E24" s="10"/>
      <c r="F24" s="10"/>
      <c r="G24" s="10"/>
      <c r="H24" s="11"/>
      <c r="I24" s="10"/>
      <c r="J24" s="8"/>
      <c r="K24" s="8"/>
      <c r="L24" s="10"/>
      <c r="M24" s="12"/>
      <c r="N24" s="9"/>
      <c r="O24" s="13"/>
      <c r="P24" s="15"/>
      <c r="Q24" s="13"/>
      <c r="R24" s="13"/>
      <c r="S24" s="14"/>
      <c r="T24" s="13"/>
      <c r="U24" s="13"/>
    </row>
    <row r="25" spans="2:21" x14ac:dyDescent="0.15">
      <c r="B25" s="13"/>
      <c r="C25" s="10"/>
      <c r="D25" s="10"/>
      <c r="E25" s="10"/>
      <c r="F25" s="10"/>
      <c r="G25" s="10"/>
      <c r="H25" s="11"/>
      <c r="I25" s="10"/>
      <c r="J25" s="8"/>
      <c r="K25" s="8"/>
      <c r="L25" s="10"/>
      <c r="M25" s="12"/>
      <c r="N25" s="9"/>
      <c r="O25" s="13"/>
      <c r="P25" s="15"/>
      <c r="Q25" s="13"/>
      <c r="R25" s="13"/>
      <c r="S25" s="14"/>
      <c r="T25" s="13"/>
      <c r="U25" s="13"/>
    </row>
    <row r="26" spans="2:21" x14ac:dyDescent="0.15">
      <c r="B26" s="13"/>
      <c r="C26" s="10"/>
      <c r="D26" s="10"/>
      <c r="E26" s="10"/>
      <c r="F26" s="10"/>
      <c r="G26" s="10"/>
      <c r="H26" s="11"/>
      <c r="I26" s="10"/>
      <c r="J26" s="8"/>
      <c r="K26" s="8"/>
      <c r="L26" s="10"/>
      <c r="M26" s="12"/>
      <c r="N26" s="9"/>
      <c r="O26" s="13"/>
      <c r="P26" s="15"/>
      <c r="Q26" s="13"/>
      <c r="R26" s="13"/>
      <c r="S26" s="14"/>
      <c r="T26" s="13"/>
      <c r="U26" s="13"/>
    </row>
    <row r="27" spans="2:21" x14ac:dyDescent="0.15">
      <c r="B27" s="13"/>
      <c r="C27" s="10"/>
      <c r="D27" s="10"/>
      <c r="E27" s="10"/>
      <c r="F27" s="10"/>
      <c r="G27" s="10"/>
      <c r="H27" s="11"/>
      <c r="I27" s="10"/>
      <c r="J27" s="8"/>
      <c r="K27" s="8"/>
      <c r="L27" s="10"/>
      <c r="M27" s="12"/>
      <c r="N27" s="9"/>
      <c r="O27" s="13"/>
      <c r="P27" s="15"/>
      <c r="Q27" s="13"/>
      <c r="R27" s="13"/>
      <c r="S27" s="14"/>
      <c r="T27" s="13"/>
      <c r="U27" s="13"/>
    </row>
    <row r="28" spans="2:21" x14ac:dyDescent="0.15">
      <c r="B28" s="13"/>
      <c r="C28" s="10"/>
      <c r="D28" s="10"/>
      <c r="E28" s="10"/>
      <c r="F28" s="10"/>
      <c r="G28" s="10"/>
      <c r="H28" s="11"/>
      <c r="I28" s="10"/>
      <c r="J28" s="8"/>
      <c r="K28" s="8"/>
      <c r="L28" s="10"/>
      <c r="M28" s="12"/>
      <c r="N28" s="9"/>
      <c r="O28" s="13"/>
      <c r="P28" s="15"/>
      <c r="Q28" s="13"/>
      <c r="R28" s="13"/>
      <c r="S28" s="14"/>
      <c r="T28" s="13"/>
      <c r="U28" s="13"/>
    </row>
    <row r="29" spans="2:21" x14ac:dyDescent="0.15">
      <c r="B29" s="13"/>
      <c r="C29" s="10"/>
      <c r="D29" s="10"/>
      <c r="E29" s="10"/>
      <c r="F29" s="10"/>
      <c r="G29" s="10"/>
      <c r="H29" s="11"/>
      <c r="I29" s="10"/>
      <c r="J29" s="8"/>
      <c r="K29" s="8"/>
      <c r="L29" s="10"/>
      <c r="M29" s="12"/>
      <c r="N29" s="9"/>
      <c r="O29" s="13"/>
      <c r="P29" s="15"/>
      <c r="Q29" s="13"/>
      <c r="R29" s="13"/>
      <c r="S29" s="14"/>
      <c r="T29" s="13"/>
      <c r="U29" s="13"/>
    </row>
    <row r="30" spans="2:21" x14ac:dyDescent="0.15">
      <c r="B30" s="13"/>
      <c r="C30" s="10"/>
      <c r="D30" s="10"/>
      <c r="E30" s="10"/>
      <c r="F30" s="10"/>
      <c r="G30" s="10"/>
      <c r="H30" s="11"/>
      <c r="I30" s="10"/>
      <c r="J30" s="8"/>
      <c r="K30" s="8"/>
      <c r="L30" s="10"/>
      <c r="M30" s="12"/>
      <c r="N30" s="9"/>
      <c r="O30" s="13"/>
      <c r="P30" s="15"/>
      <c r="Q30" s="13"/>
      <c r="R30" s="13"/>
      <c r="S30" s="14"/>
      <c r="T30" s="13"/>
      <c r="U30" s="13"/>
    </row>
    <row r="31" spans="2:21" x14ac:dyDescent="0.15">
      <c r="B31" s="13"/>
      <c r="C31" s="10"/>
      <c r="D31" s="10"/>
      <c r="E31" s="10"/>
      <c r="F31" s="10"/>
      <c r="G31" s="10"/>
      <c r="H31" s="11"/>
      <c r="I31" s="10"/>
      <c r="J31" s="8"/>
      <c r="K31" s="8"/>
      <c r="L31" s="10"/>
      <c r="M31" s="12"/>
      <c r="N31" s="9"/>
      <c r="O31" s="13"/>
      <c r="P31" s="15"/>
      <c r="Q31" s="13"/>
      <c r="R31" s="13"/>
      <c r="S31" s="14"/>
      <c r="T31" s="13"/>
      <c r="U31" s="13"/>
    </row>
    <row r="32" spans="2:21" x14ac:dyDescent="0.15">
      <c r="B32" s="13"/>
      <c r="C32" s="10"/>
      <c r="D32" s="10"/>
      <c r="E32" s="10"/>
      <c r="F32" s="10"/>
      <c r="G32" s="10"/>
      <c r="H32" s="11"/>
      <c r="I32" s="10"/>
      <c r="J32" s="8"/>
      <c r="K32" s="8"/>
      <c r="L32" s="10"/>
      <c r="M32" s="12"/>
      <c r="N32" s="9"/>
      <c r="O32" s="13"/>
      <c r="P32" s="15"/>
      <c r="Q32" s="13"/>
      <c r="R32" s="13"/>
      <c r="S32" s="14"/>
      <c r="T32" s="13"/>
      <c r="U32" s="13"/>
    </row>
    <row r="33" spans="2:21" x14ac:dyDescent="0.15">
      <c r="B33" s="13"/>
      <c r="C33" s="10"/>
      <c r="D33" s="10"/>
      <c r="E33" s="10"/>
      <c r="F33" s="10"/>
      <c r="G33" s="10"/>
      <c r="H33" s="11"/>
      <c r="I33" s="10"/>
      <c r="J33" s="8"/>
      <c r="K33" s="8"/>
      <c r="L33" s="10"/>
      <c r="M33" s="12"/>
      <c r="N33" s="9"/>
      <c r="O33" s="13"/>
      <c r="P33" s="15"/>
      <c r="Q33" s="13"/>
      <c r="R33" s="13"/>
      <c r="S33" s="14"/>
      <c r="T33" s="13"/>
      <c r="U33" s="13"/>
    </row>
    <row r="34" spans="2:21" x14ac:dyDescent="0.15">
      <c r="B34" s="13"/>
      <c r="C34" s="10"/>
      <c r="D34" s="10"/>
      <c r="E34" s="10"/>
      <c r="F34" s="10"/>
      <c r="G34" s="10"/>
      <c r="H34" s="11"/>
      <c r="I34" s="10"/>
      <c r="J34" s="8"/>
      <c r="K34" s="8"/>
      <c r="L34" s="10"/>
      <c r="M34" s="12"/>
      <c r="N34" s="9"/>
      <c r="O34" s="13"/>
      <c r="P34" s="15"/>
      <c r="Q34" s="13"/>
      <c r="R34" s="13"/>
      <c r="S34" s="14"/>
      <c r="T34" s="13"/>
      <c r="U34" s="13"/>
    </row>
    <row r="35" spans="2:21" x14ac:dyDescent="0.15">
      <c r="B35" s="13"/>
      <c r="C35" s="10"/>
      <c r="D35" s="10"/>
      <c r="E35" s="10"/>
      <c r="F35" s="10"/>
      <c r="G35" s="10"/>
      <c r="H35" s="11"/>
      <c r="I35" s="10"/>
      <c r="J35" s="8"/>
      <c r="K35" s="8"/>
      <c r="L35" s="10"/>
      <c r="M35" s="12"/>
      <c r="N35" s="9"/>
      <c r="O35" s="13"/>
      <c r="P35" s="15"/>
      <c r="Q35" s="13"/>
      <c r="R35" s="13"/>
      <c r="S35" s="14"/>
      <c r="T35" s="13"/>
      <c r="U35" s="13"/>
    </row>
    <row r="36" spans="2:21" x14ac:dyDescent="0.15">
      <c r="B36" s="13"/>
      <c r="C36" s="10"/>
      <c r="D36" s="10"/>
      <c r="E36" s="10"/>
      <c r="F36" s="10"/>
      <c r="G36" s="10"/>
      <c r="H36" s="11"/>
      <c r="I36" s="10"/>
      <c r="J36" s="8"/>
      <c r="K36" s="8"/>
      <c r="L36" s="10"/>
      <c r="M36" s="12"/>
      <c r="N36" s="9"/>
      <c r="O36" s="13"/>
      <c r="P36" s="15"/>
      <c r="Q36" s="13"/>
      <c r="R36" s="13"/>
      <c r="S36" s="14"/>
      <c r="T36" s="13"/>
      <c r="U36" s="13"/>
    </row>
    <row r="37" spans="2:21" x14ac:dyDescent="0.15">
      <c r="B37" s="13"/>
      <c r="C37" s="10"/>
      <c r="D37" s="10"/>
      <c r="E37" s="10"/>
      <c r="F37" s="10"/>
      <c r="G37" s="10"/>
      <c r="H37" s="11"/>
      <c r="I37" s="10"/>
      <c r="J37" s="8"/>
      <c r="K37" s="8"/>
      <c r="L37" s="10"/>
      <c r="M37" s="12"/>
      <c r="N37" s="9"/>
      <c r="O37" s="13"/>
      <c r="P37" s="15"/>
      <c r="Q37" s="13"/>
      <c r="R37" s="13"/>
      <c r="S37" s="14"/>
      <c r="T37" s="13"/>
      <c r="U37" s="13"/>
    </row>
    <row r="38" spans="2:21" x14ac:dyDescent="0.15">
      <c r="B38" s="13"/>
      <c r="C38" s="10"/>
      <c r="D38" s="10"/>
      <c r="E38" s="10"/>
      <c r="F38" s="10"/>
      <c r="G38" s="10"/>
      <c r="H38" s="11"/>
      <c r="I38" s="10"/>
      <c r="J38" s="8"/>
      <c r="K38" s="8"/>
      <c r="L38" s="10"/>
      <c r="M38" s="12"/>
      <c r="N38" s="9"/>
      <c r="O38" s="13"/>
      <c r="P38" s="15"/>
      <c r="Q38" s="13"/>
      <c r="R38" s="13"/>
      <c r="S38" s="14"/>
      <c r="T38" s="13"/>
      <c r="U38" s="13"/>
    </row>
    <row r="39" spans="2:21" x14ac:dyDescent="0.15">
      <c r="B39" s="13"/>
      <c r="C39" s="10"/>
      <c r="D39" s="10"/>
      <c r="E39" s="10"/>
      <c r="F39" s="10"/>
      <c r="G39" s="10"/>
      <c r="H39" s="11"/>
      <c r="I39" s="10"/>
      <c r="J39" s="8"/>
      <c r="K39" s="8"/>
      <c r="L39" s="10"/>
      <c r="M39" s="12"/>
      <c r="N39" s="9"/>
      <c r="O39" s="13"/>
      <c r="P39" s="15"/>
      <c r="Q39" s="13"/>
      <c r="R39" s="13"/>
      <c r="S39" s="14"/>
      <c r="T39" s="13"/>
      <c r="U39" s="13"/>
    </row>
  </sheetData>
  <mergeCells count="1">
    <mergeCell ref="B1:C1"/>
  </mergeCells>
  <phoneticPr fontId="2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configs!$C$1:$C$2</xm:f>
          </x14:formula1>
          <xm:sqref>G8:G39</xm:sqref>
        </x14:dataValidation>
        <x14:dataValidation type="list" allowBlank="1" showInputMessage="1" showErrorMessage="1">
          <x14:formula1>
            <xm:f>configs!$B$1:$B$2</xm:f>
          </x14:formula1>
          <xm:sqref>D8:D39</xm:sqref>
        </x14:dataValidation>
        <x14:dataValidation type="list" allowBlank="1" showInputMessage="1" showErrorMessage="1">
          <x14:formula1>
            <xm:f>configs!$A$1:$A$36</xm:f>
          </x14:formula1>
          <xm:sqref>B40:B42 C8:C39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quate_van</vt:lpstr>
      <vt:lpstr>recap</vt:lpstr>
      <vt:lpstr>pricer_van</vt:lpstr>
      <vt:lpstr>Sheet1</vt:lpstr>
      <vt:lpstr>pricer_combo</vt:lpstr>
      <vt:lpstr>quote_sf</vt:lpstr>
      <vt:lpstr>ref_vol_table</vt:lpstr>
      <vt:lpstr>pricer_sf</vt:lpstr>
      <vt:lpstr>configs</vt:lpstr>
      <vt:lpstr>pricer_digit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2018-06-06T07:01:20Z</dcterms:modified>
</cp:coreProperties>
</file>