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99" i="1" l="1"/>
  <c r="I99" i="1"/>
  <c r="E99" i="1"/>
  <c r="F99" i="1" s="1"/>
  <c r="R98" i="1"/>
  <c r="I98" i="1"/>
  <c r="E98" i="1"/>
  <c r="F98" i="1" s="1"/>
  <c r="R97" i="1"/>
  <c r="I97" i="1"/>
  <c r="E97" i="1"/>
  <c r="F97" i="1" s="1"/>
  <c r="V97" i="1"/>
  <c r="P97" i="1"/>
  <c r="P98" i="1"/>
  <c r="U97" i="1"/>
  <c r="P99" i="1"/>
  <c r="L98" i="1"/>
  <c r="V99" i="1"/>
  <c r="L99" i="1"/>
  <c r="L97" i="1"/>
  <c r="N98" i="1" l="1"/>
  <c r="O98" i="1" s="1"/>
  <c r="T98" i="1" s="1"/>
  <c r="N99" i="1"/>
  <c r="O99" i="1" s="1"/>
  <c r="T99" i="1" s="1"/>
  <c r="N97" i="1"/>
  <c r="O97" i="1" s="1"/>
  <c r="T97" i="1" s="1"/>
  <c r="Y97" i="1"/>
  <c r="R95" i="1"/>
  <c r="I95" i="1"/>
  <c r="N95" i="1" s="1"/>
  <c r="E95" i="1"/>
  <c r="F95" i="1" s="1"/>
  <c r="R94" i="1"/>
  <c r="I94" i="1"/>
  <c r="N94" i="1" s="1"/>
  <c r="E94" i="1"/>
  <c r="F94" i="1" s="1"/>
  <c r="U99" i="1"/>
  <c r="U98" i="1"/>
  <c r="V98" i="1"/>
  <c r="L94" i="1"/>
  <c r="L95" i="1"/>
  <c r="Y98" i="1" l="1"/>
  <c r="Y99" i="1"/>
  <c r="O94" i="1"/>
  <c r="T94" i="1" s="1"/>
  <c r="O95" i="1"/>
  <c r="T95" i="1" s="1"/>
  <c r="P16" i="8"/>
  <c r="V94" i="1"/>
  <c r="V95" i="1"/>
  <c r="U94" i="1"/>
  <c r="U95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V92" i="1"/>
  <c r="U91" i="1"/>
  <c r="L91" i="1"/>
  <c r="U92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6" i="9"/>
  <c r="L57" i="9"/>
  <c r="H58" i="9" l="1"/>
  <c r="O56" i="9"/>
  <c r="O57" i="9"/>
  <c r="L58" i="9"/>
  <c r="O58" i="9" s="1"/>
  <c r="T58" i="9" s="1"/>
  <c r="F56" i="9"/>
  <c r="F57" i="9" s="1"/>
  <c r="F58" i="9" s="1"/>
  <c r="V57" i="9"/>
  <c r="U57" i="9"/>
  <c r="U56" i="9"/>
  <c r="V56" i="9"/>
  <c r="V58" i="9" l="1"/>
  <c r="U58" i="9"/>
  <c r="R89" i="1" l="1"/>
  <c r="I89" i="1"/>
  <c r="E89" i="1"/>
  <c r="F89" i="1" s="1"/>
  <c r="R88" i="1"/>
  <c r="I88" i="1"/>
  <c r="E88" i="1"/>
  <c r="F88" i="1" s="1"/>
  <c r="V89" i="1"/>
  <c r="L89" i="1"/>
  <c r="L88" i="1"/>
  <c r="N89" i="1" l="1"/>
  <c r="O89" i="1" s="1"/>
  <c r="T89" i="1" s="1"/>
  <c r="N88" i="1"/>
  <c r="O88" i="1" s="1"/>
  <c r="T88" i="1" s="1"/>
  <c r="K52" i="9"/>
  <c r="K49" i="9"/>
  <c r="K46" i="9"/>
  <c r="K42" i="9"/>
  <c r="K39" i="9"/>
  <c r="K36" i="9"/>
  <c r="G54" i="9"/>
  <c r="R53" i="9"/>
  <c r="J53" i="9"/>
  <c r="H53" i="9"/>
  <c r="I53" i="9" s="1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L79" i="1"/>
  <c r="L49" i="9"/>
  <c r="L46" i="9"/>
  <c r="L52" i="9"/>
  <c r="U89" i="1"/>
  <c r="P86" i="1"/>
  <c r="V83" i="1"/>
  <c r="U88" i="1"/>
  <c r="V88" i="1"/>
  <c r="L53" i="9"/>
  <c r="L84" i="1"/>
  <c r="U49" i="9"/>
  <c r="V82" i="1"/>
  <c r="L81" i="1"/>
  <c r="U80" i="1"/>
  <c r="Y89" i="1" l="1"/>
  <c r="Y88" i="1"/>
  <c r="H54" i="9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U82" i="1"/>
  <c r="V84" i="1"/>
  <c r="L83" i="1"/>
  <c r="V81" i="1"/>
  <c r="U50" i="9"/>
  <c r="P77" i="1"/>
  <c r="L82" i="1"/>
  <c r="U79" i="1"/>
  <c r="U86" i="1"/>
  <c r="V79" i="1"/>
  <c r="L47" i="9"/>
  <c r="U83" i="1"/>
  <c r="U52" i="9"/>
  <c r="V53" i="9"/>
  <c r="U81" i="1"/>
  <c r="V50" i="9"/>
  <c r="V46" i="9"/>
  <c r="V47" i="9"/>
  <c r="L50" i="9"/>
  <c r="L86" i="1"/>
  <c r="V80" i="1"/>
  <c r="L80" i="1"/>
  <c r="U53" i="9"/>
  <c r="U47" i="9"/>
  <c r="U46" i="9"/>
  <c r="V49" i="9"/>
  <c r="V52" i="9"/>
  <c r="V86" i="1"/>
  <c r="U84" i="1"/>
  <c r="V77" i="1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U77" i="1"/>
  <c r="L77" i="1"/>
  <c r="L74" i="1"/>
  <c r="V75" i="1"/>
  <c r="O48" i="9" l="1"/>
  <c r="T48" i="9" s="1"/>
  <c r="O51" i="9"/>
  <c r="T51" i="9" s="1"/>
  <c r="Y77" i="1"/>
  <c r="O77" i="1"/>
  <c r="T77" i="1" s="1"/>
  <c r="O74" i="1"/>
  <c r="T74" i="1" s="1"/>
  <c r="U74" i="1"/>
  <c r="L75" i="1"/>
  <c r="V74" i="1"/>
  <c r="U75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1" i="1"/>
  <c r="P72" i="1"/>
  <c r="G72" i="1" l="1"/>
  <c r="N72" i="1"/>
  <c r="N71" i="1"/>
  <c r="R69" i="1"/>
  <c r="I69" i="1"/>
  <c r="E69" i="1"/>
  <c r="F69" i="1" s="1"/>
  <c r="R68" i="1"/>
  <c r="I68" i="1"/>
  <c r="E68" i="1"/>
  <c r="F68" i="1" s="1"/>
  <c r="V71" i="1"/>
  <c r="L72" i="1"/>
  <c r="L71" i="1"/>
  <c r="U71" i="1"/>
  <c r="V72" i="1"/>
  <c r="L68" i="1"/>
  <c r="U72" i="1"/>
  <c r="L69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U68" i="1"/>
  <c r="V68" i="1"/>
  <c r="U69" i="1"/>
  <c r="V69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V65" i="1"/>
  <c r="U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58" i="1"/>
  <c r="P59" i="1"/>
  <c r="P61" i="1"/>
  <c r="N61" i="1" l="1"/>
  <c r="G58" i="1"/>
  <c r="G59" i="1"/>
  <c r="N59" i="1"/>
  <c r="N58" i="1"/>
  <c r="V58" i="1"/>
  <c r="V61" i="1"/>
  <c r="L58" i="1"/>
  <c r="U58" i="1"/>
  <c r="U59" i="1"/>
  <c r="L59" i="1"/>
  <c r="U61" i="1"/>
  <c r="L61" i="1"/>
  <c r="V59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32" i="9"/>
  <c r="L57" i="1"/>
  <c r="P54" i="1"/>
  <c r="L39" i="9"/>
  <c r="P26" i="9"/>
  <c r="P51" i="1"/>
  <c r="P53" i="1"/>
  <c r="P52" i="1"/>
  <c r="V57" i="1"/>
  <c r="P50" i="1"/>
  <c r="P29" i="9"/>
  <c r="P47" i="1"/>
  <c r="P55" i="1"/>
  <c r="L48" i="1"/>
  <c r="P31" i="9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U48" i="1"/>
  <c r="V55" i="1"/>
  <c r="U52" i="1"/>
  <c r="V40" i="9"/>
  <c r="U50" i="1"/>
  <c r="U43" i="9"/>
  <c r="L47" i="1"/>
  <c r="L40" i="9"/>
  <c r="P27" i="9"/>
  <c r="U39" i="9"/>
  <c r="L53" i="1"/>
  <c r="L51" i="1"/>
  <c r="U36" i="9"/>
  <c r="V48" i="1"/>
  <c r="V36" i="9"/>
  <c r="V51" i="1"/>
  <c r="V52" i="1"/>
  <c r="L55" i="1"/>
  <c r="V42" i="9"/>
  <c r="L36" i="9"/>
  <c r="L42" i="9"/>
  <c r="U55" i="1"/>
  <c r="U42" i="9"/>
  <c r="U47" i="1"/>
  <c r="L52" i="1"/>
  <c r="U53" i="1"/>
  <c r="V45" i="1"/>
  <c r="P30" i="9"/>
  <c r="V54" i="1"/>
  <c r="U37" i="9"/>
  <c r="L54" i="1"/>
  <c r="V50" i="1"/>
  <c r="V39" i="9"/>
  <c r="V37" i="9"/>
  <c r="U40" i="9"/>
  <c r="L43" i="9"/>
  <c r="U54" i="1"/>
  <c r="V47" i="1"/>
  <c r="U51" i="1"/>
  <c r="L50" i="1"/>
  <c r="V53" i="1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37" i="9"/>
  <c r="U45" i="1"/>
  <c r="V43" i="9"/>
  <c r="L45" i="1"/>
  <c r="V43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L41" i="1"/>
  <c r="P8" i="1"/>
  <c r="U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L38" i="1"/>
  <c r="P35" i="1"/>
  <c r="P36" i="1"/>
  <c r="U38" i="1"/>
  <c r="V38" i="1"/>
  <c r="Y38" i="1" l="1"/>
  <c r="O38" i="1"/>
  <c r="T38" i="1" s="1"/>
  <c r="G36" i="1"/>
  <c r="G35" i="1"/>
  <c r="N36" i="1"/>
  <c r="N35" i="1"/>
  <c r="R34" i="1"/>
  <c r="I34" i="1"/>
  <c r="E34" i="1"/>
  <c r="F34" i="1" s="1"/>
  <c r="P34" i="1"/>
  <c r="V36" i="1"/>
  <c r="U36" i="1"/>
  <c r="L36" i="1"/>
  <c r="V35" i="1"/>
  <c r="U35" i="1"/>
  <c r="L35" i="1"/>
  <c r="O35" i="1" l="1"/>
  <c r="T35" i="1" s="1"/>
  <c r="Y36" i="1"/>
  <c r="Y35" i="1"/>
  <c r="O36" i="1"/>
  <c r="T36" i="1" s="1"/>
  <c r="N34" i="1"/>
  <c r="V34" i="1"/>
  <c r="U34" i="1"/>
  <c r="L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U31" i="1"/>
  <c r="V29" i="1"/>
  <c r="U29" i="1"/>
  <c r="L31" i="1"/>
  <c r="L32" i="1"/>
  <c r="V31" i="1"/>
  <c r="U32" i="1"/>
  <c r="V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V27" i="1"/>
  <c r="P19" i="1"/>
  <c r="L23" i="1"/>
  <c r="L27" i="1"/>
  <c r="P21" i="1"/>
  <c r="P22" i="1"/>
  <c r="P20" i="1"/>
  <c r="U27" i="1"/>
  <c r="L25" i="1"/>
  <c r="P18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U20" i="1"/>
  <c r="V18" i="1"/>
  <c r="V20" i="1"/>
  <c r="V22" i="1"/>
  <c r="V23" i="1"/>
  <c r="U21" i="1"/>
  <c r="L19" i="1"/>
  <c r="V25" i="1"/>
  <c r="U23" i="1"/>
  <c r="L22" i="1"/>
  <c r="U25" i="1"/>
  <c r="U18" i="1"/>
  <c r="L18" i="1"/>
  <c r="L20" i="1"/>
  <c r="L21" i="1"/>
  <c r="V19" i="1"/>
  <c r="V21" i="1"/>
  <c r="U19" i="1"/>
  <c r="U22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K31" i="6"/>
  <c r="K30" i="6"/>
  <c r="V16" i="1"/>
  <c r="N30" i="6" l="1"/>
  <c r="L16" i="1"/>
  <c r="U15" i="1"/>
  <c r="U16" i="1"/>
  <c r="L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4" i="9"/>
  <c r="P33" i="9"/>
  <c r="L32" i="9"/>
  <c r="U32" i="9"/>
  <c r="O32" i="9" l="1"/>
  <c r="N34" i="9"/>
  <c r="U33" i="9"/>
  <c r="V33" i="9"/>
  <c r="L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L30" i="9"/>
  <c r="L29" i="9"/>
  <c r="V27" i="9"/>
  <c r="U26" i="9"/>
  <c r="U29" i="9"/>
  <c r="U27" i="9"/>
  <c r="U30" i="9"/>
  <c r="L26" i="9"/>
  <c r="V26" i="9"/>
  <c r="L27" i="9"/>
  <c r="V30" i="9"/>
  <c r="V29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V8" i="1"/>
  <c r="L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U18" i="9"/>
  <c r="L21" i="9"/>
  <c r="L18" i="9"/>
  <c r="U21" i="9"/>
  <c r="V22" i="9"/>
  <c r="V21" i="9"/>
  <c r="U19" i="9"/>
  <c r="L22" i="9"/>
  <c r="V18" i="9"/>
  <c r="U22" i="9"/>
  <c r="L19" i="9"/>
  <c r="V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4" i="8"/>
  <c r="K13" i="8"/>
  <c r="K11" i="8"/>
  <c r="K15" i="8"/>
  <c r="P14" i="9"/>
  <c r="K16" i="8"/>
  <c r="K12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2" i="8"/>
  <c r="X13" i="8"/>
  <c r="L14" i="9"/>
  <c r="U14" i="9"/>
  <c r="S12" i="8"/>
  <c r="S15" i="8"/>
  <c r="S11" i="8"/>
  <c r="X14" i="8"/>
  <c r="V14" i="9"/>
  <c r="Y11" i="8"/>
  <c r="Y12" i="8"/>
  <c r="S16" i="8"/>
  <c r="Y14" i="8"/>
  <c r="S13" i="8"/>
  <c r="X15" i="8"/>
  <c r="S14" i="8"/>
  <c r="Y13" i="8"/>
  <c r="Y16" i="8"/>
  <c r="X11" i="8"/>
  <c r="Y15" i="8"/>
  <c r="X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10" i="7"/>
  <c r="O9" i="7"/>
  <c r="T9" i="7"/>
  <c r="U9" i="7"/>
  <c r="O10" i="7"/>
  <c r="H8" i="7"/>
  <c r="H8" i="8"/>
  <c r="T10" i="7"/>
  <c r="U8" i="8" l="1"/>
  <c r="Q9" i="7"/>
  <c r="R9" i="7" s="1"/>
  <c r="S9" i="7" s="1"/>
  <c r="Q10" i="7"/>
  <c r="R10" i="7" s="1"/>
  <c r="S10" i="7" s="1"/>
  <c r="Q8" i="7"/>
  <c r="X9" i="8"/>
  <c r="U8" i="7"/>
  <c r="S9" i="8"/>
  <c r="T8" i="7"/>
  <c r="Y9" i="8"/>
  <c r="O8" i="7"/>
  <c r="K8" i="8"/>
  <c r="V9" i="8" l="1"/>
  <c r="W9" i="8" s="1"/>
  <c r="R8" i="7"/>
  <c r="S8" i="7" s="1"/>
  <c r="X8" i="8"/>
  <c r="Y8" i="8"/>
  <c r="S8" i="8"/>
  <c r="V8" i="8" l="1"/>
  <c r="W8" i="8" s="1"/>
  <c r="G12" i="9" l="1"/>
  <c r="G13" i="9" s="1"/>
  <c r="V11" i="9"/>
  <c r="V12" i="9"/>
  <c r="L12" i="9"/>
  <c r="U12" i="9"/>
  <c r="U11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<sst xmlns="http://schemas.openxmlformats.org/spreadsheetml/2006/main" count="2243" uniqueCount="313">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</sst>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2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12035</v>
        <stp/>
        <stp>ru1901</stp>
        <stp>LastPrice</stp>
        <tr r="P36" s="1"/>
        <tr r="P35" s="1"/>
      </tp>
      <tp>
        <v>3212</v>
        <stp/>
        <stp>bu1812</stp>
        <stp>LastPrice</stp>
        <tr r="P47" s="1"/>
      </tp>
      <tp>
        <v>14190</v>
        <stp/>
        <stp>al1811</stp>
        <stp>LastPrice</stp>
        <tr r="P20" s="1"/>
        <tr r="P31" s="1"/>
        <tr r="P29" s="1"/>
        <tr r="P32" s="1"/>
      </tp>
      <tp>
        <v>14105</v>
        <stp/>
        <stp>al1810</stp>
        <stp>LastPrice</stp>
        <tr r="P22" s="1"/>
        <tr r="P19" s="1"/>
        <tr r="P61" s="1"/>
      </tp>
      <tp>
        <v>19430</v>
        <stp/>
        <stp>pb1809</stp>
        <stp>LastPrice</stp>
        <tr r="P27" s="1"/>
      </tp>
      <tp t="b">
        <v>0</v>
        <stp/>
        <stp>al1809</stp>
        <stp>LastPrice</stp>
        <tr r="P18" s="1"/>
        <tr r="P21" s="1"/>
      </tp>
      <tp t="b">
        <v>0</v>
        <stp/>
        <stp>cf901</stp>
        <stp>LastPrice</stp>
        <tr r="P72" s="1"/>
        <tr r="P71" s="1"/>
      </tp>
      <tp t="b">
        <v>0</v>
        <stp/>
        <stp>al1808</stp>
        <stp>LastPrice</stp>
        <tr r="P8" s="1"/>
      </tp>
      <tp>
        <v>2045</v>
        <stp/>
        <stp>j1809</stp>
        <stp>LastPrice</stp>
        <tr r="P99" s="1"/>
        <tr r="P98" s="1"/>
        <tr r="P97" s="1"/>
      </tp>
      <tp t="b">
        <v>0</v>
        <stp/>
        <stp>i1809</stp>
        <stp>LastPrice</stp>
        <tr r="P11" s="9"/>
        <tr r="P34" s="1"/>
        <tr r="P77" s="1"/>
      </tp>
      <tp t="b">
        <v>0</v>
        <stp/>
        <stp>ap901</stp>
        <stp>LastPrice</stp>
        <tr r="P59" s="1"/>
      </tp>
      <tp t="b">
        <v>0</v>
        <stp/>
        <stp>ap810</stp>
        <stp>LastPrice</stp>
        <tr r="P58" s="1"/>
      </tp>
      <tp t="b">
        <v>0</v>
        <stp/>
        <stp>hc1810</stp>
        <stp>LastPrice</stp>
        <tr r="P86" s="1"/>
      </tp>
      <tp>
        <v>3116</v>
        <stp/>
        <stp>m1809</stp>
        <stp>LastPrice</stp>
        <tr r="P21" s="9"/>
        <tr r="P18" s="9"/>
      </tp>
      <tp t="b">
        <v>0</v>
        <stp/>
        <stp>rb1810</stp>
        <stp>LastPrice</stp>
        <tr r="P14" s="9"/>
        <tr r="P28" s="9"/>
        <tr r="P33" s="9"/>
        <tr r="P34" s="9"/>
        <tr r="P30" s="9"/>
        <tr r="P27" s="9"/>
        <tr r="P31" s="9"/>
        <tr r="P55" s="1"/>
        <tr r="P29" s="9"/>
        <tr r="P50" s="1"/>
        <tr r="P52" s="1"/>
        <tr r="P53" s="1"/>
        <tr r="P51" s="1"/>
        <tr r="P26" s="9"/>
        <tr r="P54" s="1"/>
        <tr r="P32" s="9"/>
      </tp>
      <tp t="b"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0"/>
  <sheetViews>
    <sheetView tabSelected="1" zoomScaleNormal="100" workbookViewId="0">
      <pane ySplit="8" topLeftCell="A148" activePane="bottomLeft" state="frozen"/>
      <selection pane="bottomLeft" activeCell="X165" sqref="X165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4" t="s">
        <v>158</v>
      </c>
      <c r="C1" s="134"/>
      <c r="D1" s="134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43285</v>
      </c>
      <c r="E30" s="93">
        <f t="shared" ref="E30:E31" ca="1" si="1">D30+G30</f>
        <v>43344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43285</v>
      </c>
      <c r="E31" s="93">
        <f t="shared" ca="1" si="1"/>
        <v>43344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1" t="s">
        <v>37</v>
      </c>
      <c r="C1" s="16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43285</v>
      </c>
      <c r="K8" s="21">
        <f ca="1">J8+L8</f>
        <v>43315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43285</v>
      </c>
      <c r="K9" s="8">
        <f ca="1">J9+L9</f>
        <v>43315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43285</v>
      </c>
      <c r="K10" s="8">
        <f ca="1">J10+L10</f>
        <v>43315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2" activePane="bottomLeft" state="frozen"/>
      <selection pane="bottomLeft" activeCell="Q88" sqref="Q88:R8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4" t="s">
        <v>118</v>
      </c>
      <c r="C1" s="154"/>
    </row>
    <row r="2" spans="2:20" ht="11.25" thickTop="1" x14ac:dyDescent="0.15"/>
    <row r="3" spans="2:20" ht="11.25" thickBot="1" x14ac:dyDescent="0.2">
      <c r="B3" s="153" t="s">
        <v>119</v>
      </c>
      <c r="C3" s="153"/>
      <c r="D3" s="153"/>
      <c r="E3" s="153"/>
      <c r="G3" s="152" t="s">
        <v>120</v>
      </c>
      <c r="H3" s="152"/>
      <c r="I3" s="152"/>
      <c r="J3" s="152"/>
      <c r="L3" s="153" t="s">
        <v>165</v>
      </c>
      <c r="M3" s="153"/>
      <c r="N3" s="153"/>
      <c r="O3" s="153"/>
      <c r="Q3" s="152" t="s">
        <v>166</v>
      </c>
      <c r="R3" s="152"/>
      <c r="S3" s="152"/>
      <c r="T3" s="152"/>
    </row>
    <row r="4" spans="2:20" ht="12" thickTop="1" thickBot="1" x14ac:dyDescent="0.2">
      <c r="B4" s="145" t="s">
        <v>121</v>
      </c>
      <c r="C4" s="145"/>
      <c r="D4" s="145"/>
      <c r="E4" s="145"/>
      <c r="G4" s="145" t="s">
        <v>34</v>
      </c>
      <c r="H4" s="145"/>
      <c r="I4" s="145"/>
      <c r="J4" s="145"/>
      <c r="L4" s="145" t="s">
        <v>121</v>
      </c>
      <c r="M4" s="145"/>
      <c r="N4" s="145"/>
      <c r="O4" s="145"/>
      <c r="Q4" s="145" t="s">
        <v>34</v>
      </c>
      <c r="R4" s="145"/>
      <c r="S4" s="145"/>
      <c r="T4" s="145"/>
    </row>
    <row r="5" spans="2:20" ht="15" customHeight="1" thickTop="1" x14ac:dyDescent="0.15">
      <c r="B5" s="149" t="s">
        <v>122</v>
      </c>
      <c r="C5" s="149"/>
      <c r="D5" s="155"/>
      <c r="E5" s="156"/>
      <c r="G5" s="149" t="s">
        <v>123</v>
      </c>
      <c r="H5" s="149"/>
      <c r="I5" s="103"/>
      <c r="J5" s="104"/>
      <c r="L5" s="101" t="s">
        <v>122</v>
      </c>
      <c r="M5" s="102"/>
      <c r="N5" s="103"/>
      <c r="O5" s="104"/>
      <c r="Q5" s="149" t="s">
        <v>123</v>
      </c>
      <c r="R5" s="149"/>
      <c r="S5" s="103"/>
      <c r="T5" s="104"/>
    </row>
    <row r="6" spans="2:20" x14ac:dyDescent="0.15">
      <c r="B6" s="149" t="s">
        <v>124</v>
      </c>
      <c r="C6" s="149"/>
      <c r="D6" s="150" t="s">
        <v>125</v>
      </c>
      <c r="E6" s="151"/>
      <c r="G6" s="149" t="s">
        <v>126</v>
      </c>
      <c r="H6" s="149"/>
      <c r="I6" s="150"/>
      <c r="J6" s="151"/>
      <c r="L6" s="149" t="s">
        <v>124</v>
      </c>
      <c r="M6" s="149"/>
      <c r="N6" s="150" t="s">
        <v>125</v>
      </c>
      <c r="O6" s="151"/>
      <c r="Q6" s="149" t="s">
        <v>126</v>
      </c>
      <c r="R6" s="149"/>
      <c r="S6" s="150"/>
      <c r="T6" s="151"/>
    </row>
    <row r="7" spans="2:20" ht="2.25" customHeight="1" x14ac:dyDescent="0.15">
      <c r="B7" s="149" t="s">
        <v>127</v>
      </c>
      <c r="C7" s="149"/>
      <c r="D7" s="150" t="s">
        <v>125</v>
      </c>
      <c r="E7" s="151"/>
      <c r="G7" s="149" t="s">
        <v>128</v>
      </c>
      <c r="H7" s="149"/>
      <c r="I7" s="150"/>
      <c r="J7" s="151"/>
      <c r="L7" s="149" t="s">
        <v>127</v>
      </c>
      <c r="M7" s="149"/>
      <c r="N7" s="150" t="s">
        <v>125</v>
      </c>
      <c r="O7" s="151"/>
      <c r="Q7" s="149" t="s">
        <v>128</v>
      </c>
      <c r="R7" s="149"/>
      <c r="S7" s="150"/>
      <c r="T7" s="151"/>
    </row>
    <row r="8" spans="2:20" hidden="1" x14ac:dyDescent="0.15">
      <c r="B8" s="149" t="s">
        <v>129</v>
      </c>
      <c r="C8" s="149"/>
      <c r="D8" s="150">
        <f>D13*D15</f>
        <v>305000</v>
      </c>
      <c r="E8" s="151"/>
      <c r="G8" s="149" t="s">
        <v>130</v>
      </c>
      <c r="H8" s="149"/>
      <c r="I8" s="150"/>
      <c r="J8" s="151"/>
      <c r="L8" s="149" t="s">
        <v>129</v>
      </c>
      <c r="M8" s="149"/>
      <c r="N8" s="150">
        <f>N14*N16</f>
        <v>305000</v>
      </c>
      <c r="O8" s="151"/>
      <c r="Q8" s="149" t="s">
        <v>130</v>
      </c>
      <c r="R8" s="149"/>
      <c r="S8" s="150"/>
      <c r="T8" s="151"/>
    </row>
    <row r="9" spans="2:20" hidden="1" x14ac:dyDescent="0.15">
      <c r="B9" s="149" t="s">
        <v>131</v>
      </c>
      <c r="C9" s="149"/>
      <c r="D9" s="150" t="s">
        <v>132</v>
      </c>
      <c r="E9" s="151"/>
      <c r="G9" s="149" t="s">
        <v>133</v>
      </c>
      <c r="H9" s="149"/>
      <c r="I9" s="150"/>
      <c r="J9" s="151"/>
      <c r="L9" s="149" t="s">
        <v>131</v>
      </c>
      <c r="M9" s="149"/>
      <c r="N9" s="150" t="s">
        <v>132</v>
      </c>
      <c r="O9" s="151"/>
      <c r="Q9" s="149" t="s">
        <v>133</v>
      </c>
      <c r="R9" s="149"/>
      <c r="S9" s="150"/>
      <c r="T9" s="151"/>
    </row>
    <row r="10" spans="2:20" hidden="1" x14ac:dyDescent="0.15">
      <c r="B10" s="149" t="s">
        <v>134</v>
      </c>
      <c r="C10" s="149"/>
      <c r="D10" s="150">
        <v>43084</v>
      </c>
      <c r="E10" s="151"/>
      <c r="G10" s="105" t="s">
        <v>135</v>
      </c>
      <c r="H10" s="105"/>
      <c r="I10" s="150"/>
      <c r="J10" s="151"/>
      <c r="L10" s="149" t="s">
        <v>134</v>
      </c>
      <c r="M10" s="149"/>
      <c r="N10" s="150">
        <v>43084</v>
      </c>
      <c r="O10" s="151"/>
      <c r="Q10" s="105" t="s">
        <v>135</v>
      </c>
      <c r="R10" s="105"/>
      <c r="S10" s="150"/>
      <c r="T10" s="151"/>
    </row>
    <row r="11" spans="2:20" hidden="1" x14ac:dyDescent="0.15">
      <c r="B11" s="149" t="s">
        <v>136</v>
      </c>
      <c r="C11" s="149"/>
      <c r="D11" s="150">
        <v>3935</v>
      </c>
      <c r="E11" s="151"/>
      <c r="G11" s="149" t="s">
        <v>137</v>
      </c>
      <c r="H11" s="149"/>
      <c r="I11" s="150"/>
      <c r="J11" s="151"/>
      <c r="L11" s="149" t="s">
        <v>136</v>
      </c>
      <c r="M11" s="149"/>
      <c r="N11" s="150">
        <v>3935</v>
      </c>
      <c r="O11" s="151"/>
      <c r="Q11" s="149" t="s">
        <v>137</v>
      </c>
      <c r="R11" s="149"/>
      <c r="S11" s="150"/>
      <c r="T11" s="151"/>
    </row>
    <row r="12" spans="2:20" hidden="1" x14ac:dyDescent="0.15">
      <c r="B12" s="149" t="s">
        <v>138</v>
      </c>
      <c r="C12" s="149"/>
      <c r="D12" s="150">
        <v>3800</v>
      </c>
      <c r="E12" s="151"/>
      <c r="G12" s="149" t="s">
        <v>139</v>
      </c>
      <c r="H12" s="149"/>
      <c r="I12" s="150"/>
      <c r="J12" s="151"/>
      <c r="L12" s="149" t="s">
        <v>163</v>
      </c>
      <c r="M12" s="149"/>
      <c r="N12" s="150">
        <v>3800</v>
      </c>
      <c r="O12" s="151"/>
      <c r="Q12" s="149" t="s">
        <v>167</v>
      </c>
      <c r="R12" s="149"/>
      <c r="S12" s="150"/>
      <c r="T12" s="151"/>
    </row>
    <row r="13" spans="2:20" hidden="1" x14ac:dyDescent="0.15">
      <c r="B13" s="149" t="s">
        <v>140</v>
      </c>
      <c r="C13" s="149"/>
      <c r="D13" s="150">
        <v>61</v>
      </c>
      <c r="E13" s="151"/>
      <c r="G13" s="149" t="s">
        <v>141</v>
      </c>
      <c r="H13" s="149"/>
      <c r="I13" s="150"/>
      <c r="J13" s="151"/>
      <c r="L13" s="149" t="s">
        <v>164</v>
      </c>
      <c r="M13" s="149"/>
      <c r="N13" s="150">
        <v>3800</v>
      </c>
      <c r="O13" s="151"/>
      <c r="Q13" s="149" t="s">
        <v>168</v>
      </c>
      <c r="R13" s="149"/>
      <c r="S13" s="150"/>
      <c r="T13" s="151"/>
    </row>
    <row r="14" spans="2:20" hidden="1" x14ac:dyDescent="0.15">
      <c r="B14" s="149" t="s">
        <v>142</v>
      </c>
      <c r="C14" s="149"/>
      <c r="D14" s="150" t="s">
        <v>143</v>
      </c>
      <c r="E14" s="151"/>
      <c r="G14" s="149" t="s">
        <v>144</v>
      </c>
      <c r="H14" s="149"/>
      <c r="I14" s="106"/>
      <c r="J14" s="107"/>
      <c r="L14" s="149" t="s">
        <v>140</v>
      </c>
      <c r="M14" s="149"/>
      <c r="N14" s="150">
        <v>61</v>
      </c>
      <c r="O14" s="151"/>
      <c r="Q14" s="149" t="s">
        <v>141</v>
      </c>
      <c r="R14" s="149"/>
      <c r="S14" s="150"/>
      <c r="T14" s="151"/>
    </row>
    <row r="15" spans="2:20" hidden="1" x14ac:dyDescent="0.15">
      <c r="B15" s="149" t="s">
        <v>145</v>
      </c>
      <c r="C15" s="149"/>
      <c r="D15" s="150">
        <v>5000</v>
      </c>
      <c r="E15" s="151"/>
      <c r="G15" s="149" t="s">
        <v>146</v>
      </c>
      <c r="H15" s="149"/>
      <c r="I15" s="150"/>
      <c r="J15" s="151"/>
      <c r="L15" s="149" t="s">
        <v>142</v>
      </c>
      <c r="M15" s="149"/>
      <c r="N15" s="150" t="s">
        <v>143</v>
      </c>
      <c r="O15" s="151"/>
      <c r="Q15" s="149" t="s">
        <v>144</v>
      </c>
      <c r="R15" s="149"/>
      <c r="S15" s="106"/>
      <c r="T15" s="107"/>
    </row>
    <row r="16" spans="2:20" ht="11.25" hidden="1" thickBot="1" x14ac:dyDescent="0.2">
      <c r="B16" s="146" t="s">
        <v>147</v>
      </c>
      <c r="C16" s="146"/>
      <c r="D16" s="147" t="s">
        <v>148</v>
      </c>
      <c r="E16" s="148"/>
      <c r="G16" s="146" t="s">
        <v>149</v>
      </c>
      <c r="H16" s="146"/>
      <c r="I16" s="147"/>
      <c r="J16" s="148"/>
      <c r="L16" s="149" t="s">
        <v>145</v>
      </c>
      <c r="M16" s="149"/>
      <c r="N16" s="150">
        <v>5000</v>
      </c>
      <c r="O16" s="151"/>
      <c r="Q16" s="149" t="s">
        <v>146</v>
      </c>
      <c r="R16" s="149"/>
      <c r="S16" s="150"/>
      <c r="T16" s="151"/>
    </row>
    <row r="17" spans="2:25" ht="12" hidden="1" thickTop="1" thickBot="1" x14ac:dyDescent="0.2">
      <c r="L17" s="146" t="s">
        <v>147</v>
      </c>
      <c r="M17" s="146"/>
      <c r="N17" s="147" t="s">
        <v>148</v>
      </c>
      <c r="O17" s="148"/>
      <c r="Q17" s="146" t="s">
        <v>149</v>
      </c>
      <c r="R17" s="146"/>
      <c r="S17" s="147"/>
      <c r="T17" s="14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2" t="s">
        <v>219</v>
      </c>
      <c r="C22" s="142"/>
      <c r="D22" s="142"/>
      <c r="E22" s="142"/>
      <c r="G22" s="142" t="s">
        <v>188</v>
      </c>
      <c r="H22" s="142"/>
      <c r="I22" s="142"/>
      <c r="J22" s="142"/>
      <c r="L22" s="145" t="s">
        <v>188</v>
      </c>
      <c r="M22" s="145"/>
      <c r="N22" s="145"/>
      <c r="O22" s="145"/>
      <c r="Q22" s="142" t="s">
        <v>187</v>
      </c>
      <c r="R22" s="142"/>
      <c r="S22" s="142"/>
      <c r="T22" s="142"/>
      <c r="V22" s="145" t="s">
        <v>188</v>
      </c>
      <c r="W22" s="145"/>
      <c r="X22" s="145"/>
      <c r="Y22" s="145"/>
    </row>
    <row r="23" spans="2:25" ht="12" thickTop="1" x14ac:dyDescent="0.15">
      <c r="B23" s="135" t="s">
        <v>122</v>
      </c>
      <c r="C23" s="135"/>
      <c r="D23" s="141">
        <v>43209</v>
      </c>
      <c r="E23" s="143"/>
      <c r="G23" s="135" t="s">
        <v>122</v>
      </c>
      <c r="H23" s="135"/>
      <c r="I23" s="141">
        <f ca="1">TODAY()</f>
        <v>43285</v>
      </c>
      <c r="J23" s="143"/>
      <c r="L23" s="135" t="s">
        <v>122</v>
      </c>
      <c r="M23" s="135"/>
      <c r="N23" s="141">
        <f ca="1">TODAY()</f>
        <v>43285</v>
      </c>
      <c r="O23" s="143"/>
      <c r="Q23" s="135" t="s">
        <v>122</v>
      </c>
      <c r="R23" s="135"/>
      <c r="S23" s="141">
        <f ca="1">TODAY()-1</f>
        <v>43284</v>
      </c>
      <c r="T23" s="143"/>
      <c r="V23" s="135" t="s">
        <v>122</v>
      </c>
      <c r="W23" s="135"/>
      <c r="X23" s="141">
        <f ca="1">TODAY()-1</f>
        <v>43284</v>
      </c>
      <c r="Y23" s="143"/>
    </row>
    <row r="24" spans="2:25" ht="11.25" x14ac:dyDescent="0.15">
      <c r="B24" s="135" t="s">
        <v>124</v>
      </c>
      <c r="C24" s="135"/>
      <c r="D24" s="136" t="s">
        <v>185</v>
      </c>
      <c r="E24" s="137"/>
      <c r="G24" s="135" t="s">
        <v>124</v>
      </c>
      <c r="H24" s="135"/>
      <c r="I24" s="136" t="s">
        <v>185</v>
      </c>
      <c r="J24" s="137"/>
      <c r="L24" s="135" t="s">
        <v>124</v>
      </c>
      <c r="M24" s="135"/>
      <c r="N24" s="136" t="s">
        <v>36</v>
      </c>
      <c r="O24" s="137"/>
      <c r="Q24" s="135" t="s">
        <v>124</v>
      </c>
      <c r="R24" s="135"/>
      <c r="S24" s="136" t="s">
        <v>36</v>
      </c>
      <c r="T24" s="137"/>
      <c r="V24" s="135" t="s">
        <v>124</v>
      </c>
      <c r="W24" s="135"/>
      <c r="X24" s="136" t="s">
        <v>36</v>
      </c>
      <c r="Y24" s="137"/>
    </row>
    <row r="25" spans="2:25" ht="11.25" x14ac:dyDescent="0.15">
      <c r="B25" s="135" t="s">
        <v>127</v>
      </c>
      <c r="C25" s="135"/>
      <c r="D25" s="136" t="s">
        <v>220</v>
      </c>
      <c r="E25" s="137"/>
      <c r="G25" s="135" t="s">
        <v>127</v>
      </c>
      <c r="H25" s="135"/>
      <c r="I25" s="136" t="s">
        <v>5</v>
      </c>
      <c r="J25" s="137"/>
      <c r="L25" s="135" t="s">
        <v>127</v>
      </c>
      <c r="M25" s="135"/>
      <c r="N25" s="136" t="s">
        <v>193</v>
      </c>
      <c r="O25" s="137"/>
      <c r="Q25" s="135" t="s">
        <v>127</v>
      </c>
      <c r="R25" s="135"/>
      <c r="S25" s="136" t="s">
        <v>186</v>
      </c>
      <c r="T25" s="137"/>
      <c r="V25" s="135" t="s">
        <v>127</v>
      </c>
      <c r="W25" s="135"/>
      <c r="X25" s="136" t="s">
        <v>186</v>
      </c>
      <c r="Y25" s="137"/>
    </row>
    <row r="26" spans="2:25" ht="11.25" x14ac:dyDescent="0.15">
      <c r="B26" s="135" t="s">
        <v>129</v>
      </c>
      <c r="C26" s="135"/>
      <c r="D26" s="136">
        <f>D31*D33</f>
        <v>290000</v>
      </c>
      <c r="E26" s="137"/>
      <c r="G26" s="135" t="s">
        <v>179</v>
      </c>
      <c r="H26" s="135"/>
      <c r="I26" s="136">
        <f>I31*I33</f>
        <v>271800</v>
      </c>
      <c r="J26" s="137"/>
      <c r="L26" s="135" t="s">
        <v>129</v>
      </c>
      <c r="M26" s="135"/>
      <c r="N26" s="136">
        <f>N31*N33</f>
        <v>275000</v>
      </c>
      <c r="O26" s="137"/>
      <c r="Q26" s="135" t="s">
        <v>129</v>
      </c>
      <c r="R26" s="135"/>
      <c r="S26" s="136">
        <f>S31*S33</f>
        <v>235799.99999999997</v>
      </c>
      <c r="T26" s="137"/>
      <c r="V26" s="135" t="s">
        <v>129</v>
      </c>
      <c r="W26" s="135"/>
      <c r="X26" s="136">
        <f>X31*X33</f>
        <v>235799.99999999997</v>
      </c>
      <c r="Y26" s="137"/>
    </row>
    <row r="27" spans="2:25" ht="11.25" x14ac:dyDescent="0.15">
      <c r="B27" s="135" t="s">
        <v>131</v>
      </c>
      <c r="C27" s="135"/>
      <c r="D27" s="136" t="s">
        <v>190</v>
      </c>
      <c r="E27" s="137"/>
      <c r="F27" s="100">
        <f>1160*250</f>
        <v>290000</v>
      </c>
      <c r="G27" s="135" t="s">
        <v>131</v>
      </c>
      <c r="H27" s="135"/>
      <c r="I27" s="136" t="s">
        <v>195</v>
      </c>
      <c r="J27" s="137"/>
      <c r="L27" s="135" t="s">
        <v>131</v>
      </c>
      <c r="M27" s="135"/>
      <c r="N27" s="136" t="s">
        <v>189</v>
      </c>
      <c r="O27" s="137"/>
      <c r="Q27" s="135" t="s">
        <v>131</v>
      </c>
      <c r="R27" s="135"/>
      <c r="S27" s="136" t="s">
        <v>190</v>
      </c>
      <c r="T27" s="137"/>
      <c r="V27" s="135" t="s">
        <v>131</v>
      </c>
      <c r="W27" s="135"/>
      <c r="X27" s="136" t="s">
        <v>189</v>
      </c>
      <c r="Y27" s="137"/>
    </row>
    <row r="28" spans="2:25" ht="11.25" x14ac:dyDescent="0.15">
      <c r="B28" s="135" t="s">
        <v>134</v>
      </c>
      <c r="C28" s="135"/>
      <c r="D28" s="141">
        <v>43222</v>
      </c>
      <c r="E28" s="137"/>
      <c r="G28" s="135" t="s">
        <v>134</v>
      </c>
      <c r="H28" s="135"/>
      <c r="I28" s="141">
        <v>43182</v>
      </c>
      <c r="J28" s="137"/>
      <c r="L28" s="135" t="s">
        <v>134</v>
      </c>
      <c r="M28" s="135"/>
      <c r="N28" s="141">
        <v>43219</v>
      </c>
      <c r="O28" s="137"/>
      <c r="Q28" s="135" t="s">
        <v>134</v>
      </c>
      <c r="R28" s="135"/>
      <c r="S28" s="141">
        <v>43201</v>
      </c>
      <c r="T28" s="137"/>
      <c r="V28" s="135" t="s">
        <v>134</v>
      </c>
      <c r="W28" s="135"/>
      <c r="X28" s="141">
        <v>43201</v>
      </c>
      <c r="Y28" s="137"/>
    </row>
    <row r="29" spans="2:25" ht="11.25" x14ac:dyDescent="0.15">
      <c r="B29" s="135" t="s">
        <v>136</v>
      </c>
      <c r="C29" s="135"/>
      <c r="D29" s="136">
        <v>108500</v>
      </c>
      <c r="E29" s="137"/>
      <c r="G29" s="135" t="s">
        <v>136</v>
      </c>
      <c r="H29" s="135"/>
      <c r="I29" s="136">
        <v>3856</v>
      </c>
      <c r="J29" s="137"/>
      <c r="L29" s="135" t="s">
        <v>136</v>
      </c>
      <c r="M29" s="135"/>
      <c r="N29" s="136">
        <v>3760</v>
      </c>
      <c r="O29" s="137"/>
      <c r="Q29" s="135" t="s">
        <v>136</v>
      </c>
      <c r="R29" s="135"/>
      <c r="S29" s="136">
        <v>524</v>
      </c>
      <c r="T29" s="137"/>
      <c r="V29" s="135" t="s">
        <v>136</v>
      </c>
      <c r="W29" s="135"/>
      <c r="X29" s="136">
        <v>524</v>
      </c>
      <c r="Y29" s="137"/>
    </row>
    <row r="30" spans="2:25" ht="11.25" x14ac:dyDescent="0.15">
      <c r="B30" s="135" t="s">
        <v>138</v>
      </c>
      <c r="C30" s="135"/>
      <c r="D30" s="136">
        <v>110000</v>
      </c>
      <c r="E30" s="137"/>
      <c r="G30" s="135" t="s">
        <v>138</v>
      </c>
      <c r="H30" s="135"/>
      <c r="I30" s="136">
        <v>3930</v>
      </c>
      <c r="J30" s="137"/>
      <c r="L30" s="135" t="s">
        <v>138</v>
      </c>
      <c r="M30" s="135"/>
      <c r="N30" s="136">
        <v>3700</v>
      </c>
      <c r="O30" s="137"/>
      <c r="Q30" s="135" t="s">
        <v>138</v>
      </c>
      <c r="R30" s="135"/>
      <c r="S30" s="136">
        <v>524</v>
      </c>
      <c r="T30" s="137"/>
      <c r="V30" s="135" t="s">
        <v>138</v>
      </c>
      <c r="W30" s="135"/>
      <c r="X30" s="136">
        <v>524</v>
      </c>
      <c r="Y30" s="137"/>
    </row>
    <row r="31" spans="2:25" ht="11.25" x14ac:dyDescent="0.15">
      <c r="B31" s="135" t="s">
        <v>140</v>
      </c>
      <c r="C31" s="135"/>
      <c r="D31" s="136">
        <v>1160</v>
      </c>
      <c r="E31" s="137"/>
      <c r="G31" s="135" t="s">
        <v>196</v>
      </c>
      <c r="H31" s="135"/>
      <c r="I31" s="136">
        <v>27.18</v>
      </c>
      <c r="J31" s="137"/>
      <c r="L31" s="135" t="s">
        <v>140</v>
      </c>
      <c r="M31" s="135"/>
      <c r="N31" s="136">
        <v>55</v>
      </c>
      <c r="O31" s="137"/>
      <c r="Q31" s="135" t="s">
        <v>140</v>
      </c>
      <c r="R31" s="135"/>
      <c r="S31" s="136">
        <v>23.58</v>
      </c>
      <c r="T31" s="137"/>
      <c r="V31" s="135" t="s">
        <v>140</v>
      </c>
      <c r="W31" s="135"/>
      <c r="X31" s="136">
        <v>23.58</v>
      </c>
      <c r="Y31" s="137"/>
    </row>
    <row r="32" spans="2:25" ht="11.25" x14ac:dyDescent="0.15">
      <c r="B32" s="135" t="s">
        <v>142</v>
      </c>
      <c r="C32" s="135"/>
      <c r="D32" s="136" t="s">
        <v>207</v>
      </c>
      <c r="E32" s="137"/>
      <c r="G32" s="135" t="s">
        <v>197</v>
      </c>
      <c r="H32" s="135"/>
      <c r="I32" s="136" t="s">
        <v>194</v>
      </c>
      <c r="J32" s="137"/>
      <c r="L32" s="135" t="s">
        <v>142</v>
      </c>
      <c r="M32" s="135"/>
      <c r="N32" s="136" t="s">
        <v>192</v>
      </c>
      <c r="O32" s="137"/>
      <c r="Q32" s="135" t="s">
        <v>142</v>
      </c>
      <c r="R32" s="135"/>
      <c r="S32" s="136" t="s">
        <v>191</v>
      </c>
      <c r="T32" s="137"/>
      <c r="V32" s="135" t="s">
        <v>142</v>
      </c>
      <c r="W32" s="135"/>
      <c r="X32" s="136" t="s">
        <v>191</v>
      </c>
      <c r="Y32" s="137"/>
    </row>
    <row r="33" spans="2:25" ht="11.25" x14ac:dyDescent="0.15">
      <c r="B33" s="135" t="s">
        <v>145</v>
      </c>
      <c r="C33" s="135"/>
      <c r="D33" s="136">
        <v>250</v>
      </c>
      <c r="E33" s="137"/>
      <c r="G33" s="135" t="s">
        <v>198</v>
      </c>
      <c r="H33" s="135"/>
      <c r="I33" s="136">
        <v>10000</v>
      </c>
      <c r="J33" s="137"/>
      <c r="L33" s="135" t="s">
        <v>145</v>
      </c>
      <c r="M33" s="135"/>
      <c r="N33" s="136">
        <v>5000</v>
      </c>
      <c r="O33" s="137"/>
      <c r="Q33" s="135" t="s">
        <v>145</v>
      </c>
      <c r="R33" s="135"/>
      <c r="S33" s="136">
        <v>10000</v>
      </c>
      <c r="T33" s="137"/>
      <c r="V33" s="135" t="s">
        <v>145</v>
      </c>
      <c r="W33" s="135"/>
      <c r="X33" s="136">
        <v>10000</v>
      </c>
      <c r="Y33" s="137"/>
    </row>
    <row r="34" spans="2:25" ht="12" thickBot="1" x14ac:dyDescent="0.2">
      <c r="B34" s="138" t="s">
        <v>147</v>
      </c>
      <c r="C34" s="138"/>
      <c r="D34" s="139" t="s">
        <v>148</v>
      </c>
      <c r="E34" s="140"/>
      <c r="G34" s="138" t="s">
        <v>147</v>
      </c>
      <c r="H34" s="138"/>
      <c r="I34" s="139" t="s">
        <v>148</v>
      </c>
      <c r="J34" s="140"/>
      <c r="L34" s="138" t="s">
        <v>147</v>
      </c>
      <c r="M34" s="138"/>
      <c r="N34" s="139" t="s">
        <v>148</v>
      </c>
      <c r="O34" s="140"/>
      <c r="Q34" s="138" t="s">
        <v>147</v>
      </c>
      <c r="R34" s="138"/>
      <c r="S34" s="139" t="s">
        <v>148</v>
      </c>
      <c r="T34" s="140"/>
      <c r="V34" s="138" t="s">
        <v>147</v>
      </c>
      <c r="W34" s="138"/>
      <c r="X34" s="139" t="s">
        <v>148</v>
      </c>
      <c r="Y34" s="140"/>
    </row>
    <row r="35" spans="2:25" ht="11.25" thickTop="1" x14ac:dyDescent="0.15"/>
    <row r="36" spans="2:25" ht="12" thickBot="1" x14ac:dyDescent="0.2">
      <c r="B36" s="142" t="s">
        <v>224</v>
      </c>
      <c r="C36" s="142"/>
      <c r="D36" s="142"/>
      <c r="E36" s="142"/>
      <c r="G36" s="142" t="s">
        <v>225</v>
      </c>
      <c r="H36" s="142"/>
      <c r="I36" s="142"/>
      <c r="J36" s="142"/>
      <c r="L36" s="142" t="s">
        <v>204</v>
      </c>
      <c r="M36" s="142"/>
      <c r="N36" s="142"/>
      <c r="O36" s="142"/>
      <c r="Q36" s="142" t="s">
        <v>121</v>
      </c>
      <c r="R36" s="142"/>
      <c r="S36" s="142"/>
      <c r="T36" s="142"/>
    </row>
    <row r="37" spans="2:25" ht="12" thickTop="1" x14ac:dyDescent="0.15">
      <c r="B37" s="135" t="s">
        <v>122</v>
      </c>
      <c r="C37" s="135"/>
      <c r="D37" s="141">
        <v>43229</v>
      </c>
      <c r="E37" s="143"/>
      <c r="G37" s="135" t="s">
        <v>122</v>
      </c>
      <c r="H37" s="135"/>
      <c r="I37" s="141">
        <v>43229</v>
      </c>
      <c r="J37" s="143"/>
      <c r="L37" s="135" t="s">
        <v>122</v>
      </c>
      <c r="M37" s="135"/>
      <c r="N37" s="141">
        <v>43214</v>
      </c>
      <c r="O37" s="143"/>
      <c r="Q37" s="135" t="s">
        <v>122</v>
      </c>
      <c r="R37" s="135"/>
      <c r="S37" s="141">
        <v>43209</v>
      </c>
      <c r="T37" s="143"/>
    </row>
    <row r="38" spans="2:25" ht="11.25" x14ac:dyDescent="0.15">
      <c r="B38" s="135" t="s">
        <v>124</v>
      </c>
      <c r="C38" s="135"/>
      <c r="D38" s="136" t="s">
        <v>186</v>
      </c>
      <c r="E38" s="137"/>
      <c r="G38" s="135" t="s">
        <v>124</v>
      </c>
      <c r="H38" s="135"/>
      <c r="I38" s="136" t="s">
        <v>186</v>
      </c>
      <c r="J38" s="137"/>
      <c r="L38" s="135" t="s">
        <v>124</v>
      </c>
      <c r="M38" s="135"/>
      <c r="N38" s="136" t="s">
        <v>202</v>
      </c>
      <c r="O38" s="137"/>
      <c r="Q38" s="135" t="s">
        <v>124</v>
      </c>
      <c r="R38" s="135"/>
      <c r="S38" s="136" t="s">
        <v>216</v>
      </c>
      <c r="T38" s="137"/>
    </row>
    <row r="39" spans="2:25" ht="11.25" x14ac:dyDescent="0.15">
      <c r="B39" s="135" t="s">
        <v>127</v>
      </c>
      <c r="C39" s="135"/>
      <c r="D39" s="136" t="s">
        <v>221</v>
      </c>
      <c r="E39" s="137"/>
      <c r="G39" s="135" t="s">
        <v>127</v>
      </c>
      <c r="H39" s="135"/>
      <c r="I39" s="136" t="s">
        <v>202</v>
      </c>
      <c r="J39" s="137"/>
      <c r="L39" s="135" t="s">
        <v>127</v>
      </c>
      <c r="M39" s="135"/>
      <c r="N39" s="136" t="s">
        <v>4</v>
      </c>
      <c r="O39" s="137"/>
      <c r="Q39" s="135" t="s">
        <v>127</v>
      </c>
      <c r="R39" s="135"/>
      <c r="S39" s="136" t="s">
        <v>202</v>
      </c>
      <c r="T39" s="137"/>
    </row>
    <row r="40" spans="2:25" ht="11.25" x14ac:dyDescent="0.15">
      <c r="B40" s="135" t="s">
        <v>179</v>
      </c>
      <c r="C40" s="135"/>
      <c r="D40" s="136">
        <f>D47*D45</f>
        <v>410500.00000000006</v>
      </c>
      <c r="E40" s="137"/>
      <c r="G40" s="135" t="s">
        <v>179</v>
      </c>
      <c r="H40" s="135"/>
      <c r="I40" s="136">
        <f>I45*I47</f>
        <v>410500.00000000006</v>
      </c>
      <c r="J40" s="137"/>
      <c r="L40" s="135" t="s">
        <v>129</v>
      </c>
      <c r="M40" s="135"/>
      <c r="N40" s="136">
        <f>N45*N47</f>
        <v>2117500</v>
      </c>
      <c r="O40" s="137"/>
      <c r="Q40" s="135" t="s">
        <v>179</v>
      </c>
      <c r="R40" s="135"/>
      <c r="S40" s="136">
        <f>S45*S47</f>
        <v>1045200</v>
      </c>
      <c r="T40" s="137"/>
    </row>
    <row r="41" spans="2:25" ht="11.25" x14ac:dyDescent="0.15">
      <c r="B41" s="135" t="s">
        <v>131</v>
      </c>
      <c r="C41" s="135"/>
      <c r="D41" s="136" t="s">
        <v>222</v>
      </c>
      <c r="E41" s="137"/>
      <c r="G41" s="135" t="s">
        <v>131</v>
      </c>
      <c r="H41" s="135"/>
      <c r="I41" s="136" t="s">
        <v>217</v>
      </c>
      <c r="J41" s="137"/>
      <c r="L41" s="135" t="s">
        <v>131</v>
      </c>
      <c r="M41" s="135"/>
      <c r="N41" s="136" t="s">
        <v>206</v>
      </c>
      <c r="O41" s="137"/>
      <c r="Q41" s="135" t="s">
        <v>131</v>
      </c>
      <c r="R41" s="135"/>
      <c r="S41" s="136" t="s">
        <v>217</v>
      </c>
      <c r="T41" s="137"/>
    </row>
    <row r="42" spans="2:25" ht="11.25" x14ac:dyDescent="0.15">
      <c r="B42" s="135" t="s">
        <v>134</v>
      </c>
      <c r="C42" s="135"/>
      <c r="D42" s="141">
        <f>D37+98</f>
        <v>43327</v>
      </c>
      <c r="E42" s="137"/>
      <c r="G42" s="135" t="s">
        <v>134</v>
      </c>
      <c r="H42" s="135"/>
      <c r="I42" s="141">
        <f>I37+98</f>
        <v>43327</v>
      </c>
      <c r="J42" s="137"/>
      <c r="L42" s="135" t="s">
        <v>134</v>
      </c>
      <c r="M42" s="135"/>
      <c r="N42" s="141">
        <v>43266</v>
      </c>
      <c r="O42" s="137"/>
      <c r="Q42" s="135" t="s">
        <v>134</v>
      </c>
      <c r="R42" s="135"/>
      <c r="S42" s="141">
        <v>43266</v>
      </c>
      <c r="T42" s="137"/>
    </row>
    <row r="43" spans="2:25" ht="11.25" x14ac:dyDescent="0.15">
      <c r="B43" s="135" t="s">
        <v>136</v>
      </c>
      <c r="C43" s="135"/>
      <c r="D43" s="136">
        <v>470.5</v>
      </c>
      <c r="E43" s="137"/>
      <c r="G43" s="135" t="s">
        <v>136</v>
      </c>
      <c r="H43" s="135"/>
      <c r="I43" s="136">
        <v>470.5</v>
      </c>
      <c r="J43" s="137"/>
      <c r="L43" s="135" t="s">
        <v>136</v>
      </c>
      <c r="M43" s="144"/>
      <c r="N43" s="136">
        <v>14535</v>
      </c>
      <c r="O43" s="137"/>
      <c r="Q43" s="135" t="s">
        <v>136</v>
      </c>
      <c r="R43" s="135"/>
      <c r="S43" s="136">
        <v>15250</v>
      </c>
      <c r="T43" s="137"/>
    </row>
    <row r="44" spans="2:25" ht="11.25" x14ac:dyDescent="0.15">
      <c r="B44" s="135" t="s">
        <v>138</v>
      </c>
      <c r="C44" s="135"/>
      <c r="D44" s="136">
        <v>470.5</v>
      </c>
      <c r="E44" s="137"/>
      <c r="F44" s="100">
        <f>D44*1.55/100</f>
        <v>7.2927499999999998</v>
      </c>
      <c r="G44" s="135" t="s">
        <v>138</v>
      </c>
      <c r="H44" s="135"/>
      <c r="I44" s="136">
        <v>470.5</v>
      </c>
      <c r="J44" s="137"/>
      <c r="L44" s="135" t="s">
        <v>138</v>
      </c>
      <c r="M44" s="135"/>
      <c r="N44" s="136">
        <v>14500</v>
      </c>
      <c r="O44" s="137"/>
      <c r="Q44" s="135" t="s">
        <v>138</v>
      </c>
      <c r="R44" s="135"/>
      <c r="S44" s="136">
        <v>14500</v>
      </c>
      <c r="T44" s="137"/>
    </row>
    <row r="45" spans="2:25" ht="11.25" x14ac:dyDescent="0.15">
      <c r="B45" s="135" t="s">
        <v>140</v>
      </c>
      <c r="C45" s="135"/>
      <c r="D45" s="136">
        <v>32.840000000000003</v>
      </c>
      <c r="E45" s="137"/>
      <c r="G45" s="135" t="s">
        <v>140</v>
      </c>
      <c r="H45" s="135"/>
      <c r="I45" s="136">
        <v>32.840000000000003</v>
      </c>
      <c r="J45" s="137"/>
      <c r="L45" s="135" t="s">
        <v>140</v>
      </c>
      <c r="M45" s="135"/>
      <c r="N45" s="136">
        <v>423.5</v>
      </c>
      <c r="O45" s="137"/>
      <c r="Q45" s="135" t="s">
        <v>196</v>
      </c>
      <c r="R45" s="135"/>
      <c r="S45" s="136">
        <v>209.04</v>
      </c>
      <c r="T45" s="137"/>
    </row>
    <row r="46" spans="2:25" ht="11.25" x14ac:dyDescent="0.15">
      <c r="B46" s="135" t="s">
        <v>197</v>
      </c>
      <c r="C46" s="135"/>
      <c r="D46" s="136" t="s">
        <v>200</v>
      </c>
      <c r="E46" s="137"/>
      <c r="G46" s="135" t="s">
        <v>142</v>
      </c>
      <c r="H46" s="135"/>
      <c r="I46" s="136" t="s">
        <v>200</v>
      </c>
      <c r="J46" s="137"/>
      <c r="L46" s="135" t="s">
        <v>142</v>
      </c>
      <c r="M46" s="135"/>
      <c r="N46" s="136" t="s">
        <v>208</v>
      </c>
      <c r="O46" s="137"/>
      <c r="Q46" s="135" t="s">
        <v>142</v>
      </c>
      <c r="R46" s="135"/>
      <c r="S46" s="136" t="s">
        <v>218</v>
      </c>
      <c r="T46" s="137"/>
    </row>
    <row r="47" spans="2:25" ht="11.25" x14ac:dyDescent="0.15">
      <c r="B47" s="135" t="s">
        <v>145</v>
      </c>
      <c r="C47" s="135"/>
      <c r="D47" s="136">
        <v>12500</v>
      </c>
      <c r="E47" s="137"/>
      <c r="G47" s="135" t="s">
        <v>145</v>
      </c>
      <c r="H47" s="135"/>
      <c r="I47" s="136">
        <v>12500</v>
      </c>
      <c r="J47" s="137"/>
      <c r="L47" s="135" t="s">
        <v>145</v>
      </c>
      <c r="M47" s="135"/>
      <c r="N47" s="136">
        <v>5000</v>
      </c>
      <c r="O47" s="137"/>
      <c r="Q47" s="135" t="s">
        <v>145</v>
      </c>
      <c r="R47" s="135"/>
      <c r="S47" s="136">
        <v>5000</v>
      </c>
      <c r="T47" s="137"/>
    </row>
    <row r="48" spans="2:25" ht="12" thickBot="1" x14ac:dyDescent="0.2">
      <c r="B48" s="138" t="s">
        <v>147</v>
      </c>
      <c r="C48" s="138"/>
      <c r="D48" s="139" t="s">
        <v>223</v>
      </c>
      <c r="E48" s="140"/>
      <c r="G48" s="138" t="s">
        <v>147</v>
      </c>
      <c r="H48" s="138"/>
      <c r="I48" s="139" t="s">
        <v>205</v>
      </c>
      <c r="J48" s="140"/>
      <c r="L48" s="138" t="s">
        <v>147</v>
      </c>
      <c r="M48" s="138"/>
      <c r="N48" s="139" t="s">
        <v>203</v>
      </c>
      <c r="O48" s="140"/>
      <c r="Q48" s="138" t="s">
        <v>147</v>
      </c>
      <c r="R48" s="138"/>
      <c r="S48" s="139" t="s">
        <v>205</v>
      </c>
      <c r="T48" s="140"/>
    </row>
    <row r="49" spans="2:20" ht="12.75" thickTop="1" thickBot="1" x14ac:dyDescent="0.2">
      <c r="B49" s="142" t="s">
        <v>121</v>
      </c>
      <c r="C49" s="142"/>
      <c r="D49" s="142"/>
      <c r="E49" s="142"/>
      <c r="G49" s="142" t="s">
        <v>204</v>
      </c>
      <c r="H49" s="142"/>
      <c r="I49" s="142"/>
      <c r="J49" s="142"/>
      <c r="L49" s="142" t="s">
        <v>188</v>
      </c>
      <c r="M49" s="142"/>
      <c r="N49" s="142"/>
      <c r="O49" s="142"/>
      <c r="Q49" s="142" t="s">
        <v>232</v>
      </c>
      <c r="R49" s="142"/>
      <c r="S49" s="142"/>
      <c r="T49" s="142"/>
    </row>
    <row r="50" spans="2:20" ht="12" thickTop="1" x14ac:dyDescent="0.15">
      <c r="B50" s="135" t="s">
        <v>122</v>
      </c>
      <c r="C50" s="135"/>
      <c r="D50" s="141">
        <v>43235</v>
      </c>
      <c r="E50" s="143"/>
      <c r="G50" s="135" t="s">
        <v>122</v>
      </c>
      <c r="H50" s="135"/>
      <c r="I50" s="141">
        <v>43265</v>
      </c>
      <c r="J50" s="143"/>
      <c r="L50" s="135" t="s">
        <v>122</v>
      </c>
      <c r="M50" s="135"/>
      <c r="N50" s="141">
        <v>43237</v>
      </c>
      <c r="O50" s="143"/>
      <c r="Q50" s="135" t="s">
        <v>122</v>
      </c>
      <c r="R50" s="135"/>
      <c r="S50" s="141">
        <v>43237</v>
      </c>
      <c r="T50" s="143"/>
    </row>
    <row r="51" spans="2:20" ht="11.25" x14ac:dyDescent="0.15">
      <c r="B51" s="135" t="s">
        <v>124</v>
      </c>
      <c r="C51" s="135"/>
      <c r="D51" s="136" t="s">
        <v>221</v>
      </c>
      <c r="E51" s="137"/>
      <c r="G51" s="135" t="s">
        <v>124</v>
      </c>
      <c r="H51" s="135"/>
      <c r="I51" s="136" t="s">
        <v>202</v>
      </c>
      <c r="J51" s="137"/>
      <c r="L51" s="135" t="s">
        <v>124</v>
      </c>
      <c r="M51" s="135"/>
      <c r="N51" s="136" t="s">
        <v>4</v>
      </c>
      <c r="O51" s="137"/>
      <c r="Q51" s="135" t="s">
        <v>124</v>
      </c>
      <c r="R51" s="135"/>
      <c r="S51" s="136" t="s">
        <v>4</v>
      </c>
      <c r="T51" s="137"/>
    </row>
    <row r="52" spans="2:20" ht="11.25" x14ac:dyDescent="0.15">
      <c r="B52" s="135" t="s">
        <v>127</v>
      </c>
      <c r="C52" s="135"/>
      <c r="D52" s="136" t="s">
        <v>230</v>
      </c>
      <c r="E52" s="137"/>
      <c r="G52" s="135" t="s">
        <v>127</v>
      </c>
      <c r="H52" s="135"/>
      <c r="I52" s="136" t="s">
        <v>4</v>
      </c>
      <c r="J52" s="137"/>
      <c r="L52" s="135" t="s">
        <v>127</v>
      </c>
      <c r="M52" s="135"/>
      <c r="N52" s="136" t="s">
        <v>36</v>
      </c>
      <c r="O52" s="137"/>
      <c r="Q52" s="135" t="s">
        <v>127</v>
      </c>
      <c r="R52" s="135"/>
      <c r="S52" s="136" t="s">
        <v>36</v>
      </c>
      <c r="T52" s="137"/>
    </row>
    <row r="53" spans="2:20" ht="11.25" x14ac:dyDescent="0.15">
      <c r="B53" s="135" t="s">
        <v>179</v>
      </c>
      <c r="C53" s="135"/>
      <c r="D53" s="136">
        <f>D58*D60</f>
        <v>280000</v>
      </c>
      <c r="E53" s="137"/>
      <c r="G53" s="135" t="s">
        <v>129</v>
      </c>
      <c r="H53" s="135"/>
      <c r="I53" s="136">
        <f>I58*I60</f>
        <v>252000</v>
      </c>
      <c r="J53" s="137"/>
      <c r="L53" s="135" t="s">
        <v>179</v>
      </c>
      <c r="M53" s="135"/>
      <c r="N53" s="136">
        <f>N58*N60</f>
        <v>1272000</v>
      </c>
      <c r="O53" s="137"/>
      <c r="Q53" s="135" t="s">
        <v>179</v>
      </c>
      <c r="R53" s="135"/>
      <c r="S53" s="136">
        <f>S58*S60</f>
        <v>1230000</v>
      </c>
      <c r="T53" s="137"/>
    </row>
    <row r="54" spans="2:20" ht="11.25" x14ac:dyDescent="0.15">
      <c r="B54" s="135" t="s">
        <v>131</v>
      </c>
      <c r="C54" s="135"/>
      <c r="D54" s="136" t="s">
        <v>189</v>
      </c>
      <c r="E54" s="137"/>
      <c r="G54" s="135" t="s">
        <v>131</v>
      </c>
      <c r="H54" s="135"/>
      <c r="I54" s="136" t="s">
        <v>206</v>
      </c>
      <c r="J54" s="137"/>
      <c r="L54" s="135" t="s">
        <v>131</v>
      </c>
      <c r="M54" s="135"/>
      <c r="N54" s="136" t="s">
        <v>132</v>
      </c>
      <c r="O54" s="137"/>
      <c r="Q54" s="135" t="s">
        <v>131</v>
      </c>
      <c r="R54" s="135"/>
      <c r="S54" s="136" t="s">
        <v>132</v>
      </c>
      <c r="T54" s="137"/>
    </row>
    <row r="55" spans="2:20" ht="11.25" x14ac:dyDescent="0.15">
      <c r="B55" s="135" t="s">
        <v>134</v>
      </c>
      <c r="C55" s="135"/>
      <c r="D55" s="141">
        <f>D50+87</f>
        <v>43322</v>
      </c>
      <c r="E55" s="137"/>
      <c r="G55" s="135" t="s">
        <v>134</v>
      </c>
      <c r="H55" s="135"/>
      <c r="I55" s="141">
        <v>43294</v>
      </c>
      <c r="J55" s="137"/>
      <c r="L55" s="135" t="s">
        <v>134</v>
      </c>
      <c r="M55" s="135"/>
      <c r="N55" s="141">
        <f>N50+85</f>
        <v>43322</v>
      </c>
      <c r="O55" s="137"/>
      <c r="Q55" s="135" t="s">
        <v>134</v>
      </c>
      <c r="R55" s="135"/>
      <c r="S55" s="141">
        <f>S50+85</f>
        <v>43322</v>
      </c>
      <c r="T55" s="137"/>
    </row>
    <row r="56" spans="2:20" ht="11.25" x14ac:dyDescent="0.15">
      <c r="B56" s="135" t="s">
        <v>136</v>
      </c>
      <c r="C56" s="135"/>
      <c r="D56" s="136">
        <v>14825</v>
      </c>
      <c r="E56" s="137"/>
      <c r="G56" s="135" t="s">
        <v>136</v>
      </c>
      <c r="H56" s="144"/>
      <c r="I56" s="136">
        <v>14700</v>
      </c>
      <c r="J56" s="137"/>
      <c r="L56" s="135" t="s">
        <v>136</v>
      </c>
      <c r="M56" s="135"/>
      <c r="N56" s="136">
        <v>482</v>
      </c>
      <c r="O56" s="137"/>
      <c r="Q56" s="135" t="s">
        <v>136</v>
      </c>
      <c r="R56" s="135"/>
      <c r="S56" s="136">
        <v>482.5</v>
      </c>
      <c r="T56" s="137"/>
    </row>
    <row r="57" spans="2:20" ht="11.25" x14ac:dyDescent="0.15">
      <c r="B57" s="135" t="s">
        <v>138</v>
      </c>
      <c r="C57" s="135"/>
      <c r="D57" s="136">
        <v>14100</v>
      </c>
      <c r="E57" s="137"/>
      <c r="G57" s="135" t="s">
        <v>138</v>
      </c>
      <c r="H57" s="135"/>
      <c r="I57" s="136">
        <v>14500</v>
      </c>
      <c r="J57" s="137"/>
      <c r="L57" s="135" t="s">
        <v>138</v>
      </c>
      <c r="M57" s="135"/>
      <c r="N57" s="136">
        <v>480</v>
      </c>
      <c r="O57" s="137"/>
      <c r="Q57" s="135" t="s">
        <v>138</v>
      </c>
      <c r="R57" s="135"/>
      <c r="S57" s="136">
        <v>430</v>
      </c>
      <c r="T57" s="137"/>
    </row>
    <row r="58" spans="2:20" ht="11.25" x14ac:dyDescent="0.15">
      <c r="B58" s="135" t="s">
        <v>140</v>
      </c>
      <c r="C58" s="135"/>
      <c r="D58" s="136">
        <v>140</v>
      </c>
      <c r="E58" s="137"/>
      <c r="G58" s="135" t="s">
        <v>140</v>
      </c>
      <c r="H58" s="135"/>
      <c r="I58" s="136">
        <v>126</v>
      </c>
      <c r="J58" s="137"/>
      <c r="L58" s="135" t="s">
        <v>140</v>
      </c>
      <c r="M58" s="135"/>
      <c r="N58" s="136">
        <v>31.8</v>
      </c>
      <c r="O58" s="137"/>
      <c r="Q58" s="135" t="s">
        <v>140</v>
      </c>
      <c r="R58" s="135"/>
      <c r="S58" s="136">
        <v>12.3</v>
      </c>
      <c r="T58" s="137"/>
    </row>
    <row r="59" spans="2:20" ht="11.25" x14ac:dyDescent="0.15">
      <c r="B59" s="135" t="s">
        <v>142</v>
      </c>
      <c r="C59" s="135"/>
      <c r="D59" s="136" t="s">
        <v>229</v>
      </c>
      <c r="E59" s="137"/>
      <c r="G59" s="135" t="s">
        <v>142</v>
      </c>
      <c r="H59" s="135"/>
      <c r="I59" s="136" t="s">
        <v>231</v>
      </c>
      <c r="J59" s="137"/>
      <c r="L59" s="135" t="s">
        <v>142</v>
      </c>
      <c r="M59" s="135"/>
      <c r="N59" s="136" t="s">
        <v>200</v>
      </c>
      <c r="O59" s="137"/>
      <c r="Q59" s="135" t="s">
        <v>142</v>
      </c>
      <c r="R59" s="135"/>
      <c r="S59" s="136" t="s">
        <v>200</v>
      </c>
      <c r="T59" s="137"/>
    </row>
    <row r="60" spans="2:20" ht="11.25" x14ac:dyDescent="0.15">
      <c r="B60" s="135" t="s">
        <v>145</v>
      </c>
      <c r="C60" s="135"/>
      <c r="D60" s="136">
        <v>2000</v>
      </c>
      <c r="E60" s="137"/>
      <c r="G60" s="135" t="s">
        <v>145</v>
      </c>
      <c r="H60" s="135"/>
      <c r="I60" s="136">
        <v>2000</v>
      </c>
      <c r="J60" s="137"/>
      <c r="L60" s="135" t="s">
        <v>145</v>
      </c>
      <c r="M60" s="135"/>
      <c r="N60" s="136">
        <v>40000</v>
      </c>
      <c r="O60" s="137"/>
      <c r="Q60" s="135" t="s">
        <v>145</v>
      </c>
      <c r="R60" s="135"/>
      <c r="S60" s="136">
        <v>100000</v>
      </c>
      <c r="T60" s="137"/>
    </row>
    <row r="61" spans="2:20" ht="12" thickBot="1" x14ac:dyDescent="0.2">
      <c r="B61" s="138" t="s">
        <v>147</v>
      </c>
      <c r="C61" s="138"/>
      <c r="D61" s="139" t="s">
        <v>205</v>
      </c>
      <c r="E61" s="140"/>
      <c r="G61" s="138" t="s">
        <v>147</v>
      </c>
      <c r="H61" s="138"/>
      <c r="I61" s="139" t="s">
        <v>203</v>
      </c>
      <c r="J61" s="140"/>
      <c r="L61" s="138" t="s">
        <v>147</v>
      </c>
      <c r="M61" s="138"/>
      <c r="N61" s="139" t="s">
        <v>205</v>
      </c>
      <c r="O61" s="140"/>
      <c r="Q61" s="138" t="s">
        <v>147</v>
      </c>
      <c r="R61" s="138"/>
      <c r="S61" s="139" t="s">
        <v>205</v>
      </c>
      <c r="T61" s="140"/>
    </row>
    <row r="62" spans="2:20" ht="11.25" thickTop="1" x14ac:dyDescent="0.15"/>
    <row r="63" spans="2:20" ht="12" thickBot="1" x14ac:dyDescent="0.2">
      <c r="G63" s="142" t="s">
        <v>236</v>
      </c>
      <c r="H63" s="142"/>
      <c r="I63" s="142"/>
      <c r="J63" s="142"/>
      <c r="L63" s="142" t="s">
        <v>237</v>
      </c>
      <c r="M63" s="142"/>
      <c r="N63" s="142"/>
      <c r="O63" s="142"/>
      <c r="Q63" s="142" t="s">
        <v>249</v>
      </c>
      <c r="R63" s="142"/>
      <c r="S63" s="142"/>
      <c r="T63" s="142"/>
    </row>
    <row r="64" spans="2:20" ht="12" thickTop="1" x14ac:dyDescent="0.15">
      <c r="G64" s="135" t="s">
        <v>122</v>
      </c>
      <c r="H64" s="135"/>
      <c r="I64" s="141">
        <v>43248</v>
      </c>
      <c r="J64" s="143"/>
      <c r="L64" s="135" t="s">
        <v>122</v>
      </c>
      <c r="M64" s="135"/>
      <c r="N64" s="141">
        <v>43248</v>
      </c>
      <c r="O64" s="143"/>
      <c r="Q64" s="135" t="s">
        <v>122</v>
      </c>
      <c r="R64" s="135"/>
      <c r="S64" s="141">
        <v>43264</v>
      </c>
      <c r="T64" s="143"/>
    </row>
    <row r="65" spans="7:20" ht="11.25" x14ac:dyDescent="0.15">
      <c r="G65" s="135" t="s">
        <v>124</v>
      </c>
      <c r="H65" s="135"/>
      <c r="I65" s="136" t="s">
        <v>234</v>
      </c>
      <c r="J65" s="137"/>
      <c r="L65" s="135" t="s">
        <v>124</v>
      </c>
      <c r="M65" s="135"/>
      <c r="N65" s="136" t="s">
        <v>234</v>
      </c>
      <c r="O65" s="137"/>
      <c r="Q65" s="135" t="s">
        <v>124</v>
      </c>
      <c r="R65" s="135"/>
      <c r="S65" s="136" t="s">
        <v>250</v>
      </c>
      <c r="T65" s="137"/>
    </row>
    <row r="66" spans="7:20" ht="11.25" x14ac:dyDescent="0.15">
      <c r="G66" s="135" t="s">
        <v>127</v>
      </c>
      <c r="H66" s="135"/>
      <c r="I66" s="136" t="s">
        <v>36</v>
      </c>
      <c r="J66" s="137"/>
      <c r="L66" s="135" t="s">
        <v>127</v>
      </c>
      <c r="M66" s="135"/>
      <c r="N66" s="136" t="s">
        <v>36</v>
      </c>
      <c r="O66" s="137"/>
      <c r="Q66" s="135" t="s">
        <v>127</v>
      </c>
      <c r="R66" s="135"/>
      <c r="S66" s="136" t="s">
        <v>36</v>
      </c>
      <c r="T66" s="137"/>
    </row>
    <row r="67" spans="7:20" ht="11.25" x14ac:dyDescent="0.15">
      <c r="G67" s="135" t="s">
        <v>179</v>
      </c>
      <c r="H67" s="135"/>
      <c r="I67" s="136">
        <f>I72*I74</f>
        <v>244200.00000000003</v>
      </c>
      <c r="J67" s="137"/>
      <c r="L67" s="135" t="s">
        <v>179</v>
      </c>
      <c r="M67" s="135"/>
      <c r="N67" s="136">
        <f>N72*N74</f>
        <v>244200.00000000003</v>
      </c>
      <c r="O67" s="137"/>
      <c r="Q67" s="135" t="s">
        <v>129</v>
      </c>
      <c r="R67" s="135"/>
      <c r="S67" s="136">
        <f>S72*S74</f>
        <v>35120</v>
      </c>
      <c r="T67" s="137"/>
    </row>
    <row r="68" spans="7:20" ht="11.25" x14ac:dyDescent="0.15">
      <c r="G68" s="135" t="s">
        <v>131</v>
      </c>
      <c r="H68" s="135"/>
      <c r="I68" s="136" t="s">
        <v>132</v>
      </c>
      <c r="J68" s="137"/>
      <c r="L68" s="135" t="s">
        <v>131</v>
      </c>
      <c r="M68" s="135"/>
      <c r="N68" s="136" t="s">
        <v>235</v>
      </c>
      <c r="O68" s="137"/>
      <c r="Q68" s="135" t="s">
        <v>131</v>
      </c>
      <c r="R68" s="135"/>
      <c r="S68" s="136" t="s">
        <v>190</v>
      </c>
      <c r="T68" s="137"/>
    </row>
    <row r="69" spans="7:20" ht="11.25" x14ac:dyDescent="0.15">
      <c r="G69" s="135" t="s">
        <v>134</v>
      </c>
      <c r="H69" s="135"/>
      <c r="I69" s="141">
        <f>I64+79</f>
        <v>43327</v>
      </c>
      <c r="J69" s="137"/>
      <c r="L69" s="135" t="s">
        <v>134</v>
      </c>
      <c r="M69" s="135"/>
      <c r="N69" s="141">
        <f>N64+79</f>
        <v>43327</v>
      </c>
      <c r="O69" s="137"/>
      <c r="Q69" s="135" t="s">
        <v>134</v>
      </c>
      <c r="R69" s="135"/>
      <c r="S69" s="141">
        <f>S64+30</f>
        <v>43294</v>
      </c>
      <c r="T69" s="137"/>
    </row>
    <row r="70" spans="7:20" ht="11.25" x14ac:dyDescent="0.15">
      <c r="G70" s="135" t="s">
        <v>136</v>
      </c>
      <c r="H70" s="135"/>
      <c r="I70" s="136">
        <v>456.5</v>
      </c>
      <c r="J70" s="137"/>
      <c r="L70" s="135" t="s">
        <v>136</v>
      </c>
      <c r="M70" s="135"/>
      <c r="N70" s="136">
        <v>456.5</v>
      </c>
      <c r="O70" s="137"/>
      <c r="Q70" s="135" t="s">
        <v>136</v>
      </c>
      <c r="R70" s="135"/>
      <c r="S70" s="136">
        <v>18280</v>
      </c>
      <c r="T70" s="137"/>
    </row>
    <row r="71" spans="7:20" ht="11.25" x14ac:dyDescent="0.15">
      <c r="G71" s="135" t="s">
        <v>138</v>
      </c>
      <c r="H71" s="135"/>
      <c r="I71" s="136">
        <v>456.5</v>
      </c>
      <c r="J71" s="137"/>
      <c r="L71" s="135" t="s">
        <v>138</v>
      </c>
      <c r="M71" s="135"/>
      <c r="N71" s="136">
        <v>456.5</v>
      </c>
      <c r="O71" s="137"/>
      <c r="Q71" s="135" t="s">
        <v>138</v>
      </c>
      <c r="R71" s="135"/>
      <c r="S71" s="136">
        <v>19000</v>
      </c>
      <c r="T71" s="137"/>
    </row>
    <row r="72" spans="7:20" ht="11.25" x14ac:dyDescent="0.15">
      <c r="G72" s="135" t="s">
        <v>140</v>
      </c>
      <c r="H72" s="135"/>
      <c r="I72" s="136">
        <v>24.42</v>
      </c>
      <c r="J72" s="137"/>
      <c r="L72" s="135" t="s">
        <v>140</v>
      </c>
      <c r="M72" s="135"/>
      <c r="N72" s="136">
        <v>24.42</v>
      </c>
      <c r="O72" s="137"/>
      <c r="Q72" s="135" t="s">
        <v>140</v>
      </c>
      <c r="R72" s="135"/>
      <c r="S72" s="136">
        <v>439</v>
      </c>
      <c r="T72" s="137"/>
    </row>
    <row r="73" spans="7:20" ht="11.25" x14ac:dyDescent="0.15">
      <c r="G73" s="135" t="s">
        <v>142</v>
      </c>
      <c r="H73" s="135"/>
      <c r="I73" s="136" t="s">
        <v>200</v>
      </c>
      <c r="J73" s="137"/>
      <c r="L73" s="135" t="s">
        <v>142</v>
      </c>
      <c r="M73" s="135"/>
      <c r="N73" s="136" t="s">
        <v>200</v>
      </c>
      <c r="O73" s="137"/>
      <c r="Q73" s="135" t="s">
        <v>142</v>
      </c>
      <c r="R73" s="135"/>
      <c r="S73" s="136" t="s">
        <v>248</v>
      </c>
      <c r="T73" s="137"/>
    </row>
    <row r="74" spans="7:20" ht="11.25" x14ac:dyDescent="0.15">
      <c r="G74" s="135" t="s">
        <v>145</v>
      </c>
      <c r="H74" s="135"/>
      <c r="I74" s="136">
        <v>10000</v>
      </c>
      <c r="J74" s="137"/>
      <c r="L74" s="135" t="s">
        <v>145</v>
      </c>
      <c r="M74" s="135"/>
      <c r="N74" s="136">
        <v>10000</v>
      </c>
      <c r="O74" s="137"/>
      <c r="Q74" s="135" t="s">
        <v>145</v>
      </c>
      <c r="R74" s="135"/>
      <c r="S74" s="136">
        <v>80</v>
      </c>
      <c r="T74" s="137"/>
    </row>
    <row r="75" spans="7:20" ht="12" thickBot="1" x14ac:dyDescent="0.2">
      <c r="G75" s="138" t="s">
        <v>147</v>
      </c>
      <c r="H75" s="138"/>
      <c r="I75" s="139" t="s">
        <v>205</v>
      </c>
      <c r="J75" s="140"/>
      <c r="L75" s="138" t="s">
        <v>147</v>
      </c>
      <c r="M75" s="138"/>
      <c r="N75" s="139" t="s">
        <v>205</v>
      </c>
      <c r="O75" s="140"/>
      <c r="Q75" s="138" t="s">
        <v>147</v>
      </c>
      <c r="R75" s="138"/>
      <c r="S75" s="139" t="s">
        <v>205</v>
      </c>
      <c r="T75" s="140"/>
    </row>
    <row r="76" spans="7:20" ht="11.25" thickTop="1" x14ac:dyDescent="0.15"/>
    <row r="77" spans="7:20" ht="12" thickBot="1" x14ac:dyDescent="0.2">
      <c r="G77" s="142" t="s">
        <v>236</v>
      </c>
      <c r="H77" s="142"/>
      <c r="I77" s="142"/>
      <c r="J77" s="142"/>
      <c r="L77" s="142" t="s">
        <v>251</v>
      </c>
      <c r="M77" s="142"/>
      <c r="N77" s="142"/>
      <c r="O77" s="142"/>
      <c r="Q77" s="142" t="s">
        <v>204</v>
      </c>
      <c r="R77" s="142"/>
      <c r="S77" s="142"/>
      <c r="T77" s="142"/>
    </row>
    <row r="78" spans="7:20" ht="12" thickTop="1" x14ac:dyDescent="0.15">
      <c r="G78" s="135" t="s">
        <v>122</v>
      </c>
      <c r="H78" s="135"/>
      <c r="I78" s="141">
        <v>43248</v>
      </c>
      <c r="J78" s="143"/>
      <c r="L78" s="135" t="s">
        <v>122</v>
      </c>
      <c r="M78" s="135"/>
      <c r="N78" s="141">
        <v>43265</v>
      </c>
      <c r="O78" s="143"/>
      <c r="Q78" s="135" t="s">
        <v>122</v>
      </c>
      <c r="R78" s="135"/>
      <c r="S78" s="141">
        <v>43276</v>
      </c>
      <c r="T78" s="143"/>
    </row>
    <row r="79" spans="7:20" ht="11.25" x14ac:dyDescent="0.15">
      <c r="G79" s="135" t="s">
        <v>124</v>
      </c>
      <c r="H79" s="135"/>
      <c r="I79" s="136" t="s">
        <v>234</v>
      </c>
      <c r="J79" s="137"/>
      <c r="L79" s="135" t="s">
        <v>124</v>
      </c>
      <c r="M79" s="135"/>
      <c r="N79" s="136" t="s">
        <v>234</v>
      </c>
      <c r="O79" s="137"/>
      <c r="Q79" s="135" t="s">
        <v>124</v>
      </c>
      <c r="R79" s="135"/>
      <c r="S79" s="136" t="s">
        <v>202</v>
      </c>
      <c r="T79" s="137"/>
    </row>
    <row r="80" spans="7:20" ht="11.25" x14ac:dyDescent="0.15">
      <c r="G80" s="135" t="s">
        <v>127</v>
      </c>
      <c r="H80" s="135"/>
      <c r="I80" s="136" t="s">
        <v>36</v>
      </c>
      <c r="J80" s="137"/>
      <c r="L80" s="135" t="s">
        <v>127</v>
      </c>
      <c r="M80" s="135"/>
      <c r="N80" s="136" t="s">
        <v>36</v>
      </c>
      <c r="O80" s="137"/>
      <c r="Q80" s="135" t="s">
        <v>127</v>
      </c>
      <c r="R80" s="135"/>
      <c r="S80" s="136" t="s">
        <v>4</v>
      </c>
      <c r="T80" s="137"/>
    </row>
    <row r="81" spans="7:20" ht="11.25" x14ac:dyDescent="0.15">
      <c r="G81" s="135" t="s">
        <v>179</v>
      </c>
      <c r="H81" s="135"/>
      <c r="I81" s="136">
        <f>I86*I88</f>
        <v>244200.00000000003</v>
      </c>
      <c r="J81" s="137"/>
      <c r="L81" s="135" t="s">
        <v>179</v>
      </c>
      <c r="M81" s="135"/>
      <c r="N81" s="157">
        <f>N86*N88</f>
        <v>784480</v>
      </c>
      <c r="O81" s="158"/>
      <c r="Q81" s="135" t="s">
        <v>129</v>
      </c>
      <c r="R81" s="135"/>
      <c r="S81" s="157">
        <f>S86*S88</f>
        <v>1009200</v>
      </c>
      <c r="T81" s="158"/>
    </row>
    <row r="82" spans="7:20" ht="11.25" x14ac:dyDescent="0.15">
      <c r="G82" s="135" t="s">
        <v>131</v>
      </c>
      <c r="H82" s="135"/>
      <c r="I82" s="136" t="s">
        <v>132</v>
      </c>
      <c r="J82" s="137"/>
      <c r="L82" s="135" t="s">
        <v>131</v>
      </c>
      <c r="M82" s="135"/>
      <c r="N82" s="136" t="s">
        <v>252</v>
      </c>
      <c r="O82" s="137"/>
      <c r="Q82" s="135" t="s">
        <v>131</v>
      </c>
      <c r="R82" s="135"/>
      <c r="S82" s="136" t="s">
        <v>206</v>
      </c>
      <c r="T82" s="137"/>
    </row>
    <row r="83" spans="7:20" ht="11.25" x14ac:dyDescent="0.15">
      <c r="G83" s="135" t="s">
        <v>134</v>
      </c>
      <c r="H83" s="135"/>
      <c r="I83" s="141">
        <f>I78+31</f>
        <v>43279</v>
      </c>
      <c r="J83" s="137"/>
      <c r="L83" s="135" t="s">
        <v>134</v>
      </c>
      <c r="M83" s="135"/>
      <c r="N83" s="141">
        <v>43404</v>
      </c>
      <c r="O83" s="137"/>
      <c r="Q83" s="135" t="s">
        <v>134</v>
      </c>
      <c r="R83" s="135"/>
      <c r="S83" s="141">
        <v>43322</v>
      </c>
      <c r="T83" s="137"/>
    </row>
    <row r="84" spans="7:20" ht="11.25" x14ac:dyDescent="0.15">
      <c r="G84" s="135" t="s">
        <v>136</v>
      </c>
      <c r="H84" s="135"/>
      <c r="I84" s="136">
        <v>456.5</v>
      </c>
      <c r="J84" s="137"/>
      <c r="L84" s="135" t="s">
        <v>136</v>
      </c>
      <c r="M84" s="135"/>
      <c r="N84" s="136">
        <v>1817</v>
      </c>
      <c r="O84" s="137"/>
      <c r="P84" s="100">
        <f>N84*3.5/100</f>
        <v>63.594999999999999</v>
      </c>
      <c r="Q84" s="135" t="s">
        <v>136</v>
      </c>
      <c r="R84" s="144"/>
      <c r="S84" s="136">
        <v>466</v>
      </c>
      <c r="T84" s="137"/>
    </row>
    <row r="85" spans="7:20" ht="11.25" x14ac:dyDescent="0.15">
      <c r="G85" s="135" t="s">
        <v>138</v>
      </c>
      <c r="H85" s="135"/>
      <c r="I85" s="136">
        <v>456.5</v>
      </c>
      <c r="J85" s="137"/>
      <c r="L85" s="135" t="s">
        <v>138</v>
      </c>
      <c r="M85" s="135"/>
      <c r="N85" s="136">
        <v>1805</v>
      </c>
      <c r="O85" s="137"/>
      <c r="Q85" s="135" t="s">
        <v>138</v>
      </c>
      <c r="R85" s="135"/>
      <c r="S85" s="136">
        <v>480</v>
      </c>
      <c r="T85" s="137"/>
    </row>
    <row r="86" spans="7:20" ht="11.25" x14ac:dyDescent="0.15">
      <c r="G86" s="135" t="s">
        <v>140</v>
      </c>
      <c r="H86" s="135"/>
      <c r="I86" s="136">
        <v>24.42</v>
      </c>
      <c r="J86" s="137"/>
      <c r="L86" s="135" t="s">
        <v>140</v>
      </c>
      <c r="M86" s="135"/>
      <c r="N86" s="136">
        <v>49.03</v>
      </c>
      <c r="O86" s="137"/>
      <c r="Q86" s="135" t="s">
        <v>140</v>
      </c>
      <c r="R86" s="135"/>
      <c r="S86" s="136">
        <v>25.23</v>
      </c>
      <c r="T86" s="137"/>
    </row>
    <row r="87" spans="7:20" ht="11.25" x14ac:dyDescent="0.15">
      <c r="G87" s="135" t="s">
        <v>142</v>
      </c>
      <c r="H87" s="135"/>
      <c r="I87" s="136" t="s">
        <v>200</v>
      </c>
      <c r="J87" s="137"/>
      <c r="L87" s="135" t="s">
        <v>142</v>
      </c>
      <c r="M87" s="135"/>
      <c r="N87" s="136" t="s">
        <v>253</v>
      </c>
      <c r="O87" s="137"/>
      <c r="Q87" s="135" t="s">
        <v>142</v>
      </c>
      <c r="R87" s="135"/>
      <c r="S87" s="136" t="s">
        <v>200</v>
      </c>
      <c r="T87" s="137"/>
    </row>
    <row r="88" spans="7:20" ht="11.25" x14ac:dyDescent="0.15">
      <c r="G88" s="135" t="s">
        <v>145</v>
      </c>
      <c r="H88" s="135"/>
      <c r="I88" s="136">
        <v>10000</v>
      </c>
      <c r="J88" s="137"/>
      <c r="L88" s="135" t="s">
        <v>145</v>
      </c>
      <c r="M88" s="135"/>
      <c r="N88" s="136">
        <v>16000</v>
      </c>
      <c r="O88" s="137"/>
      <c r="Q88" s="135" t="s">
        <v>145</v>
      </c>
      <c r="R88" s="135"/>
      <c r="S88" s="136">
        <v>40000</v>
      </c>
      <c r="T88" s="137"/>
    </row>
    <row r="89" spans="7:20" ht="12" thickBot="1" x14ac:dyDescent="0.2">
      <c r="G89" s="138" t="s">
        <v>147</v>
      </c>
      <c r="H89" s="138"/>
      <c r="I89" s="139" t="s">
        <v>205</v>
      </c>
      <c r="J89" s="140"/>
      <c r="L89" s="138" t="s">
        <v>147</v>
      </c>
      <c r="M89" s="138"/>
      <c r="N89" s="139" t="s">
        <v>205</v>
      </c>
      <c r="O89" s="140"/>
      <c r="Q89" s="138" t="s">
        <v>147</v>
      </c>
      <c r="R89" s="138"/>
      <c r="S89" s="139" t="s">
        <v>203</v>
      </c>
      <c r="T89" s="140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99"/>
  <sheetViews>
    <sheetView zoomScaleNormal="100" workbookViewId="0">
      <pane ySplit="10" topLeftCell="A89" activePane="bottomLeft" state="frozen"/>
      <selection pane="bottomLeft" activeCell="C108" sqref="C108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59" t="s">
        <v>37</v>
      </c>
      <c r="C1" s="15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43285</v>
      </c>
      <c r="F8" s="8">
        <f t="shared" ref="F8" ca="1" si="1">E8+H8</f>
        <v>43376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-11442.800260330714</v>
      </c>
      <c r="M8" s="15"/>
      <c r="N8" s="13">
        <f t="shared" ref="N8" si="2">M8/10000*I8*P8</f>
        <v>0</v>
      </c>
      <c r="O8" s="13">
        <f>IF(L8&lt;=0,ABS(L8)+N8,L8-N8)</f>
        <v>11442.800260330714</v>
      </c>
      <c r="P8" s="11">
        <f>RTD("wdf.rtq",,D8,"LastPrice")</f>
        <v>0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#DIV/0!</v>
      </c>
      <c r="U8" s="13" t="e">
        <f>_xll.dnetGBlackScholesNGreeks("delta",$Q8,$P8,$G8,$I8,$C$3,$J8,$K8,$C$4)*R8</f>
        <v>#VALUE!</v>
      </c>
      <c r="V8" s="13">
        <f>_xll.dnetGBlackScholesNGreeks("vega",$Q8,$P8,$G8,$I8,$C$3,$J8,$K8,$C$4)*R8</f>
        <v>0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43285</v>
      </c>
      <c r="F9" s="8">
        <f t="shared" ref="F9" ca="1" si="5">E9+H9</f>
        <v>43832.5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43285</v>
      </c>
      <c r="F15" s="8">
        <f t="shared" ref="F15" ca="1" si="10">E15+H15</f>
        <v>43344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43285</v>
      </c>
      <c r="F16" s="8">
        <f t="shared" ref="F16" ca="1" si="17">E16+H16</f>
        <v>43344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43285</v>
      </c>
      <c r="F18" s="8">
        <f t="shared" ref="F18:F23" ca="1" si="24">E18+H18</f>
        <v>43336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13761.489450760782</v>
      </c>
      <c r="M18" s="15">
        <v>30</v>
      </c>
      <c r="N18" s="13">
        <f t="shared" ref="N18:N23" si="26">M18/10000*I18*P18</f>
        <v>0</v>
      </c>
      <c r="O18" s="13">
        <f t="shared" ref="O18:O23" si="27">IF(L18&lt;=0,ABS(L18)+N18,L18-N18)</f>
        <v>13761.489450760782</v>
      </c>
      <c r="P18" s="13">
        <f>RTD("wdf.rtq",,D18,"LastPrice")</f>
        <v>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 t="e">
        <f t="shared" ref="T18:T23" si="29">O18/P18</f>
        <v>#DIV/0!</v>
      </c>
      <c r="U18" s="13" t="e">
        <f>_xll.dnetGBlackScholesNGreeks("delta",$Q18,$P18,$G18,$I18,$C$3,$J18,$K18,$C$4)*R18</f>
        <v>#VALUE!</v>
      </c>
      <c r="V18" s="13">
        <f>_xll.dnetGBlackScholesNGreeks("vega",$Q18,$P18,$G18,$I18,$C$3,$J18,$K18,$C$4)*R18</f>
        <v>0</v>
      </c>
      <c r="W18" s="114"/>
      <c r="X18" s="115">
        <v>400</v>
      </c>
      <c r="Y18" s="6" t="e">
        <f t="shared" ref="Y18:Y23" si="30"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43285</v>
      </c>
      <c r="F19" s="8">
        <f t="shared" ca="1" si="24"/>
        <v>43372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201.36991799975112</v>
      </c>
      <c r="M19" s="15">
        <v>30</v>
      </c>
      <c r="N19" s="13">
        <f t="shared" si="26"/>
        <v>10.08604109589041</v>
      </c>
      <c r="O19" s="13">
        <f t="shared" si="27"/>
        <v>191.28387690386072</v>
      </c>
      <c r="P19" s="13">
        <f>RTD("wdf.rtq",,D19,"LastPrice")</f>
        <v>14105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1.3561423389142908E-2</v>
      </c>
      <c r="U19" s="13">
        <f>_xll.dnetGBlackScholesNGreeks("delta",$Q19,$P19,$G19,$I19,$C$3,$J19,$K19,$C$4)*R19</f>
        <v>-0.34461704813111282</v>
      </c>
      <c r="V19" s="13">
        <f>_xll.dnetGBlackScholesNGreeks("vega",$Q19,$P19,$G19,$I19,$C$3,$J19,$K19,$C$4)*R19</f>
        <v>25.274692807625797</v>
      </c>
      <c r="W19" s="114"/>
      <c r="X19" s="115">
        <v>400</v>
      </c>
      <c r="Y19" s="6">
        <f t="shared" si="30"/>
        <v>-137.84681925244513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43285</v>
      </c>
      <c r="F20" s="8">
        <f t="shared" ca="1" si="24"/>
        <v>43400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203.91288593757054</v>
      </c>
      <c r="M20" s="15">
        <v>30</v>
      </c>
      <c r="N20" s="13">
        <f t="shared" si="26"/>
        <v>12.82931506849315</v>
      </c>
      <c r="O20" s="13">
        <f t="shared" si="27"/>
        <v>191.08357086907739</v>
      </c>
      <c r="P20" s="13">
        <f>RTD("wdf.rtq",,D20,"LastPrice")</f>
        <v>14190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1.3466072647574164E-2</v>
      </c>
      <c r="U20" s="13">
        <f>_xll.dnetGBlackScholesNGreeks("delta",$Q20,$P20,$G20,$I20,$C$3,$J20,$K20,$C$4)*R20</f>
        <v>-0.32225205604845542</v>
      </c>
      <c r="V20" s="13">
        <f>_xll.dnetGBlackScholesNGreeks("vega",$Q20,$P20,$G20,$I20,$C$3,$J20,$K20,$C$4)*R20</f>
        <v>27.823951411313828</v>
      </c>
      <c r="W20" s="114"/>
      <c r="X20" s="115">
        <v>400</v>
      </c>
      <c r="Y20" s="6">
        <f t="shared" si="30"/>
        <v>-128.90082241938217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43285</v>
      </c>
      <c r="F21" s="8">
        <f t="shared" ca="1" si="24"/>
        <v>43336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13960.931326858763</v>
      </c>
      <c r="M21" s="15">
        <v>30</v>
      </c>
      <c r="N21" s="13">
        <f t="shared" si="26"/>
        <v>0</v>
      </c>
      <c r="O21" s="13">
        <f t="shared" si="27"/>
        <v>13960.931326858763</v>
      </c>
      <c r="P21" s="13">
        <f>RTD("wdf.rtq",,D21,"LastPrice")</f>
        <v>0</v>
      </c>
      <c r="Q21" s="10" t="s">
        <v>85</v>
      </c>
      <c r="R21" s="10">
        <f t="shared" si="28"/>
        <v>1</v>
      </c>
      <c r="S21" s="10" t="s">
        <v>151</v>
      </c>
      <c r="T21" s="14" t="e">
        <f t="shared" si="29"/>
        <v>#DIV/0!</v>
      </c>
      <c r="U21" s="13" t="e">
        <f>_xll.dnetGBlackScholesNGreeks("delta",$Q21,$P21,$G21,$I21,$C$3,$J21,$K21,$C$4)*R21</f>
        <v>#VALUE!</v>
      </c>
      <c r="V21" s="13">
        <f>_xll.dnetGBlackScholesNGreeks("vega",$Q21,$P21,$G21,$I21,$C$3,$J21,$K21,$C$4)*R21</f>
        <v>0</v>
      </c>
      <c r="W21" s="114"/>
      <c r="X21" s="115">
        <v>400</v>
      </c>
      <c r="Y21" s="6" t="e">
        <f t="shared" si="30"/>
        <v>#VALUE!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43285</v>
      </c>
      <c r="F22" s="8">
        <f t="shared" ca="1" si="24"/>
        <v>43372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283.98923539386851</v>
      </c>
      <c r="M22" s="15">
        <v>30</v>
      </c>
      <c r="N22" s="13">
        <f t="shared" si="26"/>
        <v>10.08604109589041</v>
      </c>
      <c r="O22" s="13">
        <f t="shared" si="27"/>
        <v>273.90319429797808</v>
      </c>
      <c r="P22" s="13">
        <f>RTD("wdf.rtq",,D22,"LastPrice")</f>
        <v>14105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1.9418872335907698E-2</v>
      </c>
      <c r="U22" s="13">
        <f>_xll.dnetGBlackScholesNGreeks("delta",$Q22,$P22,$G22,$I22,$C$3,$J22,$K22,$C$4)*R22</f>
        <v>-0.43638861870931578</v>
      </c>
      <c r="V22" s="13">
        <f>_xll.dnetGBlackScholesNGreeks("vega",$Q22,$P22,$G22,$I22,$C$3,$J22,$K22,$C$4)*R22</f>
        <v>27.014490703452793</v>
      </c>
      <c r="W22" s="114"/>
      <c r="X22" s="115">
        <v>400</v>
      </c>
      <c r="Y22" s="6">
        <f t="shared" si="30"/>
        <v>-174.55544748372631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43285</v>
      </c>
      <c r="F23" s="8">
        <f t="shared" ca="1" si="24"/>
        <v>43400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43285</v>
      </c>
      <c r="F25" s="8">
        <f t="shared" ref="F25" ca="1" si="32">E25+H25</f>
        <v>43315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43285</v>
      </c>
      <c r="F27" s="8">
        <f t="shared" ref="F27" ca="1" si="39">E27+H27</f>
        <v>43335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179.81277439230689</v>
      </c>
      <c r="M27" s="15">
        <v>30</v>
      </c>
      <c r="N27" s="13">
        <f t="shared" ref="N27" si="41">M27/10000*I27*P27</f>
        <v>7.9849315068493141</v>
      </c>
      <c r="O27" s="13">
        <f t="shared" ref="O27" si="42">IF(L27&lt;=0,ABS(L27)+N27,L27-N27)</f>
        <v>171.82784288545758</v>
      </c>
      <c r="P27" s="11">
        <f>RTD("wdf.rtq",,D27,"LastPrice")</f>
        <v>19430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8.8434298963179399E-3</v>
      </c>
      <c r="U27" s="13">
        <f>_xll.dnetGBlackScholesNGreeks("delta",$Q27,$P27,$G27,$I27,$C$3,$J27,$K27,$C$4)*R27</f>
        <v>-0.30529028090313659</v>
      </c>
      <c r="V27" s="13">
        <f>_xll.dnetGBlackScholesNGreeks("vega",$Q27,$P27,$G27,$I27,$C$3,$J27,$K27,$C$4)*R27</f>
        <v>25.144554772365154</v>
      </c>
      <c r="W27" s="114"/>
      <c r="X27" s="115">
        <v>400</v>
      </c>
      <c r="Y27" s="6">
        <f t="shared" ref="Y27" si="45">X27*U27</f>
        <v>-122.11611236125464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43285</v>
      </c>
      <c r="F29" s="8">
        <f t="shared" ref="F29" ca="1" si="46">E29+H29</f>
        <v>43376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-24.360432866167457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24.360432866167457</v>
      </c>
      <c r="P29" s="11">
        <f>RTD("wdf.rtq",,D29,"LastPrice")</f>
        <v>14190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1.7167324077637391E-3</v>
      </c>
      <c r="U29" s="13">
        <f>_xll.dnetGBlackScholesNGreeks("delta",$Q29,$P29,$G29,$I29,$C$3,$J29,$K29,$C$4)*R29</f>
        <v>3.4672529034196486E-2</v>
      </c>
      <c r="V29" s="13">
        <f>_xll.dnetGBlackScholesNGreeks("vega",$Q29,$P29,$G29,$I29,$C$3,$J29,$K29,$C$4)*R29</f>
        <v>-5.4282042259815739</v>
      </c>
      <c r="W29" s="114"/>
      <c r="X29" s="115">
        <v>400</v>
      </c>
      <c r="Y29" s="6">
        <f t="shared" ref="Y29" si="52">X29*U29</f>
        <v>13.869011613678595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43285</v>
      </c>
      <c r="F31" s="8">
        <f t="shared" ref="F31:F32" ca="1" si="53">E31+H31</f>
        <v>43376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-441.42493270856085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441.42493270856085</v>
      </c>
      <c r="P31" s="11">
        <f>RTD("wdf.rtq",,D31,"LastPrice")</f>
        <v>14190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3.1108170028792168E-2</v>
      </c>
      <c r="U31" s="13">
        <f>_xll.dnetGBlackScholesNGreeks("delta",$Q31,$P31,$G31,$I31,$C$3,$J31,$K31,$C$4)*R31</f>
        <v>0.42272714031241776</v>
      </c>
      <c r="V31" s="13">
        <f>_xll.dnetGBlackScholesNGreeks("vega",$Q31,$P31,$G31,$I31,$C$3,$J31,$K31,$C$4)*R31</f>
        <v>-27.624134356022751</v>
      </c>
      <c r="W31" s="114"/>
      <c r="X31" s="115">
        <v>400</v>
      </c>
      <c r="Y31" s="6">
        <f t="shared" ref="Y31:Y32" si="59">X31*U31</f>
        <v>169.0908561249671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43285</v>
      </c>
      <c r="F32" s="8">
        <f t="shared" ca="1" si="53"/>
        <v>43376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-260.15516525743033</v>
      </c>
      <c r="M32" s="15">
        <v>0</v>
      </c>
      <c r="N32" s="13">
        <f t="shared" si="55"/>
        <v>0</v>
      </c>
      <c r="O32" s="13">
        <f t="shared" si="56"/>
        <v>260.15516525743033</v>
      </c>
      <c r="P32" s="11">
        <f>RTD("wdf.rtq",,D32,"LastPrice")</f>
        <v>14190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1.8333697340199458E-2</v>
      </c>
      <c r="U32" s="13">
        <f>_xll.dnetGBlackScholesNGreeks("delta",$Q32,$P32,$G32,$I32,$C$3,$J32,$K32,$C$4)*R32</f>
        <v>0.28608985594473779</v>
      </c>
      <c r="V32" s="13">
        <f>_xll.dnetGBlackScholesNGreeks("vega",$Q32,$P32,$G32,$I32,$C$3,$J32,$K32,$C$4)*R32</f>
        <v>-24.02754526716808</v>
      </c>
      <c r="W32" s="114"/>
      <c r="X32" s="115">
        <v>400</v>
      </c>
      <c r="Y32" s="6">
        <f t="shared" si="59"/>
        <v>114.43594237789512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43285</v>
      </c>
      <c r="F34" s="8">
        <f t="shared" ref="F34" ca="1" si="60">E34+H34</f>
        <v>43335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478.68673132649246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478.68673132649246</v>
      </c>
      <c r="P34" s="11">
        <f>RTD("wdf.rtq",,D34,"LastPrice")</f>
        <v>0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 t="e">
        <f t="shared" ref="T34" si="65">O34/P34</f>
        <v>#DIV/0!</v>
      </c>
      <c r="U34" s="13" t="e">
        <f>_xll.dnetGBlackScholesNGreeks("delta",$Q34,$P34,$G34,$I34,$C$3,$J34,$K34,$C$4)*R34</f>
        <v>#VALUE!</v>
      </c>
      <c r="V34" s="13">
        <f>_xll.dnetGBlackScholesNGreeks("vega",$Q34,$P34,$G34,$I34,$C$3,$J34,$K34,$C$4)*R34</f>
        <v>0</v>
      </c>
      <c r="W34" s="114"/>
      <c r="X34" s="115">
        <v>400</v>
      </c>
      <c r="Y34" s="6" t="e">
        <f t="shared" ref="Y34" si="66">X34*U34</f>
        <v>#VALUE!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43285</v>
      </c>
      <c r="F35" s="8">
        <f t="shared" ref="F35:F36" ca="1" si="67">E35+H35</f>
        <v>43467</v>
      </c>
      <c r="G35" s="11">
        <f>P35</f>
        <v>12035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1071.8676991001976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1071.8676991001976</v>
      </c>
      <c r="P35" s="11">
        <f>RTD("wdf.rtq",,D35,"LastPrice")</f>
        <v>12035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8.9062542509364157E-2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33.353515469156719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43285</v>
      </c>
      <c r="F36" s="8">
        <f t="shared" ca="1" si="67"/>
        <v>43467</v>
      </c>
      <c r="G36" s="11">
        <f>P36</f>
        <v>12035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804.64837903746047</v>
      </c>
      <c r="M36" s="15">
        <v>0</v>
      </c>
      <c r="N36" s="13">
        <f t="shared" si="69"/>
        <v>0</v>
      </c>
      <c r="O36" s="13">
        <f t="shared" si="70"/>
        <v>804.64837903746047</v>
      </c>
      <c r="P36" s="11">
        <f>RTD("wdf.rtq",,D36,"LastPrice")</f>
        <v>12035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6.68590260936818E-2</v>
      </c>
      <c r="U36" s="13">
        <f>_xll.dnetGBlackScholesNGreeks("delta",$Q36,$P36,$G36,$I36,$C$3,$J36,$K36,$C$4)*R36</f>
        <v>-0.46160896636138204</v>
      </c>
      <c r="V36" s="13">
        <f>_xll.dnetGBlackScholesNGreeks("vega",$Q36,$P36,$G36,$I36,$C$3,$J36,$K36,$C$4)*R36</f>
        <v>33.446779213269565</v>
      </c>
      <c r="W36" s="114"/>
      <c r="X36" s="115">
        <v>400</v>
      </c>
      <c r="Y36" s="6">
        <f t="shared" si="73"/>
        <v>-184.64358654455282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43285</v>
      </c>
      <c r="F38" s="8">
        <f t="shared" ref="F38" ca="1" si="74">E38+H38</f>
        <v>43331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43285</v>
      </c>
      <c r="F39" s="8">
        <f t="shared" ref="F39" ca="1" si="81">E39+H39</f>
        <v>43331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43285</v>
      </c>
      <c r="F41" s="8">
        <f t="shared" ref="F41" ca="1" si="88">E41+H41</f>
        <v>43315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43285</v>
      </c>
      <c r="F43" s="8">
        <f t="shared" ref="F43" ca="1" si="95">E43+H43</f>
        <v>43331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43285</v>
      </c>
      <c r="F45" s="8">
        <f t="shared" ref="F45" ca="1" si="101">E45+H45</f>
        <v>43315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43285</v>
      </c>
      <c r="F47" s="8">
        <f t="shared" ref="F47" ca="1" si="106">E47+H47</f>
        <v>43316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157.08809648024999</v>
      </c>
      <c r="M47" s="15">
        <v>30</v>
      </c>
      <c r="N47" s="13">
        <f t="shared" ref="N47" si="108">M47/10000*I47*P47</f>
        <v>0.81840000000000002</v>
      </c>
      <c r="O47" s="13">
        <f t="shared" ref="O47" si="109">IF(L47&lt;=0,ABS(L47)+N47,L47-N47)</f>
        <v>156.26969648024999</v>
      </c>
      <c r="P47" s="120">
        <f>RTD("wdf.rtq",,D47,"LastPrice")</f>
        <v>3212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4.8651835765955789E-2</v>
      </c>
      <c r="U47" s="13">
        <f>_xll.dnetGBlackScholesNGreeks("delta",$Q47,$P47,$G47,$I47,$C$3,$J47,$K47,$C$4)*R47</f>
        <v>0.78079677216464916</v>
      </c>
      <c r="V47" s="13">
        <f>_xll.dnetGBlackScholesNGreeks("vega",$Q47,$P47,$G47,$I47,$C$3,$J47,$K47,$C$4)*R47</f>
        <v>2.7498837525135968</v>
      </c>
      <c r="W47" s="114"/>
      <c r="X47" s="115">
        <v>500</v>
      </c>
      <c r="Y47" s="6">
        <f>X47*U47</f>
        <v>390.39838608232458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43285</v>
      </c>
      <c r="F48" s="8">
        <f t="shared" ref="F48" ca="1" si="112">E48+H48</f>
        <v>43316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43285</v>
      </c>
      <c r="F50" s="8">
        <f t="shared" ref="F50:F52" ca="1" si="118">E50+H50</f>
        <v>43315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3294.5797986463072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3294.5797986463072</v>
      </c>
      <c r="P50" s="11">
        <f>RTD("wdf.rtq",,D50,"LastPrice")</f>
        <v>0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 t="e">
        <f t="shared" ref="T50:T52" si="123">O50/P50</f>
        <v>#DIV/0!</v>
      </c>
      <c r="U50" s="13" t="e">
        <f>_xll.dnetGBlackScholesNGreeks("delta",$Q50,$P50,$G50,$I50,$C$3,$J50,$K50,$C$4)*R50</f>
        <v>#VALUE!</v>
      </c>
      <c r="V50" s="13">
        <f>_xll.dnetGBlackScholesNGreeks("vega",$Q50,$P50,$G50,$I50,$C$3,$J50,$K50,$C$4)*R50</f>
        <v>0</v>
      </c>
      <c r="W50" s="114"/>
      <c r="X50" s="115">
        <v>500</v>
      </c>
      <c r="Y50" s="6" t="e">
        <f t="shared" ref="Y50:Y55" si="124">X50*U50</f>
        <v>#VALUE!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43285</v>
      </c>
      <c r="F51" s="8">
        <f t="shared" ca="1" si="118"/>
        <v>43315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3394.4155501204377</v>
      </c>
      <c r="M51" s="15"/>
      <c r="N51" s="13">
        <f t="shared" si="120"/>
        <v>0</v>
      </c>
      <c r="O51" s="13">
        <f t="shared" si="121"/>
        <v>3394.4155501204377</v>
      </c>
      <c r="P51" s="11">
        <f>RTD("wdf.rtq",,D51,"LastPrice")</f>
        <v>0</v>
      </c>
      <c r="Q51" s="10" t="s">
        <v>85</v>
      </c>
      <c r="R51" s="10">
        <f t="shared" si="122"/>
        <v>1</v>
      </c>
      <c r="S51" s="10" t="s">
        <v>151</v>
      </c>
      <c r="T51" s="14" t="e">
        <f t="shared" si="123"/>
        <v>#DIV/0!</v>
      </c>
      <c r="U51" s="13" t="e">
        <f>_xll.dnetGBlackScholesNGreeks("delta",$Q51,$P51,$G51,$I51,$C$3,$J51,$K51,$C$4)*R51</f>
        <v>#VALUE!</v>
      </c>
      <c r="V51" s="13">
        <f>_xll.dnetGBlackScholesNGreeks("vega",$Q51,$P51,$G51,$I51,$C$3,$J51,$K51,$C$4)*R51</f>
        <v>0</v>
      </c>
      <c r="W51" s="114"/>
      <c r="X51" s="115">
        <v>500</v>
      </c>
      <c r="Y51" s="6" t="e">
        <f t="shared" si="124"/>
        <v>#VALUE!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43285</v>
      </c>
      <c r="F52" s="8">
        <f t="shared" ca="1" si="118"/>
        <v>43315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3494.2513015945683</v>
      </c>
      <c r="M52" s="15"/>
      <c r="N52" s="13">
        <f t="shared" si="120"/>
        <v>0</v>
      </c>
      <c r="O52" s="13">
        <f t="shared" si="121"/>
        <v>3494.2513015945683</v>
      </c>
      <c r="P52" s="11">
        <f>RTD("wdf.rtq",,D52,"LastPrice")</f>
        <v>0</v>
      </c>
      <c r="Q52" s="10" t="s">
        <v>85</v>
      </c>
      <c r="R52" s="10">
        <f t="shared" si="122"/>
        <v>1</v>
      </c>
      <c r="S52" s="10" t="s">
        <v>151</v>
      </c>
      <c r="T52" s="14" t="e">
        <f t="shared" si="123"/>
        <v>#DIV/0!</v>
      </c>
      <c r="U52" s="13" t="e">
        <f>_xll.dnetGBlackScholesNGreeks("delta",$Q52,$P52,$G52,$I52,$C$3,$J52,$K52,$C$4)*R52</f>
        <v>#VALUE!</v>
      </c>
      <c r="V52" s="13">
        <f>_xll.dnetGBlackScholesNGreeks("vega",$Q52,$P52,$G52,$I52,$C$3,$J52,$K52,$C$4)*R52</f>
        <v>0</v>
      </c>
      <c r="W52" s="114"/>
      <c r="X52" s="115">
        <v>500</v>
      </c>
      <c r="Y52" s="6" t="e">
        <f t="shared" si="124"/>
        <v>#VALUE!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43285</v>
      </c>
      <c r="F53" s="8">
        <f t="shared" ref="F53:F55" ca="1" si="125">E53+H53</f>
        <v>43375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3084.7499625057258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3084.7499625057258</v>
      </c>
      <c r="P53" s="11">
        <f>RTD("wdf.rtq",,D53,"LastPrice")</f>
        <v>0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 t="e">
        <f t="shared" ref="T53:T55" si="130">O53/P53</f>
        <v>#DIV/0!</v>
      </c>
      <c r="U53" s="13" t="e">
        <f>_xll.dnetGBlackScholesNGreeks("delta",$Q53,$P53,$G53,$I53,$C$3,$J53,$K53,$C$4)*R53</f>
        <v>#VALUE!</v>
      </c>
      <c r="V53" s="13">
        <f>_xll.dnetGBlackScholesNGreeks("vega",$Q53,$P53,$G53,$I53,$C$3,$J53,$K53,$C$4)*R53</f>
        <v>0</v>
      </c>
      <c r="W53" s="114"/>
      <c r="X53" s="115">
        <v>500</v>
      </c>
      <c r="Y53" s="6" t="e">
        <f t="shared" si="124"/>
        <v>#VALUE!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43285</v>
      </c>
      <c r="F54" s="8">
        <f t="shared" ca="1" si="125"/>
        <v>43375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3283.7660891189985</v>
      </c>
      <c r="M54" s="15"/>
      <c r="N54" s="13">
        <f t="shared" si="127"/>
        <v>0</v>
      </c>
      <c r="O54" s="13">
        <f t="shared" si="128"/>
        <v>3283.7660891189985</v>
      </c>
      <c r="P54" s="11">
        <f>RTD("wdf.rtq",,D54,"LastPrice")</f>
        <v>0</v>
      </c>
      <c r="Q54" s="10" t="s">
        <v>85</v>
      </c>
      <c r="R54" s="10">
        <f t="shared" si="129"/>
        <v>1</v>
      </c>
      <c r="S54" s="10" t="s">
        <v>151</v>
      </c>
      <c r="T54" s="14" t="e">
        <f t="shared" si="130"/>
        <v>#DIV/0!</v>
      </c>
      <c r="U54" s="13" t="e">
        <f>_xll.dnetGBlackScholesNGreeks("delta",$Q54,$P54,$G54,$I54,$C$3,$J54,$K54,$C$4)*R54</f>
        <v>#VALUE!</v>
      </c>
      <c r="V54" s="13">
        <f>_xll.dnetGBlackScholesNGreeks("vega",$Q54,$P54,$G54,$I54,$C$3,$J54,$K54,$C$4)*R54</f>
        <v>0</v>
      </c>
      <c r="W54" s="114"/>
      <c r="X54" s="115">
        <v>500</v>
      </c>
      <c r="Y54" s="6" t="e">
        <f t="shared" si="124"/>
        <v>#VALUE!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43285</v>
      </c>
      <c r="F55" s="8">
        <f t="shared" ca="1" si="125"/>
        <v>43375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3482.7822157322712</v>
      </c>
      <c r="M55" s="15"/>
      <c r="N55" s="13">
        <f t="shared" si="127"/>
        <v>0</v>
      </c>
      <c r="O55" s="13">
        <f t="shared" si="128"/>
        <v>3482.7822157322712</v>
      </c>
      <c r="P55" s="11">
        <f>RTD("wdf.rtq",,D55,"LastPrice")</f>
        <v>0</v>
      </c>
      <c r="Q55" s="10" t="s">
        <v>85</v>
      </c>
      <c r="R55" s="10">
        <f t="shared" si="129"/>
        <v>1</v>
      </c>
      <c r="S55" s="10" t="s">
        <v>151</v>
      </c>
      <c r="T55" s="14" t="e">
        <f t="shared" si="130"/>
        <v>#DIV/0!</v>
      </c>
      <c r="U55" s="13" t="e">
        <f>_xll.dnetGBlackScholesNGreeks("delta",$Q55,$P55,$G55,$I55,$C$3,$J55,$K55,$C$4)*R55</f>
        <v>#VALUE!</v>
      </c>
      <c r="V55" s="13">
        <f>_xll.dnetGBlackScholesNGreeks("vega",$Q55,$P55,$G55,$I55,$C$3,$J55,$K55,$C$4)*R55</f>
        <v>0</v>
      </c>
      <c r="W55" s="114"/>
      <c r="X55" s="115">
        <v>500</v>
      </c>
      <c r="Y55" s="6" t="e">
        <f t="shared" si="124"/>
        <v>#VALUE!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43285</v>
      </c>
      <c r="F57" s="8">
        <f t="shared" ref="F57" ca="1" si="131">E57+H57</f>
        <v>43316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43285</v>
      </c>
      <c r="F58" s="8">
        <f t="shared" ref="F58:F59" ca="1" si="137">E58+H58</f>
        <v>43346</v>
      </c>
      <c r="G58" s="120">
        <f>P58</f>
        <v>0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 t="e">
        <f>_xll.dnetGBlackScholesNGreeks("price",$Q58,$P58,$G58,$I58,$C$3,$J58,$K58,$C$4)*R58</f>
        <v>#VALUE!</v>
      </c>
      <c r="M58" s="15"/>
      <c r="N58" s="13">
        <f t="shared" ref="N58:N59" si="139">M58/10000*I58*P58</f>
        <v>0</v>
      </c>
      <c r="O58" s="13" t="e">
        <f t="shared" ref="O58:O59" si="140">IF(L58&lt;=0,ABS(L58)+N58,L58-N58)</f>
        <v>#VALUE!</v>
      </c>
      <c r="P58" s="11">
        <f>RTD("wdf.rtq",,D58,"LastPrice")</f>
        <v>0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 t="e">
        <f t="shared" ref="T58:T59" si="142">O58/P58</f>
        <v>#VALUE!</v>
      </c>
      <c r="U58" s="13" t="e">
        <f>_xll.dnetGBlackScholesNGreeks("delta",$Q58,$P58,$G58,$I58,$C$3,$J58,$K58,$C$4)*R58</f>
        <v>#VALUE!</v>
      </c>
      <c r="V58" s="13" t="e">
        <f>_xll.dnetGBlackScholesNGreeks("vega",$Q58,$P58,$G58,$I58,$C$3,$J58,$K58,$C$4)*R58</f>
        <v>#VALUE!</v>
      </c>
      <c r="W58" s="114"/>
      <c r="X58" s="115">
        <v>500</v>
      </c>
      <c r="Y58" s="6" t="e">
        <f>X58*U58</f>
        <v>#VALUE!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43285</v>
      </c>
      <c r="F59" s="8">
        <f t="shared" ca="1" si="137"/>
        <v>43346</v>
      </c>
      <c r="G59" s="120">
        <f>P59</f>
        <v>0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 t="e">
        <f>_xll.dnetGBlackScholesNGreeks("price",$Q59,$P59,$G59,$I59,$C$3,$J59,$K59,$C$4)*R59</f>
        <v>#VALUE!</v>
      </c>
      <c r="M59" s="15"/>
      <c r="N59" s="13">
        <f t="shared" si="139"/>
        <v>0</v>
      </c>
      <c r="O59" s="13" t="e">
        <f t="shared" si="140"/>
        <v>#VALUE!</v>
      </c>
      <c r="P59" s="11">
        <f>RTD("wdf.rtq",,D59,"LastPrice")</f>
        <v>0</v>
      </c>
      <c r="Q59" s="10" t="s">
        <v>283</v>
      </c>
      <c r="R59" s="10">
        <f t="shared" si="141"/>
        <v>-1</v>
      </c>
      <c r="S59" s="10" t="s">
        <v>20</v>
      </c>
      <c r="T59" s="14" t="e">
        <f t="shared" si="142"/>
        <v>#VALUE!</v>
      </c>
      <c r="U59" s="13" t="e">
        <f>_xll.dnetGBlackScholesNGreeks("delta",$Q59,$P59,$G59,$I59,$C$3,$J59,$K59,$C$4)*R59</f>
        <v>#VALUE!</v>
      </c>
      <c r="V59" s="13" t="e">
        <f>_xll.dnetGBlackScholesNGreeks("vega",$Q59,$P59,$G59,$I59,$C$3,$J59,$K59,$C$4)*R59</f>
        <v>#VALUE!</v>
      </c>
      <c r="W59" s="114"/>
      <c r="X59" s="115">
        <v>500</v>
      </c>
      <c r="Y59" s="6" t="e">
        <f>X59*U59</f>
        <v>#VALUE!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43285</v>
      </c>
      <c r="F61" s="8">
        <f t="shared" ref="F61" ca="1" si="143">E61+H61</f>
        <v>43367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-572.86649752738595</v>
      </c>
      <c r="M61" s="15"/>
      <c r="N61" s="13">
        <f t="shared" ref="N61" si="145">M61/10000*I61*P61</f>
        <v>0</v>
      </c>
      <c r="O61" s="13">
        <f t="shared" ref="O61" si="146">IF(L61&lt;=0,ABS(L61)+N61,L61-N61)</f>
        <v>572.86649752738595</v>
      </c>
      <c r="P61" s="11">
        <f>RTD("wdf.rtq",,D61,"LastPrice")</f>
        <v>14105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4.0614427332675361E-2</v>
      </c>
      <c r="U61" s="13">
        <f>_xll.dnetGBlackScholesNGreeks("delta",$Q61,$P61,$G61,$I61,$C$3,$J61,$K61,$C$4)*R61</f>
        <v>0.53814651178072381</v>
      </c>
      <c r="V61" s="13">
        <f>_xll.dnetGBlackScholesNGreeks("vega",$Q61,$P61,$G61,$I61,$C$3,$J61,$K61,$C$4)*R61</f>
        <v>-26.413411878103489</v>
      </c>
      <c r="W61" s="114"/>
      <c r="X61" s="115">
        <v>500</v>
      </c>
      <c r="Y61" s="6">
        <f>X61*U61</f>
        <v>269.07325589036191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43285</v>
      </c>
      <c r="F63" s="8">
        <f t="shared" ref="F63" ca="1" si="149">E63+H63</f>
        <v>43347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43285</v>
      </c>
      <c r="F65" s="8">
        <f t="shared" ref="F65" ca="1" si="154">E65+H65</f>
        <v>43315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43285</v>
      </c>
      <c r="F66" s="8">
        <f t="shared" ref="F66" ca="1" si="159">E66+H66</f>
        <v>43315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43285</v>
      </c>
      <c r="F68" s="8">
        <f t="shared" ref="F68:F69" ca="1" si="164">E68+H68</f>
        <v>43357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43285</v>
      </c>
      <c r="F69" s="8">
        <f t="shared" ca="1" si="164"/>
        <v>43357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43285</v>
      </c>
      <c r="F71" s="8">
        <f t="shared" ref="F71:F72" ca="1" si="169">E71+H71</f>
        <v>43316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>
        <f>_xll.dnetGBlackScholesNGreeks("price",$Q71,$P71,$G71,$I71,$C$3,$J71,$K71,$C$4)*R71</f>
        <v>0</v>
      </c>
      <c r="M71" s="15"/>
      <c r="N71" s="13">
        <f t="shared" ref="N71:N72" si="171">M71/10000*I71*P71</f>
        <v>0</v>
      </c>
      <c r="O71" s="13">
        <f>IF(L71&lt;=0,ABS(L71)+N71,L71-N71)</f>
        <v>0</v>
      </c>
      <c r="P71" s="11">
        <f>RTD("wdf.rtq",,D71,"LastPrice")</f>
        <v>0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 t="e">
        <f t="shared" ref="T71:T72" si="173">O71/P71</f>
        <v>#DIV/0!</v>
      </c>
      <c r="U71" s="13" t="e">
        <f>_xll.dnetGBlackScholesNGreeks("delta",$Q71,$P71,$G71,$I71,$C$3,$J71,$K71,$C$4)*R71</f>
        <v>#VALUE!</v>
      </c>
      <c r="V71" s="13">
        <f>_xll.dnetGBlackScholesNGreeks("vega",$Q71,$P71,$G71,$I71,$C$3,$J71,$K71,$C$4)*R71</f>
        <v>0</v>
      </c>
      <c r="W71" s="114"/>
      <c r="X71" s="115">
        <v>-150338.07269999999</v>
      </c>
      <c r="Y71" s="6" t="e">
        <f>X71*U71</f>
        <v>#VALUE!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43285</v>
      </c>
      <c r="F72" s="8">
        <f t="shared" ca="1" si="169"/>
        <v>43316</v>
      </c>
      <c r="G72" s="120">
        <f>P72</f>
        <v>0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 t="e">
        <f>_xll.dnetGBlackScholesNGreeks("price",$Q72,$P72,$G72,$I72,$C$3,$J72,$K72,$C$4)*R72</f>
        <v>#VALUE!</v>
      </c>
      <c r="M72" s="15"/>
      <c r="N72" s="13">
        <f t="shared" si="171"/>
        <v>0</v>
      </c>
      <c r="O72" s="13" t="e">
        <f>IF(L72&lt;=0,ABS(L72)+N72,L72-N72)</f>
        <v>#VALUE!</v>
      </c>
      <c r="P72" s="11">
        <f>RTD("wdf.rtq",,D72,"LastPrice")</f>
        <v>0</v>
      </c>
      <c r="Q72" s="10" t="s">
        <v>39</v>
      </c>
      <c r="R72" s="10">
        <f t="shared" si="172"/>
        <v>-1</v>
      </c>
      <c r="S72" s="10" t="s">
        <v>20</v>
      </c>
      <c r="T72" s="14" t="e">
        <f t="shared" si="173"/>
        <v>#VALUE!</v>
      </c>
      <c r="U72" s="13" t="e">
        <f>_xll.dnetGBlackScholesNGreeks("delta",$Q72,$P72,$G72,$I72,$C$3,$J72,$K72,$C$4)*R72</f>
        <v>#VALUE!</v>
      </c>
      <c r="V72" s="13" t="e">
        <f>_xll.dnetGBlackScholesNGreeks("vega",$Q72,$P72,$G72,$I72,$C$3,$J72,$K72,$C$4)*R72</f>
        <v>#VALUE!</v>
      </c>
      <c r="W72" s="114"/>
      <c r="X72" s="115">
        <v>-150338.07269999999</v>
      </c>
      <c r="Y72" s="6" t="e">
        <f>X72*U72</f>
        <v>#VALUE!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43285</v>
      </c>
      <c r="F74" s="8">
        <f t="shared" ref="F74:F75" ca="1" si="174">E74+H74</f>
        <v>43316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43285</v>
      </c>
      <c r="F75" s="8">
        <f t="shared" ca="1" si="174"/>
        <v>43316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43285</v>
      </c>
      <c r="F77" s="8">
        <f t="shared" ref="F77" ca="1" si="179">E77+H77</f>
        <v>43300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0</v>
      </c>
      <c r="M77" s="15"/>
      <c r="N77" s="13">
        <f t="shared" ref="N77" si="180">M77/10000*I77*P77</f>
        <v>0</v>
      </c>
      <c r="O77" s="13">
        <f>IF(L77&lt;=0,ABS(L77)+N77,L77-N77)</f>
        <v>0</v>
      </c>
      <c r="P77" s="11">
        <f>RTD("wdf.rtq",,D77,"LastPrice")</f>
        <v>0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 t="e">
        <f t="shared" ref="T77" si="182">O77/P77</f>
        <v>#DIV/0!</v>
      </c>
      <c r="U77" s="13" t="e">
        <f>_xll.dnetGBlackScholesNGreeks("delta",$Q77,$P77,$G77,$I77,$C$3,$J77,$K77,$C$4)*R77</f>
        <v>#VALUE!</v>
      </c>
      <c r="V77" s="13">
        <f>_xll.dnetGBlackScholesNGreeks("vega",$Q77,$P77,$G77,$I77,$C$3,$J77,$K77,$C$4)*R77</f>
        <v>0</v>
      </c>
      <c r="W77" s="114"/>
      <c r="X77" s="115">
        <v>-150338.07269999999</v>
      </c>
      <c r="Y77" s="6" t="e">
        <f>X77*U77</f>
        <v>#VALUE!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43285</v>
      </c>
      <c r="F79" s="8">
        <f t="shared" ref="F79:F84" ca="1" si="183">E79+H79</f>
        <v>43316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43285</v>
      </c>
      <c r="F80" s="8">
        <f t="shared" ca="1" si="183"/>
        <v>43316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43285</v>
      </c>
      <c r="F81" s="8">
        <f t="shared" ca="1" si="183"/>
        <v>43316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43285</v>
      </c>
      <c r="F82" s="8">
        <f t="shared" ca="1" si="183"/>
        <v>43377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43285</v>
      </c>
      <c r="F83" s="8">
        <f t="shared" ca="1" si="183"/>
        <v>43377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43285</v>
      </c>
      <c r="F84" s="8">
        <f t="shared" ca="1" si="183"/>
        <v>43377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43285</v>
      </c>
      <c r="F86" s="8">
        <f t="shared" ref="F86" ca="1" si="190">E86+H86</f>
        <v>43316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>
        <f>_xll.dnetGBlackScholesNGreeks("price",$Q86,$P86,$G86,$I86,$C$3,$J86,$K86,$C$4)*R86</f>
        <v>0</v>
      </c>
      <c r="M86" s="15"/>
      <c r="N86" s="13">
        <f t="shared" ref="N86" si="191">M86/10000*I86*P86</f>
        <v>0</v>
      </c>
      <c r="O86" s="13">
        <f>IF(L86&lt;=0,ABS(L86)+N86,L86-N86)</f>
        <v>0</v>
      </c>
      <c r="P86" s="11">
        <f>RTD("wdf.rtq",,D86,"LastPrice")</f>
        <v>0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 t="e">
        <f t="shared" ref="T86" si="193">O86/P86</f>
        <v>#DIV/0!</v>
      </c>
      <c r="U86" s="13" t="e">
        <f>_xll.dnetGBlackScholesNGreeks("delta",$Q86,$P86,$G86,$I86,$C$3,$J86,$K86,$C$4)*R86</f>
        <v>#VALUE!</v>
      </c>
      <c r="V86" s="13">
        <f>_xll.dnetGBlackScholesNGreeks("vega",$Q86,$P86,$G86,$I86,$C$3,$J86,$K86,$C$4)*R86</f>
        <v>0</v>
      </c>
      <c r="W86" s="114"/>
      <c r="X86" s="115">
        <v>-150338.07269999999</v>
      </c>
      <c r="Y86" s="6" t="e">
        <f>X86*U86</f>
        <v>#VALUE!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43285</v>
      </c>
      <c r="F88" s="8">
        <f t="shared" ref="F88:F89" ca="1" si="194">E88+H88</f>
        <v>43324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43285</v>
      </c>
      <c r="F89" s="8">
        <f t="shared" ca="1" si="194"/>
        <v>43324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43285</v>
      </c>
      <c r="F91" s="8">
        <f t="shared" ref="F91" ca="1" si="198">E91+H91</f>
        <v>43315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43285</v>
      </c>
      <c r="F92" s="8">
        <f t="shared" ref="F92" ca="1" si="202">E92+H92</f>
        <v>43315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43285</v>
      </c>
      <c r="F94" s="8">
        <f t="shared" ref="F94:F95" ca="1" si="206">E94+H94</f>
        <v>43315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43285</v>
      </c>
      <c r="F95" s="8">
        <f t="shared" ca="1" si="206"/>
        <v>43347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99" ca="1" si="211">TODAY()</f>
        <v>43285</v>
      </c>
      <c r="F97" s="8">
        <f t="shared" ref="F97:F98" ca="1" si="212">E97+H97</f>
        <v>43315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47.996038049101003</v>
      </c>
      <c r="M97" s="15"/>
      <c r="N97" s="13">
        <f t="shared" ref="N97:N98" si="213">M97/10000*I97*P97</f>
        <v>0</v>
      </c>
      <c r="O97" s="13">
        <f>IF(L97&lt;=0,ABS(L97)+N97,L97-N97)</f>
        <v>47.996038049101003</v>
      </c>
      <c r="P97" s="11">
        <f>RTD("wdf.rtq",,D97,"LastPrice")</f>
        <v>2045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2.3469945256284108E-2</v>
      </c>
      <c r="U97" s="13">
        <f>_xll.dnetGBlackScholesNGreeks("delta",$Q97,$P97,$G97,$I97,$C$3,$J97,$K97,$C$4)*R97</f>
        <v>0.39685834764782157</v>
      </c>
      <c r="V97" s="13">
        <f>_xll.dnetGBlackScholesNGreeks("vega",$Q97,$P97,$G97,$I97,$C$3,$J97,$K97,$C$4)*R97</f>
        <v>2.2574944811151454</v>
      </c>
      <c r="W97" s="114"/>
      <c r="X97" s="115">
        <v>-150338.07269999999</v>
      </c>
      <c r="Y97" s="6">
        <f>X97*U97</f>
        <v>-59662.919120280072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43285</v>
      </c>
      <c r="F98" s="8">
        <f t="shared" ca="1" si="212"/>
        <v>43315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32.256587290221205</v>
      </c>
      <c r="M98" s="15"/>
      <c r="N98" s="13">
        <f t="shared" si="213"/>
        <v>0</v>
      </c>
      <c r="O98" s="13">
        <f>IF(L98&lt;=0,ABS(L98)+N98,L98-N98)</f>
        <v>32.256587290221205</v>
      </c>
      <c r="P98" s="11">
        <f>RTD("wdf.rtq",,D98,"LastPrice")</f>
        <v>2045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1.5773392317956578E-2</v>
      </c>
      <c r="U98" s="13">
        <f>_xll.dnetGBlackScholesNGreeks("delta",$Q98,$P98,$G98,$I98,$C$3,$J98,$K98,$C$4)*R98</f>
        <v>0.29794850856319499</v>
      </c>
      <c r="V98" s="13">
        <f>_xll.dnetGBlackScholesNGreeks("vega",$Q98,$P98,$G98,$I98,$C$3,$J98,$K98,$C$4)*R98</f>
        <v>2.0299825565273864</v>
      </c>
      <c r="W98" s="114"/>
      <c r="X98" s="115">
        <v>-150338.07269999999</v>
      </c>
      <c r="Y98" s="6">
        <f>X98*U98</f>
        <v>-44793.004541230177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43285</v>
      </c>
      <c r="F99" s="8">
        <f t="shared" ref="F99" ca="1" si="216">E99+H99</f>
        <v>43315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20.885870467227733</v>
      </c>
      <c r="M99" s="15"/>
      <c r="N99" s="13">
        <f t="shared" ref="N99" si="217">M99/10000*I99*P99</f>
        <v>0</v>
      </c>
      <c r="O99" s="13">
        <f>IF(L99&lt;=0,ABS(L99)+N99,L99-N99)</f>
        <v>20.885870467227733</v>
      </c>
      <c r="P99" s="11">
        <f>RTD("wdf.rtq",,D99,"LastPrice")</f>
        <v>2045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1.0213139592776397E-2</v>
      </c>
      <c r="U99" s="13">
        <f>_xll.dnetGBlackScholesNGreeks("delta",$Q99,$P99,$G99,$I99,$C$3,$J99,$K99,$C$4)*R99</f>
        <v>0.21388339086172437</v>
      </c>
      <c r="V99" s="13">
        <f>_xll.dnetGBlackScholesNGreeks("vega",$Q99,$P99,$G99,$I99,$C$3,$J99,$K99,$C$4)*R99</f>
        <v>1.7062173463831414</v>
      </c>
      <c r="W99" s="114"/>
      <c r="X99" s="115">
        <v>-150338.07269999999</v>
      </c>
      <c r="Y99" s="6">
        <f>X99*U99</f>
        <v>-32154.81676469243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8"/>
  <sheetViews>
    <sheetView topLeftCell="A28" zoomScale="85" zoomScaleNormal="85" workbookViewId="0">
      <selection activeCell="C58" sqref="C58:Q5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0" t="s">
        <v>37</v>
      </c>
      <c r="C1" s="15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43285</v>
      </c>
      <c r="F8" s="46">
        <f ca="1">E8+H8</f>
        <v>43315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43285</v>
      </c>
      <c r="F9" s="54">
        <f ca="1">F8</f>
        <v>43315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43285</v>
      </c>
      <c r="F10" s="62">
        <f ca="1">F9</f>
        <v>43315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43285</v>
      </c>
      <c r="F11" s="46">
        <f ca="1">E11+H11</f>
        <v>43300</v>
      </c>
      <c r="G11" s="113">
        <f>P11-20</f>
        <v>-20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19.983568397474013</v>
      </c>
      <c r="M11" s="49"/>
      <c r="N11" s="43"/>
      <c r="O11" s="43">
        <f t="shared" ref="O11:O13" si="1">IF(L11&lt;=0,ABS(L11)+N11,L11-N11)</f>
        <v>19.983568397474013</v>
      </c>
      <c r="P11" s="110">
        <f>RTD("wdf.rtq",,D11,"LastPrice")</f>
        <v>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>
        <f>_xll.dnetGBlackScholesNGreeks("vega",$Q11,$P11,$G11,$I11,$C$3,$J11,$K11,$C$4)*R11</f>
        <v>0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43285</v>
      </c>
      <c r="F12" s="54">
        <f t="shared" ca="1" si="2"/>
        <v>43300</v>
      </c>
      <c r="G12" s="52">
        <f>G11+50</f>
        <v>30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0</v>
      </c>
      <c r="M12" s="57"/>
      <c r="N12" s="51"/>
      <c r="O12" s="51">
        <f t="shared" si="1"/>
        <v>0</v>
      </c>
      <c r="P12" s="94">
        <f>P11</f>
        <v>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>
        <f>_xll.dnetGBlackScholesNGreeks("vega",$Q12,$P12,$G12,$I12,$C$3,$J12,$K12,$C$4)*R12</f>
        <v>0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43285</v>
      </c>
      <c r="F13" s="62">
        <f t="shared" ca="1" si="3"/>
        <v>43300</v>
      </c>
      <c r="G13" s="60" t="str">
        <f>G11 &amp; "|" &amp; G12</f>
        <v>-20|30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19.983568397474013</v>
      </c>
      <c r="M13" s="60">
        <v>0</v>
      </c>
      <c r="N13" s="59">
        <f>M13/10000*I13*P13</f>
        <v>0</v>
      </c>
      <c r="O13" s="59">
        <f t="shared" si="1"/>
        <v>19.983568397474013</v>
      </c>
      <c r="P13" s="111">
        <f>P12</f>
        <v>0</v>
      </c>
      <c r="Q13" s="60"/>
      <c r="R13" s="60"/>
      <c r="S13" s="56" t="s">
        <v>151</v>
      </c>
      <c r="T13" s="64" t="e">
        <f>O13/P13</f>
        <v>#DIV/0!</v>
      </c>
      <c r="U13" s="64" t="e">
        <f>U12+U11</f>
        <v>#VALUE!</v>
      </c>
      <c r="V13" s="64">
        <f>V12+V11</f>
        <v>0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43285</v>
      </c>
      <c r="F14" s="46">
        <f ca="1">E14+H14</f>
        <v>43376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0</v>
      </c>
      <c r="M14" s="49"/>
      <c r="N14" s="43"/>
      <c r="O14" s="43">
        <f t="shared" ref="O14:O16" si="4">IF(L14&lt;=0,ABS(L14)+N14,L14-N14)</f>
        <v>0</v>
      </c>
      <c r="P14" s="110">
        <f>RTD("wdf.rtq",,D14,"LastPrice")</f>
        <v>0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>
        <f>_xll.dnetGBlackScholesNGreeks("vega",$Q14,$P14,$G14,$I14,$C$3,$J14,$K14,$C$4)*R14</f>
        <v>0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43285</v>
      </c>
      <c r="F15" s="54">
        <f t="shared" ca="1" si="5"/>
        <v>43376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3263.6856394682386</v>
      </c>
      <c r="M15" s="57"/>
      <c r="N15" s="51"/>
      <c r="O15" s="51">
        <f t="shared" si="4"/>
        <v>3263.6856394682386</v>
      </c>
      <c r="P15" s="94">
        <f>P14</f>
        <v>0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>
        <f>_xll.dnetGBlackScholesNGreeks("vega",$Q15,$P15,$G15,$I15,$C$3,$J15,$K15,$C$4)*R15</f>
        <v>0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43285</v>
      </c>
      <c r="F16" s="62">
        <f t="shared" ca="1" si="6"/>
        <v>43376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3263.6856394682386</v>
      </c>
      <c r="M16" s="60">
        <v>0</v>
      </c>
      <c r="N16" s="59">
        <f>M16/10000*I16*P16</f>
        <v>0</v>
      </c>
      <c r="O16" s="59">
        <f t="shared" si="4"/>
        <v>3263.6856394682386</v>
      </c>
      <c r="P16" s="111">
        <f>P15</f>
        <v>0</v>
      </c>
      <c r="Q16" s="60"/>
      <c r="R16" s="60"/>
      <c r="S16" s="56" t="s">
        <v>151</v>
      </c>
      <c r="T16" s="64" t="e">
        <f>O16/P16</f>
        <v>#DIV/0!</v>
      </c>
      <c r="U16" s="64" t="e">
        <f>U15+U14</f>
        <v>#VALUE!</v>
      </c>
      <c r="V16" s="64">
        <f>V15+V14</f>
        <v>0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43285</v>
      </c>
      <c r="F18" s="46">
        <f ca="1">E18+H18</f>
        <v>43316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16.698929348263846</v>
      </c>
      <c r="M18" s="49"/>
      <c r="N18" s="43"/>
      <c r="O18" s="43">
        <f t="shared" ref="O18:O20" si="7">IF(L18&lt;=0,ABS(L18)+N18,L18-N18)</f>
        <v>16.698929348263846</v>
      </c>
      <c r="P18" s="110">
        <f>RTD("wdf.rtq",,D18,"LastPrice")</f>
        <v>3116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-0.20097484796792742</v>
      </c>
      <c r="V18" s="43">
        <f>_xll.dnetGBlackScholesNGreeks("vega",$Q18,$P18,$G18,$I18,$C$3,$J18,$K18,$C$4)*R18</f>
        <v>2.5454521187094201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43285</v>
      </c>
      <c r="F19" s="54">
        <f t="shared" ca="1" si="8"/>
        <v>43316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-14.544949583456741</v>
      </c>
      <c r="M19" s="57"/>
      <c r="N19" s="51"/>
      <c r="O19" s="51">
        <f t="shared" si="7"/>
        <v>14.544949583456741</v>
      </c>
      <c r="P19" s="94">
        <f>P18</f>
        <v>3116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-0.17036551068940753</v>
      </c>
      <c r="V19" s="51">
        <f>_xll.dnetGBlackScholesNGreeks("vega",$Q19,$P19,$G19,$I19,$C$3,$J19,$K19,$C$4)*R19</f>
        <v>-2.2974140372638772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43285</v>
      </c>
      <c r="F20" s="62">
        <f t="shared" ca="1" si="9"/>
        <v>43316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2.1539797648071044</v>
      </c>
      <c r="M20" s="60">
        <v>0</v>
      </c>
      <c r="N20" s="59">
        <f>M20/10000*I20*P20</f>
        <v>0</v>
      </c>
      <c r="O20" s="59">
        <f t="shared" si="7"/>
        <v>2.1539797648071044</v>
      </c>
      <c r="P20" s="111">
        <f>P19</f>
        <v>3116</v>
      </c>
      <c r="Q20" s="60"/>
      <c r="R20" s="60"/>
      <c r="S20" s="56"/>
      <c r="T20" s="64">
        <f>O20/P20</f>
        <v>6.9126436611267796E-4</v>
      </c>
      <c r="U20" s="64">
        <f>U19+U18</f>
        <v>-0.37134035865733495</v>
      </c>
      <c r="V20" s="64">
        <f>V19+V18</f>
        <v>0.24803808144554296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43285</v>
      </c>
      <c r="F21" s="46">
        <f ca="1">E21+H21</f>
        <v>43377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50.436671676266769</v>
      </c>
      <c r="M21" s="49"/>
      <c r="N21" s="43"/>
      <c r="O21" s="43">
        <f t="shared" ref="O21:O23" si="10">IF(L21&lt;=0,ABS(L21)+N21,L21-N21)</f>
        <v>50.436671676266769</v>
      </c>
      <c r="P21" s="110">
        <f>RTD("wdf.rtq",,D21,"LastPrice")</f>
        <v>3116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-0.30263853271890184</v>
      </c>
      <c r="V21" s="43">
        <f>_xll.dnetGBlackScholesNGreeks("vega",$Q21,$P21,$G21,$I21,$C$3,$J21,$K21,$C$4)*R21</f>
        <v>5.4433382899804883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43285</v>
      </c>
      <c r="F22" s="54">
        <f t="shared" ca="1" si="11"/>
        <v>43377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-51.062854449377937</v>
      </c>
      <c r="M22" s="57"/>
      <c r="N22" s="51"/>
      <c r="O22" s="51">
        <f t="shared" si="10"/>
        <v>51.062854449377937</v>
      </c>
      <c r="P22" s="94">
        <f>P21</f>
        <v>3116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-0.29917936173546877</v>
      </c>
      <c r="V22" s="51">
        <f>_xll.dnetGBlackScholesNGreeks("vega",$Q22,$P22,$G22,$I22,$C$3,$J22,$K22,$C$4)*R22</f>
        <v>-5.4151300576068024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43285</v>
      </c>
      <c r="F23" s="62">
        <f t="shared" ca="1" si="12"/>
        <v>43377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-0.62618277311116799</v>
      </c>
      <c r="M23" s="60">
        <v>0</v>
      </c>
      <c r="N23" s="59">
        <f>M23/10000*I23*P23</f>
        <v>0</v>
      </c>
      <c r="O23" s="59">
        <f t="shared" si="10"/>
        <v>0.62618277311116799</v>
      </c>
      <c r="P23" s="111">
        <f>P22</f>
        <v>3116</v>
      </c>
      <c r="Q23" s="60"/>
      <c r="R23" s="60"/>
      <c r="S23" s="56"/>
      <c r="T23" s="64">
        <f>O23/P23</f>
        <v>2.0095724425903979E-4</v>
      </c>
      <c r="U23" s="64">
        <f>U22+U21</f>
        <v>-0.60181789445437062</v>
      </c>
      <c r="V23" s="64">
        <f>V22+V21</f>
        <v>2.820823237368586E-2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43285</v>
      </c>
      <c r="F26" s="46">
        <f ca="1">E26+H26</f>
        <v>43315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3494.2513015945683</v>
      </c>
      <c r="M26" s="49"/>
      <c r="N26" s="43"/>
      <c r="O26" s="43">
        <f t="shared" ref="O26:O31" si="13">IF(L26&lt;=0,ABS(L26)+N26,L26-N26)</f>
        <v>3494.2513015945683</v>
      </c>
      <c r="P26" s="110">
        <f>RTD("wdf.rtq",,D26,"LastPrice")</f>
        <v>0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 t="e">
        <f>_xll.dnetGBlackScholesNGreeks("delta",$Q26,$P26,$G26,$I26,$C$3,$J26,$K26,$C$4)*R26</f>
        <v>#VALUE!</v>
      </c>
      <c r="V26" s="43">
        <f>_xll.dnetGBlackScholesNGreeks("vega",$Q26,$P26,$G26,$I26,$C$3,$J26,$K26,$C$4)*R26</f>
        <v>0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43285</v>
      </c>
      <c r="F27" s="54">
        <f t="shared" ca="1" si="14"/>
        <v>43315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0</v>
      </c>
      <c r="M27" s="57"/>
      <c r="N27" s="51"/>
      <c r="O27" s="51">
        <f t="shared" si="13"/>
        <v>0</v>
      </c>
      <c r="P27" s="94">
        <f>RTD("wdf.rtq",,D27,"LastPrice")</f>
        <v>0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 t="e">
        <f>_xll.dnetGBlackScholesNGreeks("delta",$Q27,$P27,$G27,$I27,$C$3,$J27,$K27,$C$4)*R27</f>
        <v>#VALUE!</v>
      </c>
      <c r="V27" s="51">
        <f>_xll.dnetGBlackScholesNGreeks("vega",$Q27,$P27,$G27,$I27,$C$3,$J27,$K27,$C$4)*R27</f>
        <v>0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43285</v>
      </c>
      <c r="F28" s="62">
        <f t="shared" ca="1" si="15"/>
        <v>43315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3494.2513015945683</v>
      </c>
      <c r="M28" s="60">
        <v>0</v>
      </c>
      <c r="N28" s="59">
        <f>M28/10000*I28*P28</f>
        <v>0</v>
      </c>
      <c r="O28" s="59">
        <f t="shared" si="13"/>
        <v>3494.2513015945683</v>
      </c>
      <c r="P28" s="111">
        <f>RTD("wdf.rtq",,D28,"LastPrice")</f>
        <v>0</v>
      </c>
      <c r="Q28" s="60"/>
      <c r="R28" s="60"/>
      <c r="S28" s="56"/>
      <c r="T28" s="64" t="e">
        <f>O28/P28</f>
        <v>#DIV/0!</v>
      </c>
      <c r="U28" s="64" t="e">
        <f>U27+U26</f>
        <v>#VALUE!</v>
      </c>
      <c r="V28" s="64">
        <f>V27+V26</f>
        <v>0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43285</v>
      </c>
      <c r="F29" s="46">
        <f ca="1">E29+H29</f>
        <v>43315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3394.4155501204377</v>
      </c>
      <c r="M29" s="49"/>
      <c r="N29" s="43"/>
      <c r="O29" s="43">
        <f t="shared" si="13"/>
        <v>3394.4155501204377</v>
      </c>
      <c r="P29" s="110">
        <f>RTD("wdf.rtq",,D29,"LastPrice")</f>
        <v>0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 t="e">
        <f>_xll.dnetGBlackScholesNGreeks("delta",$Q29,$P29,$G29,$I29,$C$3,$J29,$K29,$C$4)*R29</f>
        <v>#VALUE!</v>
      </c>
      <c r="V29" s="43">
        <f>_xll.dnetGBlackScholesNGreeks("vega",$Q29,$P29,$G29,$I29,$C$3,$J29,$K29,$C$4)*R29</f>
        <v>0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43285</v>
      </c>
      <c r="F30" s="54">
        <f t="shared" ca="1" si="16"/>
        <v>43315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0</v>
      </c>
      <c r="M30" s="57"/>
      <c r="N30" s="51"/>
      <c r="O30" s="51">
        <f t="shared" si="13"/>
        <v>0</v>
      </c>
      <c r="P30" s="94">
        <f>RTD("wdf.rtq",,D30,"LastPrice")</f>
        <v>0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 t="e">
        <f>_xll.dnetGBlackScholesNGreeks("delta",$Q30,$P30,$G30,$I30,$C$3,$J30,$K30,$C$4)*R30</f>
        <v>#VALUE!</v>
      </c>
      <c r="V30" s="51">
        <f>_xll.dnetGBlackScholesNGreeks("vega",$Q30,$P30,$G30,$I30,$C$3,$J30,$K30,$C$4)*R30</f>
        <v>0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43285</v>
      </c>
      <c r="F31" s="62">
        <f t="shared" ca="1" si="17"/>
        <v>43315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3394.4155501204377</v>
      </c>
      <c r="M31" s="60">
        <v>0</v>
      </c>
      <c r="N31" s="59">
        <f>M31/10000*I31*P31</f>
        <v>0</v>
      </c>
      <c r="O31" s="59">
        <f t="shared" si="13"/>
        <v>3394.4155501204377</v>
      </c>
      <c r="P31" s="111">
        <f>RTD("wdf.rtq",,D31,"LastPrice")</f>
        <v>0</v>
      </c>
      <c r="Q31" s="60"/>
      <c r="R31" s="60"/>
      <c r="S31" s="56"/>
      <c r="T31" s="64" t="e">
        <f>O31/P31</f>
        <v>#DIV/0!</v>
      </c>
      <c r="U31" s="64" t="e">
        <f>U30+U29</f>
        <v>#VALUE!</v>
      </c>
      <c r="V31" s="64">
        <f>V30+V29</f>
        <v>0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43285</v>
      </c>
      <c r="F32" s="46">
        <f ca="1">E32+H32</f>
        <v>43315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3294.5797986463072</v>
      </c>
      <c r="M32" s="49"/>
      <c r="N32" s="43"/>
      <c r="O32" s="43">
        <f t="shared" ref="O32:O34" si="18">IF(L32&lt;=0,ABS(L32)+N32,L32-N32)</f>
        <v>3294.5797986463072</v>
      </c>
      <c r="P32" s="110">
        <f>RTD("wdf.rtq",,D32,"LastPrice")</f>
        <v>0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 t="e">
        <f>_xll.dnetGBlackScholesNGreeks("delta",$Q32,$P32,$G32,$I32,$C$3,$J32,$K32,$C$4)*R32</f>
        <v>#VALUE!</v>
      </c>
      <c r="V32" s="43">
        <f>_xll.dnetGBlackScholesNGreeks("vega",$Q32,$P32,$G32,$I32,$C$3,$J32,$K32,$C$4)*R32</f>
        <v>0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43285</v>
      </c>
      <c r="F33" s="54">
        <f t="shared" ca="1" si="19"/>
        <v>43315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0</v>
      </c>
      <c r="M33" s="57"/>
      <c r="N33" s="51"/>
      <c r="O33" s="51">
        <f t="shared" si="18"/>
        <v>0</v>
      </c>
      <c r="P33" s="94">
        <f>RTD("wdf.rtq",,D33,"LastPrice")</f>
        <v>0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 t="e">
        <f>_xll.dnetGBlackScholesNGreeks("delta",$Q33,$P33,$G33,$I33,$C$3,$J33,$K33,$C$4)*R33</f>
        <v>#VALUE!</v>
      </c>
      <c r="V33" s="51">
        <f>_xll.dnetGBlackScholesNGreeks("vega",$Q33,$P33,$G33,$I33,$C$3,$J33,$K33,$C$4)*R33</f>
        <v>0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43285</v>
      </c>
      <c r="F34" s="62">
        <f t="shared" ca="1" si="20"/>
        <v>43315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3294.5797986463072</v>
      </c>
      <c r="M34" s="60">
        <v>0</v>
      </c>
      <c r="N34" s="59">
        <f>M34/10000*I34*P34</f>
        <v>0</v>
      </c>
      <c r="O34" s="59">
        <f t="shared" si="18"/>
        <v>3294.5797986463072</v>
      </c>
      <c r="P34" s="111">
        <f>RTD("wdf.rtq",,D34,"LastPrice")</f>
        <v>0</v>
      </c>
      <c r="Q34" s="60"/>
      <c r="R34" s="60"/>
      <c r="S34" s="56"/>
      <c r="T34" s="64" t="e">
        <f>O34/P34</f>
        <v>#DIV/0!</v>
      </c>
      <c r="U34" s="64" t="e">
        <f>U33+U32</f>
        <v>#VALUE!</v>
      </c>
      <c r="V34" s="64">
        <f>V33+V32</f>
        <v>0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43285</v>
      </c>
      <c r="F36" s="46">
        <f ca="1">E36+H36</f>
        <v>43316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43285</v>
      </c>
      <c r="F37" s="54">
        <f t="shared" ca="1" si="22"/>
        <v>43316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43285</v>
      </c>
      <c r="F38" s="62">
        <f t="shared" ca="1" si="23"/>
        <v>43316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43285</v>
      </c>
      <c r="F39" s="46">
        <f ca="1">E39+H39</f>
        <v>43316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43285</v>
      </c>
      <c r="F40" s="54">
        <f t="shared" ca="1" si="24"/>
        <v>43316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43285</v>
      </c>
      <c r="F41" s="62">
        <f t="shared" ca="1" si="25"/>
        <v>43316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43285</v>
      </c>
      <c r="F42" s="46">
        <f ca="1">E42+H42</f>
        <v>43316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43285</v>
      </c>
      <c r="F43" s="54">
        <f t="shared" ca="1" si="26"/>
        <v>43316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43285</v>
      </c>
      <c r="F44" s="62">
        <f t="shared" ca="1" si="27"/>
        <v>43316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43285</v>
      </c>
      <c r="F46" s="46">
        <f ca="1">E46+H46</f>
        <v>43377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43285</v>
      </c>
      <c r="F47" s="54">
        <f t="shared" ca="1" si="29"/>
        <v>43377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43285</v>
      </c>
      <c r="F48" s="62">
        <f t="shared" ca="1" si="30"/>
        <v>43377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43285</v>
      </c>
      <c r="F49" s="46">
        <f ca="1">E49+H49</f>
        <v>43377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43285</v>
      </c>
      <c r="F50" s="54">
        <f t="shared" ca="1" si="31"/>
        <v>43377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43285</v>
      </c>
      <c r="F51" s="62">
        <f t="shared" ca="1" si="32"/>
        <v>43377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298</v>
      </c>
      <c r="E52" s="46">
        <f ca="1">TODAY()</f>
        <v>43285</v>
      </c>
      <c r="F52" s="46">
        <f ca="1">E52+H52</f>
        <v>43377</v>
      </c>
      <c r="G52" s="118">
        <v>420</v>
      </c>
      <c r="H52" s="44">
        <v>92</v>
      </c>
      <c r="I52" s="47">
        <f>H52/365</f>
        <v>0.25205479452054796</v>
      </c>
      <c r="J52" s="47">
        <v>0</v>
      </c>
      <c r="K52" s="48">
        <f>K53-0.0325</f>
        <v>0.29000000000000004</v>
      </c>
      <c r="L52" s="43">
        <f>_xll.dnetGBlackScholesNGreeks("price",$Q52,$P52,$G52,$I52,$C$3,$J52,$K52,$C$4)*R52</f>
        <v>8.2052168782229273</v>
      </c>
      <c r="M52" s="49"/>
      <c r="N52" s="43"/>
      <c r="O52" s="43">
        <f t="shared" si="28"/>
        <v>8.2052168782229273</v>
      </c>
      <c r="P52" s="110">
        <v>469.5</v>
      </c>
      <c r="Q52" s="44" t="s">
        <v>85</v>
      </c>
      <c r="R52" s="44">
        <f>IF(S52="中金买入",1,-1)</f>
        <v>1</v>
      </c>
      <c r="S52" s="48" t="s">
        <v>151</v>
      </c>
      <c r="T52" s="50"/>
      <c r="U52" s="43">
        <f>_xll.dnetGBlackScholesNGreeks("delta",$Q52,$P52,$G52,$I52,$C$3,$J52,$K52,$C$4)*R52</f>
        <v>-0.19999658719953572</v>
      </c>
      <c r="V52" s="43">
        <f>_xll.dnetGBlackScholesNGreeks("vega",$Q52,$P52,$G52,$I52,$C$3,$J52,$K52,$C$4)*R52</f>
        <v>0.65838560796377976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">
        <v>298</v>
      </c>
      <c r="E53" s="54">
        <f t="shared" ref="E53:F53" ca="1" si="33">E52</f>
        <v>43285</v>
      </c>
      <c r="F53" s="54">
        <f t="shared" ca="1" si="33"/>
        <v>43377</v>
      </c>
      <c r="G53" s="119">
        <v>490</v>
      </c>
      <c r="H53" s="52">
        <f>H52</f>
        <v>92</v>
      </c>
      <c r="I53" s="55">
        <f>H53/365</f>
        <v>0.25205479452054796</v>
      </c>
      <c r="J53" s="55">
        <f>J52</f>
        <v>0</v>
      </c>
      <c r="K53" s="56">
        <v>0.32250000000000001</v>
      </c>
      <c r="L53" s="51">
        <f>_xll.dnetGBlackScholesNGreeks("price",$Q53,$P53,$G53,$I53,$C$3,$J53,$K53,$C$4)*R53</f>
        <v>-21.664888623151256</v>
      </c>
      <c r="M53" s="57"/>
      <c r="N53" s="51"/>
      <c r="O53" s="51">
        <f t="shared" si="28"/>
        <v>21.664888623151256</v>
      </c>
      <c r="P53" s="94">
        <v>469.5</v>
      </c>
      <c r="Q53" s="52" t="s">
        <v>39</v>
      </c>
      <c r="R53" s="52">
        <f>IF(S53="中金买入",1,-1)</f>
        <v>-1</v>
      </c>
      <c r="S53" s="56" t="s">
        <v>20</v>
      </c>
      <c r="T53" s="58"/>
      <c r="U53" s="51">
        <f>_xll.dnetGBlackScholesNGreeks("delta",$Q53,$P53,$G53,$I53,$C$3,$J53,$K53,$C$4)*R53</f>
        <v>-0.4252506314060156</v>
      </c>
      <c r="V53" s="51">
        <f>_xll.dnetGBlackScholesNGreeks("vega",$Q53,$P53,$G53,$I53,$C$3,$J53,$K53,$C$4)*R53</f>
        <v>-0.92006221672421873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">
        <v>298</v>
      </c>
      <c r="E54" s="62">
        <f t="shared" ref="E54:F54" ca="1" si="34">E53</f>
        <v>43285</v>
      </c>
      <c r="F54" s="62">
        <f t="shared" ca="1" si="34"/>
        <v>43377</v>
      </c>
      <c r="G54" s="60" t="str">
        <f>G52 &amp; "|" &amp; G53</f>
        <v>420|490</v>
      </c>
      <c r="H54" s="60">
        <f>H53</f>
        <v>92</v>
      </c>
      <c r="I54" s="63">
        <f>I53</f>
        <v>0.25205479452054796</v>
      </c>
      <c r="J54" s="63"/>
      <c r="K54" s="60"/>
      <c r="L54" s="59">
        <f>L53+L52</f>
        <v>-13.459671744928329</v>
      </c>
      <c r="M54" s="60">
        <v>1</v>
      </c>
      <c r="N54" s="59">
        <f>M54/10000*I54*P54</f>
        <v>1.1833972602739726E-2</v>
      </c>
      <c r="O54" s="59">
        <f t="shared" si="28"/>
        <v>13.471505717531068</v>
      </c>
      <c r="P54" s="111">
        <v>469.5</v>
      </c>
      <c r="Q54" s="60"/>
      <c r="R54" s="60"/>
      <c r="S54" s="56"/>
      <c r="T54" s="64">
        <f>O54/P54</f>
        <v>2.8693302912739228E-2</v>
      </c>
      <c r="U54" s="64">
        <f>U53+U52</f>
        <v>-0.62524721860555132</v>
      </c>
      <c r="V54" s="64">
        <f>V53+V52</f>
        <v>-0.26167660876043897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43285</v>
      </c>
      <c r="F56" s="46">
        <f ca="1">E56+H56</f>
        <v>43324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43285</v>
      </c>
      <c r="F57" s="54">
        <f t="shared" ca="1" si="36"/>
        <v>43324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43285</v>
      </c>
      <c r="F58" s="62">
        <f t="shared" ca="1" si="37"/>
        <v>43324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 C46:C54 C56:C58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4" t="s">
        <v>158</v>
      </c>
      <c r="C1" s="134"/>
      <c r="D1" s="134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43285</v>
      </c>
      <c r="L10" s="38">
        <f ca="1">pricer_sf!N11</f>
        <v>43376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43285</v>
      </c>
      <c r="L11" s="38">
        <f ca="1">pricer_sf!N12</f>
        <v>43376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43285</v>
      </c>
      <c r="L12" s="38">
        <f ca="1">pricer_sf!N13</f>
        <v>43376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43285</v>
      </c>
      <c r="L13" s="38">
        <f ca="1">pricer_sf!N14</f>
        <v>43468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43285</v>
      </c>
      <c r="L14" s="38">
        <f ca="1">pricer_sf!N15</f>
        <v>43468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98.843460706805388</v>
      </c>
      <c r="J15" s="10">
        <v>5</v>
      </c>
      <c r="K15" s="38">
        <f ca="1">pricer_sf!M16</f>
        <v>43285</v>
      </c>
      <c r="L15" s="38">
        <f ca="1">pricer_sf!N16</f>
        <v>43318</v>
      </c>
      <c r="M15" s="10">
        <v>30</v>
      </c>
      <c r="N15" s="10">
        <f>pricer_sf!P16</f>
        <v>9.0410958904109592E-2</v>
      </c>
      <c r="O15" s="10">
        <f>pricer_sf!Q16</f>
        <v>-2.5000000000000001E-2</v>
      </c>
      <c r="P15" s="10">
        <f>pricer_sf!R16</f>
        <v>8.5000000000000006E-2</v>
      </c>
      <c r="Q15" s="10">
        <f>pricer_sf!S16</f>
        <v>-6.7949621176519965</v>
      </c>
      <c r="R15" s="10">
        <f>pricer_sf!T16</f>
        <v>0</v>
      </c>
      <c r="S15" s="10">
        <f>pricer_sf!U16</f>
        <v>0</v>
      </c>
      <c r="T15" s="13">
        <f>pricer_sf!V16</f>
        <v>6.7949621176519965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K16" sqref="K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9" t="s">
        <v>38</v>
      </c>
      <c r="C1" s="15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43285</v>
      </c>
      <c r="N8" s="21">
        <f ca="1">M8+O8</f>
        <v>43315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43285</v>
      </c>
      <c r="N9" s="8">
        <f ca="1">M9+O9</f>
        <v>43465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43285</v>
      </c>
      <c r="N11" s="8">
        <f t="shared" ref="N11:N16" ca="1" si="2">M11+O11</f>
        <v>43376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43285</v>
      </c>
      <c r="N12" s="8">
        <f t="shared" ca="1" si="2"/>
        <v>43376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43285</v>
      </c>
      <c r="N13" s="8">
        <f t="shared" ca="1" si="2"/>
        <v>43376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43285</v>
      </c>
      <c r="N14" s="8">
        <f t="shared" ca="1" si="2"/>
        <v>43468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43285</v>
      </c>
      <c r="N15" s="8">
        <f t="shared" ca="1" si="2"/>
        <v>43468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100</v>
      </c>
      <c r="J16" s="10">
        <v>99.1</v>
      </c>
      <c r="K16" s="10">
        <f>_xll.dnetDiscreteAdjustedBarrier($H16,$J16,$R16,1/365)</f>
        <v>98.843460706805388</v>
      </c>
      <c r="L16" s="37">
        <v>0.1</v>
      </c>
      <c r="M16" s="8">
        <f t="shared" ca="1" si="1"/>
        <v>43285</v>
      </c>
      <c r="N16" s="8">
        <f t="shared" ca="1" si="2"/>
        <v>43318</v>
      </c>
      <c r="O16" s="10">
        <v>33</v>
      </c>
      <c r="P16" s="12">
        <f t="shared" si="3"/>
        <v>9.0410958904109592E-2</v>
      </c>
      <c r="Q16" s="12">
        <v>-2.5000000000000001E-2</v>
      </c>
      <c r="R16" s="9">
        <v>8.5000000000000006E-2</v>
      </c>
      <c r="S16" s="13">
        <f>_xll.dnetStandardBarrierNGreeks("price",G16,H16,I16,K16,L16*H16,P16,$C$3,Q16,R16,$C$4)*E16</f>
        <v>-6.7949621176519965</v>
      </c>
      <c r="T16" s="15">
        <v>0</v>
      </c>
      <c r="U16" s="13">
        <f t="shared" si="4"/>
        <v>0</v>
      </c>
      <c r="V16" s="13">
        <f t="shared" si="5"/>
        <v>6.7949621176519965</v>
      </c>
      <c r="W16" s="14">
        <f t="shared" si="6"/>
        <v>6.7949621176519967E-2</v>
      </c>
      <c r="X16" s="13">
        <f>_xll.dnetStandardBarrierNGreeks("delta",G16,H16,I16,K16,L16*H16,P16,$C$3,Q16,R16,$C$4)</f>
        <v>-2.6730247710068156</v>
      </c>
      <c r="Y16" s="13">
        <f>_xll.dnetStandardBarrierNGreeks("vega",G16,H16,I16,K16,L16*H16,P16,$C$3,Q16,R16,$C$4)</f>
        <v>0.34062597809561979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2018-07-04T09:03:51Z</dcterms:modified>
</cp:coreProperties>
</file>