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36" i="9" l="1"/>
  <c r="D37" i="9" s="1"/>
  <c r="P38" i="9"/>
  <c r="P39" i="9" l="1"/>
  <c r="I24" i="1" l="1"/>
  <c r="I23" i="1"/>
  <c r="I22" i="1"/>
  <c r="R27" i="1"/>
  <c r="I27" i="1"/>
  <c r="E27" i="1"/>
  <c r="F27" i="1" s="1"/>
  <c r="R26" i="1"/>
  <c r="I26" i="1"/>
  <c r="E26" i="1"/>
  <c r="F26" i="1" s="1"/>
  <c r="R25" i="1"/>
  <c r="I25" i="1"/>
  <c r="E25" i="1"/>
  <c r="F25" i="1" s="1"/>
  <c r="R24" i="1"/>
  <c r="E24" i="1"/>
  <c r="F24" i="1" s="1"/>
  <c r="R23" i="1"/>
  <c r="E23" i="1"/>
  <c r="F23" i="1" s="1"/>
  <c r="R22" i="1"/>
  <c r="E22" i="1"/>
  <c r="F22" i="1" s="1"/>
  <c r="P24" i="1"/>
  <c r="P23" i="1"/>
  <c r="P27" i="1"/>
  <c r="P22" i="1"/>
  <c r="P26" i="1"/>
  <c r="V27" i="1"/>
  <c r="U22" i="1"/>
  <c r="L26" i="1"/>
  <c r="P25" i="1"/>
  <c r="V25" i="1" s="1"/>
  <c r="V22" i="1"/>
  <c r="L22" i="1"/>
  <c r="V24" i="1"/>
  <c r="U25" i="1"/>
  <c r="L27" i="1"/>
  <c r="V23" i="1"/>
  <c r="N27" i="1" l="1"/>
  <c r="O27" i="1" s="1"/>
  <c r="T27" i="1" s="1"/>
  <c r="N26" i="1"/>
  <c r="O26" i="1" s="1"/>
  <c r="T26" i="1" s="1"/>
  <c r="N25" i="1"/>
  <c r="N24" i="1"/>
  <c r="N23" i="1"/>
  <c r="N22" i="1"/>
  <c r="O22" i="1" s="1"/>
  <c r="T22" i="1" s="1"/>
  <c r="L24" i="1"/>
  <c r="U23" i="1"/>
  <c r="L23" i="1"/>
  <c r="U27" i="1"/>
  <c r="L25" i="1"/>
  <c r="U26" i="1"/>
  <c r="V26" i="1"/>
  <c r="U24" i="1"/>
  <c r="O25" i="1" l="1"/>
  <c r="T25" i="1" s="1"/>
  <c r="O23" i="1"/>
  <c r="T23" i="1" s="1"/>
  <c r="O24" i="1"/>
  <c r="T24" i="1" s="1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R20" i="1"/>
  <c r="I20" i="1"/>
  <c r="E20" i="1"/>
  <c r="F20" i="1" s="1"/>
  <c r="G37" i="9"/>
  <c r="R36" i="9"/>
  <c r="J36" i="9"/>
  <c r="H37" i="9"/>
  <c r="R35" i="9"/>
  <c r="I35" i="9"/>
  <c r="E35" i="9"/>
  <c r="F35" i="9" s="1"/>
  <c r="F36" i="9" s="1"/>
  <c r="F37" i="9" s="1"/>
  <c r="P20" i="1"/>
  <c r="L20" i="1"/>
  <c r="P35" i="9"/>
  <c r="V20" i="1"/>
  <c r="V38" i="9"/>
  <c r="E39" i="9" l="1"/>
  <c r="E40" i="9" s="1"/>
  <c r="I39" i="9"/>
  <c r="I40" i="9" s="1"/>
  <c r="N20" i="1"/>
  <c r="O20" i="1" s="1"/>
  <c r="T20" i="1" s="1"/>
  <c r="P36" i="9"/>
  <c r="P37" i="9" s="1"/>
  <c r="E36" i="9"/>
  <c r="E37" i="9" s="1"/>
  <c r="I36" i="9"/>
  <c r="V35" i="9"/>
  <c r="U35" i="9"/>
  <c r="L39" i="9"/>
  <c r="L38" i="9"/>
  <c r="U36" i="9"/>
  <c r="U38" i="9"/>
  <c r="L35" i="9"/>
  <c r="L36" i="9"/>
  <c r="V36" i="9"/>
  <c r="U39" i="9"/>
  <c r="V39" i="9"/>
  <c r="U20" i="1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R18" i="1" l="1"/>
  <c r="I18" i="1"/>
  <c r="E18" i="1"/>
  <c r="F18" i="1" s="1"/>
  <c r="P18" i="1"/>
  <c r="V18" i="1" s="1"/>
  <c r="N18" i="1" l="1"/>
  <c r="U18" i="1"/>
  <c r="L18" i="1"/>
  <c r="O18" i="1" l="1"/>
  <c r="T18" i="1" s="1"/>
  <c r="R16" i="1" l="1"/>
  <c r="I16" i="1"/>
  <c r="E16" i="1"/>
  <c r="F16" i="1" s="1"/>
  <c r="R15" i="1"/>
  <c r="I15" i="1"/>
  <c r="E15" i="1"/>
  <c r="F15" i="1" s="1"/>
  <c r="P16" i="1"/>
  <c r="L16" i="1"/>
  <c r="P15" i="1"/>
  <c r="L15" i="1"/>
  <c r="N16" i="1" l="1"/>
  <c r="O16" i="1" s="1"/>
  <c r="T16" i="1" s="1"/>
  <c r="N15" i="1"/>
  <c r="O15" i="1" s="1"/>
  <c r="T15" i="1" s="1"/>
  <c r="R14" i="1"/>
  <c r="I14" i="1"/>
  <c r="E14" i="1"/>
  <c r="F14" i="1" s="1"/>
  <c r="V15" i="1"/>
  <c r="P14" i="1"/>
  <c r="U15" i="1"/>
  <c r="L14" i="1"/>
  <c r="U16" i="1"/>
  <c r="V16" i="1"/>
  <c r="P13" i="1"/>
  <c r="N14" i="1" l="1"/>
  <c r="O14" i="1" s="1"/>
  <c r="T14" i="1" s="1"/>
  <c r="U14" i="1"/>
  <c r="V14" i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U33" i="9"/>
  <c r="V33" i="9"/>
  <c r="U30" i="9"/>
  <c r="L32" i="9"/>
  <c r="V30" i="9"/>
  <c r="V32" i="9"/>
  <c r="L30" i="9"/>
  <c r="U29" i="9"/>
  <c r="V29" i="9"/>
  <c r="L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I13" i="1"/>
  <c r="R13" i="1"/>
  <c r="E13" i="1"/>
  <c r="F13" i="1" s="1"/>
  <c r="P17" i="9"/>
  <c r="P20" i="9"/>
  <c r="P14" i="9"/>
  <c r="P26" i="9"/>
  <c r="P23" i="9"/>
  <c r="V20" i="9"/>
  <c r="U13" i="1"/>
  <c r="P11" i="9"/>
  <c r="V11" i="9"/>
  <c r="U14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N13" i="1"/>
  <c r="I11" i="1"/>
  <c r="R11" i="1"/>
  <c r="E11" i="1"/>
  <c r="F11" i="1" s="1"/>
  <c r="R10" i="1"/>
  <c r="I10" i="1"/>
  <c r="E10" i="1"/>
  <c r="F10" i="1" s="1"/>
  <c r="L11" i="9"/>
  <c r="L24" i="9"/>
  <c r="V23" i="9"/>
  <c r="V17" i="9"/>
  <c r="U12" i="9"/>
  <c r="V12" i="9"/>
  <c r="V13" i="1"/>
  <c r="L13" i="1"/>
  <c r="U21" i="9"/>
  <c r="V15" i="9"/>
  <c r="L20" i="9"/>
  <c r="L23" i="9"/>
  <c r="V14" i="9"/>
  <c r="U11" i="9"/>
  <c r="U27" i="9"/>
  <c r="L27" i="9"/>
  <c r="L15" i="9"/>
  <c r="U20" i="9"/>
  <c r="U24" i="9"/>
  <c r="U17" i="9"/>
  <c r="L17" i="9"/>
  <c r="V24" i="9"/>
  <c r="U23" i="9"/>
  <c r="V21" i="9"/>
  <c r="L12" i="9"/>
  <c r="V26" i="9"/>
  <c r="L26" i="9"/>
  <c r="U26" i="9"/>
  <c r="L18" i="9"/>
  <c r="U18" i="9"/>
  <c r="V18" i="9"/>
  <c r="V27" i="9"/>
  <c r="V11" i="1"/>
  <c r="U15" i="9"/>
  <c r="L14" i="9"/>
  <c r="L21" i="9"/>
  <c r="L10" i="1"/>
  <c r="O20" i="9" l="1"/>
  <c r="O23" i="9"/>
  <c r="O26" i="9"/>
  <c r="O13" i="1"/>
  <c r="T13" i="1" s="1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N11" i="1"/>
  <c r="N10" i="1"/>
  <c r="O10" i="1" s="1"/>
  <c r="T10" i="1" s="1"/>
  <c r="R9" i="1"/>
  <c r="I9" i="1"/>
  <c r="N9" i="1" s="1"/>
  <c r="E9" i="1"/>
  <c r="F9" i="1" s="1"/>
  <c r="V10" i="1"/>
  <c r="L11" i="1"/>
  <c r="U10" i="1"/>
  <c r="U11" i="1"/>
  <c r="U9" i="1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O11" i="1"/>
  <c r="T11" i="1" s="1"/>
  <c r="V9" i="1"/>
  <c r="O9" i="1" l="1"/>
  <c r="T9" i="1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9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10" i="7"/>
  <c r="H8" i="7"/>
  <c r="O9" i="7"/>
  <c r="K9" i="8"/>
  <c r="T9" i="7"/>
  <c r="T10" i="7"/>
  <c r="H8" i="8"/>
  <c r="U10" i="7"/>
  <c r="U8" i="8" l="1"/>
  <c r="Q9" i="7"/>
  <c r="R9" i="7" s="1"/>
  <c r="S9" i="7" s="1"/>
  <c r="Q10" i="7"/>
  <c r="R10" i="7" s="1"/>
  <c r="S10" i="7" s="1"/>
  <c r="Q8" i="7"/>
  <c r="S9" i="8"/>
  <c r="T8" i="7"/>
  <c r="K8" i="8"/>
  <c r="U8" i="7"/>
  <c r="Y9" i="8"/>
  <c r="O8" i="7"/>
  <c r="X9" i="8"/>
  <c r="V9" i="8" l="1"/>
  <c r="W9" i="8" s="1"/>
  <c r="R8" i="7"/>
  <c r="S8" i="7" s="1"/>
  <c r="Y8" i="8"/>
  <c r="S8" i="8"/>
  <c r="X8" i="8"/>
  <c r="V8" i="8" l="1"/>
  <c r="W8" i="8" s="1"/>
  <c r="R8" i="1"/>
  <c r="I8" i="1" l="1"/>
  <c r="E8" i="1"/>
  <c r="F8" i="1" s="1"/>
  <c r="P8" i="1"/>
  <c r="N8" i="1" l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<sst xmlns="http://schemas.openxmlformats.org/spreadsheetml/2006/main" count="1056" uniqueCount="226">
  <si>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</si>
  <si>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</si>
  <si>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</si>
  <si>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</si>
  <si>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</si>
  <si>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</si>
  <si>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</si>
  <si>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</si>
  <si>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</si>
  <si>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</si>
  <si>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</si>
  <si>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</si>
  <si>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</si>
  <si>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</si>
  <si>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</si>
  <si>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</si>
  <si>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</si>
  <si>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</si>
  <si>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</si>
  <si>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</si>
  <si>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</si>
  <si>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</si>
  <si>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</si>
  <si>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</si>
  <si>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</si>
  <si>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</si>
  <si>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</si>
  <si>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</si>
  <si>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</si>
  <si>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</si>
  <si>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</si>
  <si>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</si>
  <si>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</si>
  <si>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</si>
  <si>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</si>
  <si>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</si>
  <si>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</si>
  <si>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</si>
  <si>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</si>
  <si>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</si>
  <si>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</si>
  <si>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</si>
  <si>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</si>
  <si>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</si>
  <si>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</si>
  <si>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</si>
  <si>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</si>
  <si>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</si>
  <si>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</si>
  <si>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</si>
  <si>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</si>
  <si>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</si>
  <si>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</si>
  <si>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</si>
  <si>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</si>
  <si>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</si>
  <si>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</si>
  <si>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</si>
  <si>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</si>
  <si>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</si>
  <si>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</si>
  <si>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</si>
  <si>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</si>
  <si>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</si>
  <si>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</si>
  <si>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</si>
  <si>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</si>
  <si>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</si>
  <si>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</si>
  <si>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</si>
  <si>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</si>
  <si>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</si>
  <si>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</si>
  <si>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</si>
  <si>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</si>
  <si>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</si>
  <si>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</si>
  <si>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</si>
  <si>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</si>
  <si>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</si>
  <si>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</si>
  <si>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</si>
  <si>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</si>
  <si>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</si>
  <si>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</si>
  <si>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</si>
  <si>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</si>
  <si>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</si>
  <si>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</si>
  <si>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</si>
  <si>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</si>
  <si>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</si>
  <si>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</si>
  <si>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</si>
  <si>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</si>
  <si>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</si>
  <si>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</si>
  <si>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</si>
  <si>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</si>
  <si>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</si>
  <si>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</si>
  <si>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</si>
  <si>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</si>
  <si>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</si>
  <si>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</si>
  <si>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</si>
  <si>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</si>
  <si>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</si>
  <si>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</si>
  <si>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</si>
  <si>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</si>
  <si>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</si>
  <si>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</si>
  <si>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</si>
  <si>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</si>
  <si>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</si>
  <si>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</si>
  <si>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</si>
  <si>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</si>
  <si>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</si>
  <si>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</si>
  <si>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</si>
  <si>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</si>
  <si>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</si>
  <si>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</si>
  <si>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</si>
  <si>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</si>
  <si>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</si>
  <si>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</si>
  <si>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</si>
  <si>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</si>
  <si>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</si>
  <si>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</si>
  <si>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</si>
  <si>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</si>
  <si>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</si>
  <si>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</si>
  <si>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</si>
  <si>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</si>
  <si>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</si>
  <si>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</si>
  <si>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</si>
  <si>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</si>
  <si>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</si>
  <si>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</si>
  <si>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</si>
  <si>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</si>
  <si>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</si>
  <si>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</si>
  <si>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</si>
  <si>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</si>
  <si>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</si>
  <si>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</si>
  <si>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</si>
  <si>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</si>
  <si>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</si>
  <si>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</si>
  <si>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</si>
  <si>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</si>
  <si>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</si>
  <si>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</si>
  <si>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</si>
  <si>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</si>
  <si>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</si>
  <si>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</si>
  <si>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</si>
  <si>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</si>
  <si>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</si>
  <si>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</si>
  <si>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</si>
  <si>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</si>
  <si>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</si>
  <si>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</si>
  <si>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</si>
  <si>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</si>
  <si>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</si>
  <si>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</si>
  <si>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</si>
  <si>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</si>
  <si>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</si>
  <si>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</si>
  <si>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</si>
  <si>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</si>
  <si>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</si>
  <si>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</si>
  <si>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</si>
  <si>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</si>
  <si>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</si>
  <si>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</si>
  <si>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</si>
  <si>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</si>
  <si>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</si>
  <si>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</si>
  <si>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</si>
  <si>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</si>
  <si>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</si>
  <si>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</si>
  <si>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</si>
  <si>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</si>
  <si>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</si>
  <si>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</si>
  <si>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</si>
  <si>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</si>
  <si>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`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</si>
  <si>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</si>
  <si>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</si>
  <si>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</si>
  <si>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</si>
  <si>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</si>
  <si>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</si>
  <si>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</si>
  <si>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</si>
  <si>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</si>
  <si>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</si>
  <si>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rb1805</t>
    <phoneticPr fontId="1" type="noConversion"/>
  </si>
  <si>
    <t>东宏基金</t>
    <phoneticPr fontId="1" type="noConversion"/>
  </si>
  <si>
    <t>sm805</t>
  </si>
  <si>
    <t>sm805</t>
    <phoneticPr fontId="1" type="noConversion"/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</si>
  <si>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</si>
  <si>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</si>
  <si>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</si>
  <si>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</si>
  <si>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</si>
  <si>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al1806</t>
    <phoneticPr fontId="1" type="noConversion"/>
  </si>
  <si>
    <t>al1805</t>
  </si>
  <si>
    <t>al1805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</si>
</sst>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sm805</stp>
        <stp>LastPrice</stp>
        <tr r="P18" s="1"/>
      </tp>
      <tp>
        <v>13890</v>
        <stp/>
        <stp>al1805</stp>
        <stp>LastPrice</stp>
        <tr r="P22" s="1"/>
        <tr r="P23" s="1"/>
        <tr r="P24" s="1"/>
      </tp>
      <tp>
        <v>13975</v>
        <stp/>
        <stp>al1806</stp>
        <stp>LastPrice</stp>
        <tr r="P25" s="1"/>
        <tr r="P26" s="1"/>
        <tr r="P27" s="1"/>
      </tp>
      <tp>
        <v>3536</v>
        <stp/>
        <stp>rb1805</stp>
        <stp>LastPrice</stp>
        <tr r="P15" s="1"/>
        <tr r="P16" s="1"/>
      </tp>
      <tp>
        <v>3377</v>
        <stp/>
        <stp>rb1810</stp>
        <stp>LastPrice</stp>
        <tr r="P11" s="9"/>
        <tr r="P23" s="9"/>
        <tr r="P26" s="9"/>
        <tr r="P14" s="9"/>
        <tr r="P20" s="9"/>
        <tr r="P17" s="9"/>
        <tr r="P13" s="1"/>
        <tr r="P14" s="1"/>
        <tr r="P35" s="9"/>
        <tr r="P20" s="1"/>
        <tr r="P38" s="9"/>
      </tp>
      <tp>
        <v>3536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63"/>
  <sheetViews>
    <sheetView topLeftCell="A28" zoomScaleNormal="100" workbookViewId="0">
      <selection activeCell="V51" sqref="V51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7.5" style="6" bestFit="1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0.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9" t="s">
        <v>204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205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206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206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206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206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205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207</v>
      </c>
      <c r="D29" s="115">
        <v>43173</v>
      </c>
      <c r="E29" s="115">
        <v>43203</v>
      </c>
      <c r="F29" s="114" t="s">
        <v>209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207</v>
      </c>
      <c r="D30" s="115">
        <v>43173</v>
      </c>
      <c r="E30" s="115">
        <v>43203</v>
      </c>
      <c r="F30" s="114" t="s">
        <v>210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211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211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212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212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212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213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213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213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216</v>
      </c>
      <c r="D44" s="115">
        <v>43180</v>
      </c>
      <c r="E44" s="115">
        <v>43210</v>
      </c>
      <c r="F44" s="114" t="s">
        <v>218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220</v>
      </c>
      <c r="Q44" s="114"/>
      <c r="R44" s="114" t="s">
        <v>219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216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221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220</v>
      </c>
      <c r="Q50" s="114"/>
      <c r="R50" s="114" t="s">
        <v>219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222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222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222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222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222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222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224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224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224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4" activePane="bottomLeft" state="frozen"/>
      <selection pane="bottomLeft" activeCell="B36" sqref="B36:E48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37" t="s">
        <v>120</v>
      </c>
      <c r="H3" s="137"/>
      <c r="I3" s="137"/>
      <c r="J3" s="137"/>
      <c r="L3" s="138" t="s">
        <v>165</v>
      </c>
      <c r="M3" s="138"/>
      <c r="N3" s="138"/>
      <c r="O3" s="138"/>
      <c r="Q3" s="137" t="s">
        <v>166</v>
      </c>
      <c r="R3" s="137"/>
      <c r="S3" s="137"/>
      <c r="T3" s="137"/>
    </row>
    <row r="4" spans="2:20" ht="12" thickTop="1" thickBot="1" x14ac:dyDescent="0.2">
      <c r="B4" s="127" t="s">
        <v>121</v>
      </c>
      <c r="C4" s="127"/>
      <c r="D4" s="127"/>
      <c r="E4" s="127"/>
      <c r="G4" s="127" t="s">
        <v>34</v>
      </c>
      <c r="H4" s="127"/>
      <c r="I4" s="127"/>
      <c r="J4" s="127"/>
      <c r="L4" s="127" t="s">
        <v>121</v>
      </c>
      <c r="M4" s="127"/>
      <c r="N4" s="127"/>
      <c r="O4" s="127"/>
      <c r="Q4" s="127" t="s">
        <v>34</v>
      </c>
      <c r="R4" s="127"/>
      <c r="S4" s="127"/>
      <c r="T4" s="127"/>
    </row>
    <row r="5" spans="2:20" ht="15" customHeight="1" thickTop="1" x14ac:dyDescent="0.15">
      <c r="B5" s="134" t="s">
        <v>122</v>
      </c>
      <c r="C5" s="134"/>
      <c r="D5" s="140"/>
      <c r="E5" s="141"/>
      <c r="G5" s="134" t="s">
        <v>123</v>
      </c>
      <c r="H5" s="134"/>
      <c r="I5" s="107"/>
      <c r="J5" s="108"/>
      <c r="L5" s="105" t="s">
        <v>122</v>
      </c>
      <c r="M5" s="106"/>
      <c r="N5" s="107"/>
      <c r="O5" s="108"/>
      <c r="Q5" s="134" t="s">
        <v>123</v>
      </c>
      <c r="R5" s="134"/>
      <c r="S5" s="107"/>
      <c r="T5" s="108"/>
    </row>
    <row r="6" spans="2:20" x14ac:dyDescent="0.15">
      <c r="B6" s="134" t="s">
        <v>124</v>
      </c>
      <c r="C6" s="134"/>
      <c r="D6" s="135" t="s">
        <v>125</v>
      </c>
      <c r="E6" s="136"/>
      <c r="G6" s="134" t="s">
        <v>126</v>
      </c>
      <c r="H6" s="134"/>
      <c r="I6" s="135"/>
      <c r="J6" s="136"/>
      <c r="L6" s="134" t="s">
        <v>124</v>
      </c>
      <c r="M6" s="134"/>
      <c r="N6" s="135" t="s">
        <v>125</v>
      </c>
      <c r="O6" s="136"/>
      <c r="Q6" s="134" t="s">
        <v>126</v>
      </c>
      <c r="R6" s="134"/>
      <c r="S6" s="135"/>
      <c r="T6" s="136"/>
    </row>
    <row r="7" spans="2:20" ht="2.25" customHeight="1" x14ac:dyDescent="0.15">
      <c r="B7" s="134" t="s">
        <v>127</v>
      </c>
      <c r="C7" s="134"/>
      <c r="D7" s="135" t="s">
        <v>125</v>
      </c>
      <c r="E7" s="136"/>
      <c r="G7" s="134" t="s">
        <v>128</v>
      </c>
      <c r="H7" s="134"/>
      <c r="I7" s="135"/>
      <c r="J7" s="136"/>
      <c r="L7" s="134" t="s">
        <v>127</v>
      </c>
      <c r="M7" s="134"/>
      <c r="N7" s="135" t="s">
        <v>125</v>
      </c>
      <c r="O7" s="136"/>
      <c r="Q7" s="134" t="s">
        <v>128</v>
      </c>
      <c r="R7" s="134"/>
      <c r="S7" s="135"/>
      <c r="T7" s="136"/>
    </row>
    <row r="8" spans="2:20" hidden="1" x14ac:dyDescent="0.15">
      <c r="B8" s="134" t="s">
        <v>129</v>
      </c>
      <c r="C8" s="134"/>
      <c r="D8" s="135">
        <f>D13*D15</f>
        <v>305000</v>
      </c>
      <c r="E8" s="136"/>
      <c r="G8" s="134" t="s">
        <v>130</v>
      </c>
      <c r="H8" s="134"/>
      <c r="I8" s="135"/>
      <c r="J8" s="136"/>
      <c r="L8" s="134" t="s">
        <v>129</v>
      </c>
      <c r="M8" s="134"/>
      <c r="N8" s="135">
        <f>N14*N16</f>
        <v>305000</v>
      </c>
      <c r="O8" s="136"/>
      <c r="Q8" s="134" t="s">
        <v>130</v>
      </c>
      <c r="R8" s="134"/>
      <c r="S8" s="135"/>
      <c r="T8" s="136"/>
    </row>
    <row r="9" spans="2:20" hidden="1" x14ac:dyDescent="0.15">
      <c r="B9" s="134" t="s">
        <v>131</v>
      </c>
      <c r="C9" s="134"/>
      <c r="D9" s="135" t="s">
        <v>132</v>
      </c>
      <c r="E9" s="136"/>
      <c r="G9" s="134" t="s">
        <v>133</v>
      </c>
      <c r="H9" s="134"/>
      <c r="I9" s="135"/>
      <c r="J9" s="136"/>
      <c r="L9" s="134" t="s">
        <v>131</v>
      </c>
      <c r="M9" s="134"/>
      <c r="N9" s="135" t="s">
        <v>132</v>
      </c>
      <c r="O9" s="136"/>
      <c r="Q9" s="134" t="s">
        <v>133</v>
      </c>
      <c r="R9" s="134"/>
      <c r="S9" s="135"/>
      <c r="T9" s="136"/>
    </row>
    <row r="10" spans="2:20" hidden="1" x14ac:dyDescent="0.15">
      <c r="B10" s="134" t="s">
        <v>134</v>
      </c>
      <c r="C10" s="134"/>
      <c r="D10" s="135">
        <v>43084</v>
      </c>
      <c r="E10" s="136"/>
      <c r="G10" s="109" t="s">
        <v>135</v>
      </c>
      <c r="H10" s="109"/>
      <c r="I10" s="135"/>
      <c r="J10" s="136"/>
      <c r="L10" s="134" t="s">
        <v>134</v>
      </c>
      <c r="M10" s="134"/>
      <c r="N10" s="135">
        <v>43084</v>
      </c>
      <c r="O10" s="136"/>
      <c r="Q10" s="109" t="s">
        <v>135</v>
      </c>
      <c r="R10" s="109"/>
      <c r="S10" s="135"/>
      <c r="T10" s="136"/>
    </row>
    <row r="11" spans="2:20" hidden="1" x14ac:dyDescent="0.15">
      <c r="B11" s="134" t="s">
        <v>136</v>
      </c>
      <c r="C11" s="134"/>
      <c r="D11" s="135">
        <v>3935</v>
      </c>
      <c r="E11" s="136"/>
      <c r="G11" s="134" t="s">
        <v>137</v>
      </c>
      <c r="H11" s="134"/>
      <c r="I11" s="135"/>
      <c r="J11" s="136"/>
      <c r="L11" s="134" t="s">
        <v>136</v>
      </c>
      <c r="M11" s="134"/>
      <c r="N11" s="135">
        <v>3935</v>
      </c>
      <c r="O11" s="136"/>
      <c r="Q11" s="134" t="s">
        <v>137</v>
      </c>
      <c r="R11" s="134"/>
      <c r="S11" s="135"/>
      <c r="T11" s="136"/>
    </row>
    <row r="12" spans="2:20" hidden="1" x14ac:dyDescent="0.15">
      <c r="B12" s="134" t="s">
        <v>138</v>
      </c>
      <c r="C12" s="134"/>
      <c r="D12" s="135">
        <v>3800</v>
      </c>
      <c r="E12" s="136"/>
      <c r="G12" s="134" t="s">
        <v>139</v>
      </c>
      <c r="H12" s="134"/>
      <c r="I12" s="135"/>
      <c r="J12" s="136"/>
      <c r="L12" s="134" t="s">
        <v>163</v>
      </c>
      <c r="M12" s="134"/>
      <c r="N12" s="135">
        <v>3800</v>
      </c>
      <c r="O12" s="136"/>
      <c r="Q12" s="134" t="s">
        <v>167</v>
      </c>
      <c r="R12" s="134"/>
      <c r="S12" s="135"/>
      <c r="T12" s="136"/>
    </row>
    <row r="13" spans="2:20" hidden="1" x14ac:dyDescent="0.15">
      <c r="B13" s="134" t="s">
        <v>140</v>
      </c>
      <c r="C13" s="134"/>
      <c r="D13" s="135">
        <v>61</v>
      </c>
      <c r="E13" s="136"/>
      <c r="G13" s="134" t="s">
        <v>141</v>
      </c>
      <c r="H13" s="134"/>
      <c r="I13" s="135"/>
      <c r="J13" s="136"/>
      <c r="L13" s="134" t="s">
        <v>164</v>
      </c>
      <c r="M13" s="134"/>
      <c r="N13" s="135">
        <v>3800</v>
      </c>
      <c r="O13" s="136"/>
      <c r="Q13" s="134" t="s">
        <v>168</v>
      </c>
      <c r="R13" s="134"/>
      <c r="S13" s="135"/>
      <c r="T13" s="136"/>
    </row>
    <row r="14" spans="2:20" hidden="1" x14ac:dyDescent="0.15">
      <c r="B14" s="134" t="s">
        <v>142</v>
      </c>
      <c r="C14" s="134"/>
      <c r="D14" s="135" t="s">
        <v>143</v>
      </c>
      <c r="E14" s="136"/>
      <c r="G14" s="134" t="s">
        <v>144</v>
      </c>
      <c r="H14" s="134"/>
      <c r="I14" s="110"/>
      <c r="J14" s="111"/>
      <c r="L14" s="134" t="s">
        <v>140</v>
      </c>
      <c r="M14" s="134"/>
      <c r="N14" s="135">
        <v>61</v>
      </c>
      <c r="O14" s="136"/>
      <c r="Q14" s="134" t="s">
        <v>141</v>
      </c>
      <c r="R14" s="134"/>
      <c r="S14" s="135"/>
      <c r="T14" s="136"/>
    </row>
    <row r="15" spans="2:20" hidden="1" x14ac:dyDescent="0.15">
      <c r="B15" s="134" t="s">
        <v>145</v>
      </c>
      <c r="C15" s="134"/>
      <c r="D15" s="135">
        <v>5000</v>
      </c>
      <c r="E15" s="136"/>
      <c r="G15" s="134" t="s">
        <v>146</v>
      </c>
      <c r="H15" s="134"/>
      <c r="I15" s="135"/>
      <c r="J15" s="136"/>
      <c r="L15" s="134" t="s">
        <v>142</v>
      </c>
      <c r="M15" s="134"/>
      <c r="N15" s="135" t="s">
        <v>143</v>
      </c>
      <c r="O15" s="136"/>
      <c r="Q15" s="134" t="s">
        <v>144</v>
      </c>
      <c r="R15" s="134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4" t="s">
        <v>145</v>
      </c>
      <c r="M16" s="134"/>
      <c r="N16" s="135">
        <v>5000</v>
      </c>
      <c r="O16" s="136"/>
      <c r="Q16" s="134" t="s">
        <v>146</v>
      </c>
      <c r="R16" s="134"/>
      <c r="S16" s="135"/>
      <c r="T16" s="136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30" t="s">
        <v>188</v>
      </c>
      <c r="C22" s="130"/>
      <c r="D22" s="130"/>
      <c r="E22" s="130"/>
      <c r="G22" s="130" t="s">
        <v>189</v>
      </c>
      <c r="H22" s="130"/>
      <c r="I22" s="130"/>
      <c r="J22" s="130"/>
      <c r="L22" s="127" t="s">
        <v>189</v>
      </c>
      <c r="M22" s="127"/>
      <c r="N22" s="127"/>
      <c r="O22" s="127"/>
      <c r="Q22" s="130" t="s">
        <v>188</v>
      </c>
      <c r="R22" s="130"/>
      <c r="S22" s="130"/>
      <c r="T22" s="130"/>
      <c r="V22" s="127" t="s">
        <v>189</v>
      </c>
      <c r="W22" s="127"/>
      <c r="X22" s="127"/>
      <c r="Y22" s="127"/>
    </row>
    <row r="23" spans="2:25" ht="12" thickTop="1" x14ac:dyDescent="0.15">
      <c r="B23" s="121" t="s">
        <v>122</v>
      </c>
      <c r="C23" s="121"/>
      <c r="D23" s="128">
        <f ca="1">TODAY()</f>
        <v>43181</v>
      </c>
      <c r="E23" s="129"/>
      <c r="G23" s="121" t="s">
        <v>122</v>
      </c>
      <c r="H23" s="121"/>
      <c r="I23" s="128">
        <f ca="1">TODAY()</f>
        <v>43181</v>
      </c>
      <c r="J23" s="129"/>
      <c r="L23" s="121" t="s">
        <v>122</v>
      </c>
      <c r="M23" s="121"/>
      <c r="N23" s="128">
        <f ca="1">TODAY()</f>
        <v>43181</v>
      </c>
      <c r="O23" s="129"/>
      <c r="Q23" s="121" t="s">
        <v>122</v>
      </c>
      <c r="R23" s="121"/>
      <c r="S23" s="128">
        <f ca="1">TODAY()-1</f>
        <v>43180</v>
      </c>
      <c r="T23" s="129"/>
      <c r="V23" s="121" t="s">
        <v>122</v>
      </c>
      <c r="W23" s="121"/>
      <c r="X23" s="128">
        <f ca="1">TODAY()-1</f>
        <v>43180</v>
      </c>
      <c r="Y23" s="129"/>
    </row>
    <row r="24" spans="2:25" ht="11.25" x14ac:dyDescent="0.15">
      <c r="B24" s="121" t="s">
        <v>124</v>
      </c>
      <c r="C24" s="121"/>
      <c r="D24" s="122" t="s">
        <v>186</v>
      </c>
      <c r="E24" s="123"/>
      <c r="G24" s="121" t="s">
        <v>124</v>
      </c>
      <c r="H24" s="121"/>
      <c r="I24" s="122" t="s">
        <v>186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5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196</v>
      </c>
      <c r="O25" s="123"/>
      <c r="Q25" s="121" t="s">
        <v>127</v>
      </c>
      <c r="R25" s="121"/>
      <c r="S25" s="122" t="s">
        <v>187</v>
      </c>
      <c r="T25" s="123"/>
      <c r="V25" s="121" t="s">
        <v>127</v>
      </c>
      <c r="W25" s="121"/>
      <c r="X25" s="122" t="s">
        <v>187</v>
      </c>
      <c r="Y25" s="123"/>
    </row>
    <row r="26" spans="2:25" ht="11.25" x14ac:dyDescent="0.15">
      <c r="B26" s="121" t="s">
        <v>129</v>
      </c>
      <c r="C26" s="121"/>
      <c r="D26" s="122">
        <f>D31*D33</f>
        <v>388800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132</v>
      </c>
      <c r="E27" s="123"/>
      <c r="G27" s="121" t="s">
        <v>131</v>
      </c>
      <c r="H27" s="121"/>
      <c r="I27" s="122" t="s">
        <v>198</v>
      </c>
      <c r="J27" s="123"/>
      <c r="L27" s="121" t="s">
        <v>131</v>
      </c>
      <c r="M27" s="121"/>
      <c r="N27" s="122" t="s">
        <v>190</v>
      </c>
      <c r="O27" s="123"/>
      <c r="Q27" s="121" t="s">
        <v>131</v>
      </c>
      <c r="R27" s="121"/>
      <c r="S27" s="122" t="s">
        <v>191</v>
      </c>
      <c r="T27" s="123"/>
      <c r="V27" s="121" t="s">
        <v>131</v>
      </c>
      <c r="W27" s="121"/>
      <c r="X27" s="122" t="s">
        <v>190</v>
      </c>
      <c r="Y27" s="123"/>
    </row>
    <row r="28" spans="2:25" ht="11.25" x14ac:dyDescent="0.15">
      <c r="B28" s="121" t="s">
        <v>134</v>
      </c>
      <c r="C28" s="121"/>
      <c r="D28" s="128">
        <v>43182</v>
      </c>
      <c r="E28" s="123"/>
      <c r="G28" s="121" t="s">
        <v>134</v>
      </c>
      <c r="H28" s="121"/>
      <c r="I28" s="128">
        <v>43182</v>
      </c>
      <c r="J28" s="123"/>
      <c r="L28" s="121" t="s">
        <v>134</v>
      </c>
      <c r="M28" s="121"/>
      <c r="N28" s="128">
        <v>43219</v>
      </c>
      <c r="O28" s="123"/>
      <c r="Q28" s="121" t="s">
        <v>134</v>
      </c>
      <c r="R28" s="121"/>
      <c r="S28" s="128">
        <v>43201</v>
      </c>
      <c r="T28" s="123"/>
      <c r="V28" s="121" t="s">
        <v>134</v>
      </c>
      <c r="W28" s="121"/>
      <c r="X28" s="128">
        <v>43201</v>
      </c>
      <c r="Y28" s="123"/>
    </row>
    <row r="29" spans="2:25" ht="11.25" x14ac:dyDescent="0.15">
      <c r="B29" s="121" t="s">
        <v>136</v>
      </c>
      <c r="C29" s="121"/>
      <c r="D29" s="122">
        <v>3856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3800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38.880000000000003</v>
      </c>
      <c r="E31" s="123"/>
      <c r="G31" s="121" t="s">
        <v>199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197</v>
      </c>
      <c r="E32" s="123"/>
      <c r="G32" s="121" t="s">
        <v>200</v>
      </c>
      <c r="H32" s="121"/>
      <c r="I32" s="122" t="s">
        <v>197</v>
      </c>
      <c r="J32" s="123"/>
      <c r="L32" s="121" t="s">
        <v>142</v>
      </c>
      <c r="M32" s="121"/>
      <c r="N32" s="122" t="s">
        <v>195</v>
      </c>
      <c r="O32" s="123"/>
      <c r="Q32" s="121" t="s">
        <v>142</v>
      </c>
      <c r="R32" s="121"/>
      <c r="S32" s="122" t="s">
        <v>192</v>
      </c>
      <c r="T32" s="123"/>
      <c r="V32" s="121" t="s">
        <v>142</v>
      </c>
      <c r="W32" s="121"/>
      <c r="X32" s="122" t="s">
        <v>192</v>
      </c>
      <c r="Y32" s="123"/>
    </row>
    <row r="33" spans="2:25" ht="11.25" x14ac:dyDescent="0.15">
      <c r="B33" s="121" t="s">
        <v>145</v>
      </c>
      <c r="C33" s="121"/>
      <c r="D33" s="122">
        <v>10000</v>
      </c>
      <c r="E33" s="123"/>
      <c r="G33" s="121" t="s">
        <v>201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30" t="s">
        <v>121</v>
      </c>
      <c r="C36" s="130"/>
      <c r="D36" s="130"/>
      <c r="E36" s="130"/>
    </row>
    <row r="37" spans="2:25" ht="12" thickTop="1" x14ac:dyDescent="0.15">
      <c r="B37" s="121" t="s">
        <v>122</v>
      </c>
      <c r="C37" s="121"/>
      <c r="D37" s="128">
        <f ca="1">TODAY()</f>
        <v>43181</v>
      </c>
      <c r="E37" s="129"/>
    </row>
    <row r="38" spans="2:25" ht="11.25" x14ac:dyDescent="0.15">
      <c r="B38" s="121" t="s">
        <v>124</v>
      </c>
      <c r="C38" s="121"/>
      <c r="D38" s="122" t="s">
        <v>215</v>
      </c>
      <c r="E38" s="123"/>
    </row>
    <row r="39" spans="2:25" ht="11.25" x14ac:dyDescent="0.15">
      <c r="B39" s="121" t="s">
        <v>127</v>
      </c>
      <c r="C39" s="121"/>
      <c r="D39" s="122" t="s">
        <v>186</v>
      </c>
      <c r="E39" s="123"/>
    </row>
    <row r="40" spans="2:25" ht="11.25" x14ac:dyDescent="0.15">
      <c r="B40" s="121" t="s">
        <v>179</v>
      </c>
      <c r="C40" s="121"/>
      <c r="D40" s="122">
        <f>D45*D47</f>
        <v>198000</v>
      </c>
      <c r="E40" s="123"/>
    </row>
    <row r="41" spans="2:25" ht="11.25" x14ac:dyDescent="0.15">
      <c r="B41" s="121" t="s">
        <v>131</v>
      </c>
      <c r="C41" s="121"/>
      <c r="D41" s="122" t="s">
        <v>191</v>
      </c>
      <c r="E41" s="123"/>
    </row>
    <row r="42" spans="2:25" ht="11.25" x14ac:dyDescent="0.15">
      <c r="B42" s="121" t="s">
        <v>134</v>
      </c>
      <c r="C42" s="121"/>
      <c r="D42" s="128">
        <v>43210</v>
      </c>
      <c r="E42" s="123"/>
    </row>
    <row r="43" spans="2:25" ht="11.25" x14ac:dyDescent="0.15">
      <c r="B43" s="121" t="s">
        <v>136</v>
      </c>
      <c r="C43" s="121"/>
      <c r="D43" s="122">
        <v>7600</v>
      </c>
      <c r="E43" s="123"/>
    </row>
    <row r="44" spans="2:25" ht="11.25" x14ac:dyDescent="0.15">
      <c r="B44" s="121" t="s">
        <v>138</v>
      </c>
      <c r="C44" s="121"/>
      <c r="D44" s="122">
        <v>7600</v>
      </c>
      <c r="E44" s="123"/>
    </row>
    <row r="45" spans="2:25" ht="11.25" x14ac:dyDescent="0.15">
      <c r="B45" s="121" t="s">
        <v>199</v>
      </c>
      <c r="C45" s="121"/>
      <c r="D45" s="122">
        <v>220</v>
      </c>
      <c r="E45" s="123"/>
    </row>
    <row r="46" spans="2:25" ht="11.25" x14ac:dyDescent="0.15">
      <c r="B46" s="121" t="s">
        <v>200</v>
      </c>
      <c r="C46" s="121"/>
      <c r="D46" s="122" t="s">
        <v>217</v>
      </c>
      <c r="E46" s="123"/>
    </row>
    <row r="47" spans="2:25" ht="11.25" x14ac:dyDescent="0.15">
      <c r="B47" s="121" t="s">
        <v>201</v>
      </c>
      <c r="C47" s="121"/>
      <c r="D47" s="122">
        <v>900</v>
      </c>
      <c r="E47" s="123"/>
    </row>
    <row r="48" spans="2:25" ht="12" thickBot="1" x14ac:dyDescent="0.2">
      <c r="B48" s="124" t="s">
        <v>147</v>
      </c>
      <c r="C48" s="124"/>
      <c r="D48" s="125" t="s">
        <v>148</v>
      </c>
      <c r="E48" s="126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7"/>
  <sheetViews>
    <sheetView topLeftCell="I1" zoomScaleNormal="100" workbookViewId="0">
      <selection activeCell="J31" sqref="J31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2" t="s">
        <v>37</v>
      </c>
      <c r="C1" s="14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27" ca="1" si="0">TODAY()</f>
        <v>43181</v>
      </c>
      <c r="F8" s="21">
        <f ca="1">E8+H8</f>
        <v>43261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-99.271159347020557</v>
      </c>
      <c r="M8" s="25"/>
      <c r="N8" s="24">
        <f>M8/10000*I8*P8</f>
        <v>0</v>
      </c>
      <c r="O8" s="24">
        <f>IF(L8&lt;=0,ABS(L8)+N8,L8-N8)</f>
        <v>99.271159347020557</v>
      </c>
      <c r="P8" s="20">
        <f>RTD("wdf.rtq",,D8,"LastPrice")</f>
        <v>3536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2.8074422892256944E-2</v>
      </c>
      <c r="U8" s="24">
        <f>_xll.dnetGBlackScholesNGreeks("delta",$Q8,$P8,$G8,$I8,$C$3,$J8,$K8,$C$4)*R8</f>
        <v>-0.32764219974978914</v>
      </c>
      <c r="V8" s="24">
        <f>_xll.dnetGBlackScholesNGreeks("vega",$Q8,$P8,$G8,$I8,$C$3,$J8,$K8,$C$4)*R8</f>
        <v>-5.9614145164274532</v>
      </c>
    </row>
    <row r="9" spans="1:25" x14ac:dyDescent="0.15">
      <c r="A9" s="34"/>
      <c r="B9" s="13" t="s">
        <v>172</v>
      </c>
      <c r="C9" s="10" t="s">
        <v>161</v>
      </c>
      <c r="D9" s="10" t="s">
        <v>22</v>
      </c>
      <c r="E9" s="8">
        <f t="shared" ca="1" si="0"/>
        <v>43181</v>
      </c>
      <c r="F9" s="8">
        <f ca="1">E9+H9</f>
        <v>43353</v>
      </c>
      <c r="G9" s="10">
        <v>62.9</v>
      </c>
      <c r="H9" s="10">
        <v>172</v>
      </c>
      <c r="I9" s="12">
        <f>H9/365</f>
        <v>0.47123287671232877</v>
      </c>
      <c r="J9" s="12">
        <v>0</v>
      </c>
      <c r="K9" s="9">
        <v>0.252</v>
      </c>
      <c r="L9" s="13" t="s">
        <v>203</v>
      </c>
      <c r="M9" s="15"/>
      <c r="N9" s="13">
        <f>M9/10000*I9*P9</f>
        <v>0</v>
      </c>
      <c r="O9" s="13" t="e">
        <f>IF(L9&lt;=0,ABS(L9)+N9,L9-N9)</f>
        <v>#VALUE!</v>
      </c>
      <c r="P9" s="11">
        <v>62.77</v>
      </c>
      <c r="Q9" s="10" t="s">
        <v>24</v>
      </c>
      <c r="R9" s="10">
        <f>IF(S9="中金买入",1,-1)</f>
        <v>1</v>
      </c>
      <c r="S9" s="10" t="s">
        <v>151</v>
      </c>
      <c r="T9" s="14" t="e">
        <f>O9/P9</f>
        <v>#VALUE!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 ht="10.5" customHeight="1" x14ac:dyDescent="0.15">
      <c r="A10" s="34"/>
      <c r="B10" s="13" t="s">
        <v>172</v>
      </c>
      <c r="C10" s="10" t="s">
        <v>161</v>
      </c>
      <c r="D10" s="10" t="s">
        <v>195</v>
      </c>
      <c r="E10" s="8">
        <f t="shared" ca="1" si="0"/>
        <v>43181</v>
      </c>
      <c r="F10" s="8">
        <f ca="1">E10+H10</f>
        <v>43242</v>
      </c>
      <c r="G10" s="10">
        <v>100</v>
      </c>
      <c r="H10" s="10">
        <v>61</v>
      </c>
      <c r="I10" s="12">
        <f>(H10-4)/365</f>
        <v>0.15616438356164383</v>
      </c>
      <c r="J10" s="12">
        <v>0</v>
      </c>
      <c r="K10" s="9">
        <v>0.13</v>
      </c>
      <c r="L10" s="13">
        <f>_xll.dnetGBlackScholesNGreeks("price",$Q10,$P10,$G10,$I10,$C$3,$J10,$K10,$C$4)*R10</f>
        <v>2.0428676525355272</v>
      </c>
      <c r="M10" s="15">
        <v>0</v>
      </c>
      <c r="N10" s="13">
        <f>M10/10000*I10*P10</f>
        <v>0</v>
      </c>
      <c r="O10" s="13">
        <f>IF(L10&lt;=0,ABS(L10)+N10,L10-N10)</f>
        <v>2.0428676525355272</v>
      </c>
      <c r="P10" s="11">
        <v>100</v>
      </c>
      <c r="Q10" s="10" t="s">
        <v>85</v>
      </c>
      <c r="R10" s="10">
        <f>IF(S10="中金买入",1,-1)</f>
        <v>1</v>
      </c>
      <c r="S10" s="10" t="s">
        <v>151</v>
      </c>
      <c r="T10" s="14">
        <f>O10/P10</f>
        <v>2.0428676525355273E-2</v>
      </c>
      <c r="U10" s="13">
        <f>_xll.dnetGBlackScholesNGreeks("delta",$Q10,$P10,$G10,$I10,$C$3,$J10,$K10,$C$4)*R10</f>
        <v>-0.48822647344302084</v>
      </c>
      <c r="V10" s="13">
        <f>_xll.dnetGBlackScholesNGreeks("vega",$Q10,$P10,$G10,$I10,$C$3,$J10,$K10,$C$4)*R10</f>
        <v>0.15710900561579066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195</v>
      </c>
      <c r="E11" s="8">
        <f t="shared" ca="1" si="0"/>
        <v>43181</v>
      </c>
      <c r="F11" s="8">
        <f ca="1">E11+H11</f>
        <v>43242</v>
      </c>
      <c r="G11" s="10">
        <v>100</v>
      </c>
      <c r="H11" s="10">
        <v>61</v>
      </c>
      <c r="I11" s="12">
        <f>(H11)/365</f>
        <v>0.16712328767123288</v>
      </c>
      <c r="J11" s="12">
        <v>0</v>
      </c>
      <c r="K11" s="9">
        <v>0.17</v>
      </c>
      <c r="L11" s="13">
        <f>_xll.dnetGBlackScholesNGreeks("price",$Q11,$P11,$G11,$I11,$C$3,$J11,$K11,$C$4)*R11</f>
        <v>2.7627301409094542</v>
      </c>
      <c r="M11" s="15">
        <v>0</v>
      </c>
      <c r="N11" s="13">
        <f>M11/10000*I11*P11</f>
        <v>0</v>
      </c>
      <c r="O11" s="13">
        <f>IF(L11&lt;=0,ABS(L11)+N11,L11-N11)</f>
        <v>2.7627301409094542</v>
      </c>
      <c r="P11" s="11">
        <v>100</v>
      </c>
      <c r="Q11" s="10" t="s">
        <v>85</v>
      </c>
      <c r="R11" s="10">
        <f>IF(S11="中金买入",1,-1)</f>
        <v>1</v>
      </c>
      <c r="S11" s="10" t="s">
        <v>151</v>
      </c>
      <c r="T11" s="14">
        <f>O11/P11</f>
        <v>2.7627301409094543E-2</v>
      </c>
      <c r="U11" s="13">
        <f>_xll.dnetGBlackScholesNGreeks("delta",$Q11,$P11,$G11,$I11,$C$3,$J11,$K11,$C$4)*R11</f>
        <v>-0.48451792062316201</v>
      </c>
      <c r="V11" s="13">
        <f>_xll.dnetGBlackScholesNGreeks("vega",$Q11,$P11,$G11,$I11,$C$3,$J11,$K11,$C$4)*R11</f>
        <v>0.1624480254032683</v>
      </c>
    </row>
    <row r="12" spans="1:25" ht="10.5" customHeight="1" x14ac:dyDescent="0.15">
      <c r="A12" s="34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195</v>
      </c>
      <c r="E13" s="8">
        <f t="shared" ca="1" si="0"/>
        <v>43181</v>
      </c>
      <c r="F13" s="8">
        <f t="shared" ref="F13" ca="1" si="1">E13+H13</f>
        <v>43258</v>
      </c>
      <c r="G13" s="10">
        <v>3500</v>
      </c>
      <c r="H13" s="10">
        <v>77</v>
      </c>
      <c r="I13" s="12">
        <f t="shared" ref="I13" si="2">(H13)/365</f>
        <v>0.21095890410958903</v>
      </c>
      <c r="J13" s="12">
        <v>0</v>
      </c>
      <c r="K13" s="9">
        <v>0.23</v>
      </c>
      <c r="L13" s="13">
        <f>_xll.dnetGBlackScholesNGreeks("price",$Q13,$P13,$G13,$I13,$C$3,$J13,$K13,$C$4)*R13</f>
        <v>-213.66042309371505</v>
      </c>
      <c r="M13" s="15">
        <v>0</v>
      </c>
      <c r="N13" s="13">
        <f t="shared" ref="N13" si="3">M13/10000*I13*P13</f>
        <v>0</v>
      </c>
      <c r="O13" s="13">
        <f t="shared" ref="O13" si="4">IF(L13&lt;=0,ABS(L13)+N13,L13-N13)</f>
        <v>213.66042309371505</v>
      </c>
      <c r="P13" s="11">
        <f>RTD("wdf.rtq",,D13,"LastPrice")</f>
        <v>3377</v>
      </c>
      <c r="Q13" s="10" t="s">
        <v>85</v>
      </c>
      <c r="R13" s="10">
        <f t="shared" ref="R13" si="5">IF(S13="中金买入",1,-1)</f>
        <v>-1</v>
      </c>
      <c r="S13" s="10" t="s">
        <v>20</v>
      </c>
      <c r="T13" s="14">
        <f t="shared" ref="T13" si="6">O13/P13</f>
        <v>6.3269299109776439E-2</v>
      </c>
      <c r="U13" s="13">
        <f>_xll.dnetGBlackScholesNGreeks("delta",$Q13,$P13,$G13,$I13,$C$3,$J13,$K13,$C$4)*R13</f>
        <v>0.60991847956302081</v>
      </c>
      <c r="V13" s="13">
        <f>_xll.dnetGBlackScholesNGreeks("vega",$Q13,$P13,$G13,$I13,$C$3,$J13,$K13,$C$4)*R13</f>
        <v>-5.914536745505302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195</v>
      </c>
      <c r="E14" s="8">
        <f t="shared" ca="1" si="0"/>
        <v>43181</v>
      </c>
      <c r="F14" s="8">
        <f t="shared" ref="F14:F15" ca="1" si="7">E14+H14</f>
        <v>43318</v>
      </c>
      <c r="G14" s="10">
        <v>3000</v>
      </c>
      <c r="H14" s="10">
        <v>137</v>
      </c>
      <c r="I14" s="12">
        <f t="shared" ref="I14:I15" si="8">(H14)/365</f>
        <v>0.37534246575342467</v>
      </c>
      <c r="J14" s="12">
        <v>0</v>
      </c>
      <c r="K14" s="9">
        <v>0.23</v>
      </c>
      <c r="L14" s="13">
        <f>_xll.dnetGBlackScholesNGreeks("price",$Q14,$P14,$G14,$I14,$C$3,$J14,$K14,$C$4)*R14</f>
        <v>-49.759060279855248</v>
      </c>
      <c r="M14" s="15">
        <v>0</v>
      </c>
      <c r="N14" s="13">
        <f t="shared" ref="N14:N15" si="9">M14/10000*I14*P14</f>
        <v>0</v>
      </c>
      <c r="O14" s="13">
        <f t="shared" ref="O14:O15" si="10">IF(L14&lt;=0,ABS(L14)+N14,L14-N14)</f>
        <v>49.759060279855248</v>
      </c>
      <c r="P14" s="11">
        <f>RTD("wdf.rtq",,D14,"LastPrice")</f>
        <v>3377</v>
      </c>
      <c r="Q14" s="10" t="s">
        <v>85</v>
      </c>
      <c r="R14" s="10">
        <f t="shared" ref="R14:R15" si="11">IF(S14="中金买入",1,-1)</f>
        <v>-1</v>
      </c>
      <c r="S14" s="10" t="s">
        <v>20</v>
      </c>
      <c r="T14" s="14">
        <f t="shared" ref="T14:T15" si="12">O14/P14</f>
        <v>1.4734693597825066E-2</v>
      </c>
      <c r="U14" s="13">
        <f>_xll.dnetGBlackScholesNGreeks("delta",$Q14,$P14,$G14,$I14,$C$3,$J14,$K14,$C$4)*R14</f>
        <v>0.17991489216342416</v>
      </c>
      <c r="V14" s="13">
        <f>_xll.dnetGBlackScholesNGreeks("vega",$Q14,$P14,$G14,$I14,$C$3,$J14,$K14,$C$4)*R14</f>
        <v>-5.4092968348250565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214</v>
      </c>
      <c r="E15" s="8">
        <f t="shared" ca="1" si="0"/>
        <v>43181</v>
      </c>
      <c r="F15" s="8">
        <f t="shared" ca="1" si="7"/>
        <v>43212</v>
      </c>
      <c r="G15" s="10">
        <v>3323</v>
      </c>
      <c r="H15" s="10">
        <v>31</v>
      </c>
      <c r="I15" s="12">
        <f t="shared" si="8"/>
        <v>8.4931506849315067E-2</v>
      </c>
      <c r="J15" s="12">
        <v>0</v>
      </c>
      <c r="K15" s="9">
        <v>0.24</v>
      </c>
      <c r="L15" s="13">
        <f>_xll.dnetGBlackScholesNGreeks("price",$Q15,$P15,$G15,$I15,$C$3,$J15,$K15,$C$4)*R15</f>
        <v>-24.550149821361856</v>
      </c>
      <c r="M15" s="15">
        <v>0</v>
      </c>
      <c r="N15" s="13">
        <f t="shared" si="9"/>
        <v>0</v>
      </c>
      <c r="O15" s="13">
        <f t="shared" si="10"/>
        <v>24.550149821361856</v>
      </c>
      <c r="P15" s="11">
        <f>RTD("wdf.rtq",,D15,"LastPrice")</f>
        <v>3536</v>
      </c>
      <c r="Q15" s="10" t="s">
        <v>85</v>
      </c>
      <c r="R15" s="10">
        <f t="shared" si="11"/>
        <v>-1</v>
      </c>
      <c r="S15" s="10" t="s">
        <v>20</v>
      </c>
      <c r="T15" s="14">
        <f t="shared" si="12"/>
        <v>6.9429156734620631E-3</v>
      </c>
      <c r="U15" s="13">
        <f>_xll.dnetGBlackScholesNGreeks("delta",$Q15,$P15,$G15,$I15,$C$3,$J15,$K15,$C$4)*R15</f>
        <v>0.17763982084488816</v>
      </c>
      <c r="V15" s="13">
        <f>_xll.dnetGBlackScholesNGreeks("vega",$Q15,$P15,$G15,$I15,$C$3,$J15,$K15,$C$4)*R15</f>
        <v>-2.6786141633943998</v>
      </c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214</v>
      </c>
      <c r="E16" s="8">
        <f t="shared" ca="1" si="0"/>
        <v>43181</v>
      </c>
      <c r="F16" s="8">
        <f t="shared" ref="F16" ca="1" si="13">E16+H16</f>
        <v>43212</v>
      </c>
      <c r="G16" s="10">
        <v>4123</v>
      </c>
      <c r="H16" s="10">
        <v>31</v>
      </c>
      <c r="I16" s="12">
        <f t="shared" ref="I16" si="14">(H16)/365</f>
        <v>8.4931506849315067E-2</v>
      </c>
      <c r="J16" s="12">
        <v>0</v>
      </c>
      <c r="K16" s="9">
        <v>0.2</v>
      </c>
      <c r="L16" s="13">
        <f>_xll.dnetGBlackScholesNGreeks("price",$Q16,$P16,$G16,$I16,$C$3,$J16,$K16,$C$4)*R16</f>
        <v>0.29065734641969954</v>
      </c>
      <c r="M16" s="15">
        <v>0</v>
      </c>
      <c r="N16" s="13">
        <f t="shared" ref="N16" si="15">M16/10000*I16*P16</f>
        <v>0</v>
      </c>
      <c r="O16" s="13">
        <f t="shared" ref="O16" si="16">IF(L16&lt;=0,ABS(L16)+N16,L16-N16)</f>
        <v>0.29065734641969954</v>
      </c>
      <c r="P16" s="11">
        <f>RTD("wdf.rtq",,D16,"LastPrice")</f>
        <v>3536</v>
      </c>
      <c r="Q16" s="10" t="s">
        <v>39</v>
      </c>
      <c r="R16" s="10">
        <f t="shared" ref="R16" si="17">IF(S16="中金买入",1,-1)</f>
        <v>1</v>
      </c>
      <c r="S16" s="10" t="s">
        <v>151</v>
      </c>
      <c r="T16" s="14">
        <f t="shared" ref="T16" si="18">O16/P16</f>
        <v>8.2199475797426337E-5</v>
      </c>
      <c r="U16" s="13">
        <f>_xll.dnetGBlackScholesNGreeks("delta",$Q16,$P16,$G16,$I16,$C$3,$J16,$K16,$C$4)*R16</f>
        <v>4.5741741608651409E-3</v>
      </c>
      <c r="V16" s="13">
        <f>_xll.dnetGBlackScholesNGreeks("vega",$Q16,$P16,$G16,$I16,$C$3,$J16,$K16,$C$4)*R16</f>
        <v>0.13917833208250752</v>
      </c>
    </row>
    <row r="18" spans="1:22" ht="10.5" customHeight="1" x14ac:dyDescent="0.15">
      <c r="A18" s="34"/>
      <c r="B18" s="13" t="s">
        <v>172</v>
      </c>
      <c r="C18" s="10" t="s">
        <v>161</v>
      </c>
      <c r="D18" s="10" t="s">
        <v>217</v>
      </c>
      <c r="E18" s="8">
        <f t="shared" ca="1" si="0"/>
        <v>43181</v>
      </c>
      <c r="F18" s="8">
        <f t="shared" ref="F18" ca="1" si="19">E18+H18</f>
        <v>43211</v>
      </c>
      <c r="G18" s="10">
        <v>8000</v>
      </c>
      <c r="H18" s="10">
        <v>30</v>
      </c>
      <c r="I18" s="12">
        <f t="shared" ref="I18" si="20">(H18)/365</f>
        <v>8.2191780821917804E-2</v>
      </c>
      <c r="J18" s="12">
        <v>0</v>
      </c>
      <c r="K18" s="9">
        <v>0.28000000000000003</v>
      </c>
      <c r="L18" s="13" t="e">
        <f>_xll.dnetGBlackScholesNGreeks("price",$Q18,$P18,$G18,$I18,$C$3,$J18,$K18,$C$4)*R18</f>
        <v>#VALUE!</v>
      </c>
      <c r="M18" s="15">
        <v>0</v>
      </c>
      <c r="N18" s="13" t="e">
        <f t="shared" ref="N18" si="21">M18/10000*I18*P18</f>
        <v>#N/A</v>
      </c>
      <c r="O18" s="13" t="e">
        <f t="shared" ref="O18" si="22">IF(L18&lt;=0,ABS(L18)+N18,L18-N18)</f>
        <v>#VALUE!</v>
      </c>
      <c r="P18" s="11" t="e">
        <f>RTD("wdf.rtq",,D18,"LastPrice")</f>
        <v>#N/A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 t="e">
        <f t="shared" ref="T18" si="24">O18/P18</f>
        <v>#VALUE!</v>
      </c>
      <c r="U18" s="13" t="e">
        <f>_xll.dnetGBlackScholesNGreeks("delta",$Q18,$P18,$G18,$I18,$C$3,$J18,$K18,$C$4)*R18</f>
        <v>#VALUE!</v>
      </c>
      <c r="V18" s="13" t="e">
        <f>_xll.dnetGBlackScholesNGreeks("vega",$Q18,$P18,$G18,$I18,$C$3,$J18,$K18,$C$4)*R18</f>
        <v>#VALUE!</v>
      </c>
    </row>
    <row r="20" spans="1:22" ht="10.5" customHeight="1" x14ac:dyDescent="0.15">
      <c r="A20" s="34"/>
      <c r="B20" s="13" t="s">
        <v>172</v>
      </c>
      <c r="C20" s="10" t="s">
        <v>161</v>
      </c>
      <c r="D20" s="10" t="s">
        <v>195</v>
      </c>
      <c r="E20" s="8">
        <f t="shared" ca="1" si="0"/>
        <v>43181</v>
      </c>
      <c r="F20" s="8">
        <f t="shared" ref="F20" ca="1" si="25">E20+H20</f>
        <v>43241</v>
      </c>
      <c r="G20" s="10">
        <v>3700</v>
      </c>
      <c r="H20" s="10">
        <v>60</v>
      </c>
      <c r="I20" s="12">
        <f t="shared" ref="I20" si="26">(H20)/365</f>
        <v>0.16438356164383561</v>
      </c>
      <c r="J20" s="12">
        <v>0</v>
      </c>
      <c r="K20" s="9">
        <v>0.24</v>
      </c>
      <c r="L20" s="13">
        <f>_xll.dnetGBlackScholesNGreeks("price",$Q20,$P20,$G20,$I20,$C$3,$J20,$K20,$C$4)*R20</f>
        <v>-32.030432795755246</v>
      </c>
      <c r="M20" s="15">
        <v>70</v>
      </c>
      <c r="N20" s="13">
        <f t="shared" ref="N20" si="27">M20/10000*I20*P20</f>
        <v>3.8858630136986299</v>
      </c>
      <c r="O20" s="13">
        <f t="shared" ref="O20" si="28">IF(L20&lt;=0,ABS(L20)+N20,L20-N20)</f>
        <v>35.916295809453878</v>
      </c>
      <c r="P20" s="11">
        <f>RTD("wdf.rtq",,D20,"LastPrice")</f>
        <v>3377</v>
      </c>
      <c r="Q20" s="10" t="s">
        <v>39</v>
      </c>
      <c r="R20" s="10">
        <f t="shared" ref="R20" si="29">IF(S20="中金买入",1,-1)</f>
        <v>-1</v>
      </c>
      <c r="S20" s="10" t="s">
        <v>20</v>
      </c>
      <c r="T20" s="14">
        <f t="shared" ref="T20" si="30">O20/P20</f>
        <v>1.0635562869249002E-2</v>
      </c>
      <c r="U20" s="13">
        <f>_xll.dnetGBlackScholesNGreeks("delta",$Q20,$P20,$G20,$I20,$C$3,$J20,$K20,$C$4)*R20</f>
        <v>-0.18609712968782333</v>
      </c>
      <c r="V20" s="13">
        <f>_xll.dnetGBlackScholesNGreeks("vega",$Q20,$P20,$G20,$I20,$C$3,$J20,$K20,$C$4)*R20</f>
        <v>-3.6616050721134457</v>
      </c>
    </row>
    <row r="22" spans="1:22" ht="10.5" customHeight="1" x14ac:dyDescent="0.15">
      <c r="A22" s="34"/>
      <c r="B22" s="13" t="s">
        <v>172</v>
      </c>
      <c r="C22" s="10" t="s">
        <v>161</v>
      </c>
      <c r="D22" s="10" t="s">
        <v>225</v>
      </c>
      <c r="E22" s="8">
        <f t="shared" ca="1" si="0"/>
        <v>43181</v>
      </c>
      <c r="F22" s="8">
        <f t="shared" ref="F22" ca="1" si="31">E22+H22</f>
        <v>43215</v>
      </c>
      <c r="G22" s="10">
        <v>13300</v>
      </c>
      <c r="H22" s="10">
        <v>34</v>
      </c>
      <c r="I22" s="12">
        <f>(H22-2)/365</f>
        <v>8.7671232876712329E-2</v>
      </c>
      <c r="J22" s="12">
        <v>0</v>
      </c>
      <c r="K22" s="9">
        <v>0.115</v>
      </c>
      <c r="L22" s="13">
        <f>_xll.dnetGBlackScholesNGreeks("price",$Q22,$P22,$G22,$I22,$C$3,$J22,$K22,$C$4)*R22</f>
        <v>22.18787679212619</v>
      </c>
      <c r="M22" s="15"/>
      <c r="N22" s="13">
        <f t="shared" ref="N22" si="32">M22/10000*I22*P22</f>
        <v>0</v>
      </c>
      <c r="O22" s="13">
        <f t="shared" ref="O22" si="33">IF(L22&lt;=0,ABS(L22)+N22,L22-N22)</f>
        <v>22.18787679212619</v>
      </c>
      <c r="P22" s="11">
        <f>RTD("wdf.rtq",,D22,"LastPrice")</f>
        <v>13890</v>
      </c>
      <c r="Q22" s="10" t="s">
        <v>85</v>
      </c>
      <c r="R22" s="10">
        <f t="shared" ref="R22" si="34">IF(S22="中金买入",1,-1)</f>
        <v>1</v>
      </c>
      <c r="S22" s="10" t="s">
        <v>151</v>
      </c>
      <c r="T22" s="14">
        <f t="shared" ref="T22" si="35">O22/P22</f>
        <v>1.5973993370861188E-3</v>
      </c>
      <c r="U22" s="13">
        <f>_xll.dnetGBlackScholesNGreeks("delta",$Q22,$P22,$G22,$I22,$C$3,$J22,$K22,$C$4)*R22</f>
        <v>-9.8050707742913801E-2</v>
      </c>
      <c r="V22" s="13">
        <f>_xll.dnetGBlackScholesNGreeks("vega",$Q22,$P22,$G22,$I22,$C$3,$J22,$K22,$C$4)*R22</f>
        <v>7.0913275628151951</v>
      </c>
    </row>
    <row r="23" spans="1:22" ht="10.5" customHeight="1" x14ac:dyDescent="0.15">
      <c r="A23" s="34"/>
      <c r="B23" s="13" t="s">
        <v>172</v>
      </c>
      <c r="C23" s="10" t="s">
        <v>161</v>
      </c>
      <c r="D23" s="10" t="s">
        <v>225</v>
      </c>
      <c r="E23" s="8">
        <f t="shared" ca="1" si="0"/>
        <v>43181</v>
      </c>
      <c r="F23" s="8">
        <f t="shared" ref="F23:F24" ca="1" si="36">E23+H23</f>
        <v>43215</v>
      </c>
      <c r="G23" s="10">
        <v>13400</v>
      </c>
      <c r="H23" s="10">
        <v>34</v>
      </c>
      <c r="I23" s="12">
        <f t="shared" ref="I23:I24" si="37">(H23-2)/365</f>
        <v>8.7671232876712329E-2</v>
      </c>
      <c r="J23" s="12">
        <v>0</v>
      </c>
      <c r="K23" s="9">
        <v>0.115</v>
      </c>
      <c r="L23" s="13">
        <f>_xll.dnetGBlackScholesNGreeks("price",$Q23,$P23,$G23,$I23,$C$3,$J23,$K23,$C$4)*R23</f>
        <v>34.770963902288258</v>
      </c>
      <c r="M23" s="15"/>
      <c r="N23" s="13">
        <f t="shared" ref="N23:N24" si="38">M23/10000*I23*P23</f>
        <v>0</v>
      </c>
      <c r="O23" s="13">
        <f t="shared" ref="O23:O24" si="39">IF(L23&lt;=0,ABS(L23)+N23,L23-N23)</f>
        <v>34.770963902288258</v>
      </c>
      <c r="P23" s="11">
        <f>RTD("wdf.rtq",,D23,"LastPrice")</f>
        <v>13890</v>
      </c>
      <c r="Q23" s="10" t="s">
        <v>85</v>
      </c>
      <c r="R23" s="10">
        <f t="shared" ref="R23:R24" si="40">IF(S23="中金买入",1,-1)</f>
        <v>1</v>
      </c>
      <c r="S23" s="10" t="s">
        <v>151</v>
      </c>
      <c r="T23" s="14">
        <f t="shared" ref="T23:T24" si="41">O23/P23</f>
        <v>2.5033091362338558E-3</v>
      </c>
      <c r="U23" s="13">
        <f>_xll.dnetGBlackScholesNGreeks("delta",$Q23,$P23,$G23,$I23,$C$3,$J23,$K23,$C$4)*R23</f>
        <v>-0.14166551553671525</v>
      </c>
      <c r="V23" s="13">
        <f>_xll.dnetGBlackScholesNGreeks("vega",$Q23,$P23,$G23,$I23,$C$3,$J23,$K23,$C$4)*R23</f>
        <v>9.1981126230498376</v>
      </c>
    </row>
    <row r="24" spans="1:22" ht="10.5" customHeight="1" x14ac:dyDescent="0.15">
      <c r="A24" s="34"/>
      <c r="B24" s="13" t="s">
        <v>172</v>
      </c>
      <c r="C24" s="10" t="s">
        <v>161</v>
      </c>
      <c r="D24" s="10" t="s">
        <v>225</v>
      </c>
      <c r="E24" s="8">
        <f t="shared" ca="1" si="0"/>
        <v>43181</v>
      </c>
      <c r="F24" s="8">
        <f t="shared" ca="1" si="36"/>
        <v>43215</v>
      </c>
      <c r="G24" s="10">
        <v>13500</v>
      </c>
      <c r="H24" s="10">
        <v>34</v>
      </c>
      <c r="I24" s="12">
        <f t="shared" si="37"/>
        <v>8.7671232876712329E-2</v>
      </c>
      <c r="J24" s="12">
        <v>0</v>
      </c>
      <c r="K24" s="9">
        <v>0.115</v>
      </c>
      <c r="L24" s="13">
        <f>_xll.dnetGBlackScholesNGreeks("price",$Q24,$P24,$G24,$I24,$C$3,$J24,$K24,$C$4)*R24</f>
        <v>52.44775482392879</v>
      </c>
      <c r="M24" s="15"/>
      <c r="N24" s="13">
        <f t="shared" si="38"/>
        <v>0</v>
      </c>
      <c r="O24" s="13">
        <f t="shared" si="39"/>
        <v>52.44775482392879</v>
      </c>
      <c r="P24" s="11">
        <f>RTD("wdf.rtq",,D24,"LastPrice")</f>
        <v>13890</v>
      </c>
      <c r="Q24" s="10" t="s">
        <v>85</v>
      </c>
      <c r="R24" s="10">
        <f t="shared" si="40"/>
        <v>1</v>
      </c>
      <c r="S24" s="10" t="s">
        <v>151</v>
      </c>
      <c r="T24" s="14">
        <f t="shared" si="41"/>
        <v>3.7759362724210793E-3</v>
      </c>
      <c r="U24" s="13">
        <f>_xll.dnetGBlackScholesNGreeks("delta",$Q24,$P24,$G24,$I24,$C$3,$J24,$K24,$C$4)*R24</f>
        <v>-0.19637164200503321</v>
      </c>
      <c r="V24" s="13">
        <f>_xll.dnetGBlackScholesNGreeks("vega",$Q24,$P24,$G24,$I24,$C$3,$J24,$K24,$C$4)*R24</f>
        <v>11.356517382362426</v>
      </c>
    </row>
    <row r="25" spans="1:22" ht="10.5" customHeight="1" x14ac:dyDescent="0.15">
      <c r="A25" s="34"/>
      <c r="B25" s="13" t="s">
        <v>172</v>
      </c>
      <c r="C25" s="10" t="s">
        <v>161</v>
      </c>
      <c r="D25" s="10" t="s">
        <v>223</v>
      </c>
      <c r="E25" s="8">
        <f t="shared" ca="1" si="0"/>
        <v>43181</v>
      </c>
      <c r="F25" s="8">
        <f t="shared" ref="F25:F27" ca="1" si="42">E25+H25</f>
        <v>43245</v>
      </c>
      <c r="G25" s="10">
        <v>12800</v>
      </c>
      <c r="H25" s="10">
        <v>64</v>
      </c>
      <c r="I25" s="12">
        <f>(H25-4)/365</f>
        <v>0.16438356164383561</v>
      </c>
      <c r="J25" s="12">
        <v>0</v>
      </c>
      <c r="K25" s="9">
        <v>0.115</v>
      </c>
      <c r="L25" s="13">
        <f>_xll.dnetGBlackScholesNGreeks("price",$Q25,$P25,$G25,$I25,$C$3,$J25,$K25,$C$4)*R25</f>
        <v>7.1675179337041186</v>
      </c>
      <c r="M25" s="15"/>
      <c r="N25" s="13">
        <f t="shared" ref="N25:N27" si="43">M25/10000*I25*P25</f>
        <v>0</v>
      </c>
      <c r="O25" s="13">
        <f t="shared" ref="O25:O27" si="44">IF(L25&lt;=0,ABS(L25)+N25,L25-N25)</f>
        <v>7.1675179337041186</v>
      </c>
      <c r="P25" s="11">
        <f>RTD("wdf.rtq",,D25,"LastPrice")</f>
        <v>13975</v>
      </c>
      <c r="Q25" s="10" t="s">
        <v>85</v>
      </c>
      <c r="R25" s="10">
        <f t="shared" ref="R25:R27" si="45">IF(S25="中金买入",1,-1)</f>
        <v>1</v>
      </c>
      <c r="S25" s="10" t="s">
        <v>151</v>
      </c>
      <c r="T25" s="14">
        <f t="shared" ref="T25:T27" si="46">O25/P25</f>
        <v>5.1288142638312116E-4</v>
      </c>
      <c r="U25" s="13">
        <f>_xll.dnetGBlackScholesNGreeks("delta",$Q25,$P25,$G25,$I25,$C$3,$J25,$K25,$C$4)*R25</f>
        <v>-2.8172680893590041E-2</v>
      </c>
      <c r="V25" s="13">
        <f>_xll.dnetGBlackScholesNGreeks("vega",$Q25,$P25,$G25,$I25,$C$3,$J25,$K25,$C$4)*R25</f>
        <v>3.6662230585505142</v>
      </c>
    </row>
    <row r="26" spans="1:22" ht="10.5" customHeight="1" x14ac:dyDescent="0.15">
      <c r="A26" s="34"/>
      <c r="B26" s="13" t="s">
        <v>172</v>
      </c>
      <c r="C26" s="10" t="s">
        <v>161</v>
      </c>
      <c r="D26" s="10" t="s">
        <v>223</v>
      </c>
      <c r="E26" s="8">
        <f t="shared" ca="1" si="0"/>
        <v>43181</v>
      </c>
      <c r="F26" s="8">
        <f t="shared" ca="1" si="42"/>
        <v>43245</v>
      </c>
      <c r="G26" s="10">
        <v>13000</v>
      </c>
      <c r="H26" s="10">
        <v>64</v>
      </c>
      <c r="I26" s="12">
        <f>(H26-4)/365</f>
        <v>0.16438356164383561</v>
      </c>
      <c r="J26" s="12">
        <v>0</v>
      </c>
      <c r="K26" s="9">
        <v>0.115</v>
      </c>
      <c r="L26" s="13">
        <f>_xll.dnetGBlackScholesNGreeks("price",$Q26,$P26,$G26,$I26,$C$3,$J26,$K26,$C$4)*R26</f>
        <v>16.319761630757512</v>
      </c>
      <c r="M26" s="15"/>
      <c r="N26" s="13">
        <f t="shared" si="43"/>
        <v>0</v>
      </c>
      <c r="O26" s="13">
        <f t="shared" si="44"/>
        <v>16.319761630757512</v>
      </c>
      <c r="P26" s="11">
        <f>RTD("wdf.rtq",,D26,"LastPrice")</f>
        <v>13975</v>
      </c>
      <c r="Q26" s="10" t="s">
        <v>85</v>
      </c>
      <c r="R26" s="10">
        <f t="shared" si="45"/>
        <v>1</v>
      </c>
      <c r="S26" s="10" t="s">
        <v>151</v>
      </c>
      <c r="T26" s="14">
        <f t="shared" si="46"/>
        <v>1.1677825853851529E-3</v>
      </c>
      <c r="U26" s="13">
        <f>_xll.dnetGBlackScholesNGreeks("delta",$Q26,$P26,$G26,$I26,$C$3,$J26,$K26,$C$4)*R26</f>
        <v>-5.7508459298105663E-2</v>
      </c>
      <c r="V26" s="13">
        <f>_xll.dnetGBlackScholesNGreeks("vega",$Q26,$P26,$G26,$I26,$C$3,$J26,$K26,$C$4)*R26</f>
        <v>6.5124589735432892</v>
      </c>
    </row>
    <row r="27" spans="1:22" ht="10.5" customHeight="1" x14ac:dyDescent="0.15">
      <c r="A27" s="34"/>
      <c r="B27" s="13" t="s">
        <v>172</v>
      </c>
      <c r="C27" s="10" t="s">
        <v>161</v>
      </c>
      <c r="D27" s="10" t="s">
        <v>223</v>
      </c>
      <c r="E27" s="8">
        <f t="shared" ca="1" si="0"/>
        <v>43181</v>
      </c>
      <c r="F27" s="8">
        <f t="shared" ca="1" si="42"/>
        <v>43245</v>
      </c>
      <c r="G27" s="10">
        <v>13200</v>
      </c>
      <c r="H27" s="10">
        <v>64</v>
      </c>
      <c r="I27" s="12">
        <f>(H27-4)/365</f>
        <v>0.16438356164383561</v>
      </c>
      <c r="J27" s="12">
        <v>0</v>
      </c>
      <c r="K27" s="9">
        <v>0.115</v>
      </c>
      <c r="L27" s="13">
        <f>_xll.dnetGBlackScholesNGreeks("price",$Q27,$P27,$G27,$I27,$C$3,$J27,$K27,$C$4)*R27</f>
        <v>33.722330075702985</v>
      </c>
      <c r="M27" s="15"/>
      <c r="N27" s="13">
        <f t="shared" si="43"/>
        <v>0</v>
      </c>
      <c r="O27" s="13">
        <f t="shared" si="44"/>
        <v>33.722330075702985</v>
      </c>
      <c r="P27" s="11">
        <f>RTD("wdf.rtq",,D27,"LastPrice")</f>
        <v>13975</v>
      </c>
      <c r="Q27" s="10" t="s">
        <v>85</v>
      </c>
      <c r="R27" s="10">
        <f t="shared" si="45"/>
        <v>1</v>
      </c>
      <c r="S27" s="10" t="s">
        <v>151</v>
      </c>
      <c r="T27" s="14">
        <f t="shared" si="46"/>
        <v>2.4130468748266892E-3</v>
      </c>
      <c r="U27" s="13">
        <f>_xll.dnetGBlackScholesNGreeks("delta",$Q27,$P27,$G27,$I27,$C$3,$J27,$K27,$C$4)*R27</f>
        <v>-0.1058591721744051</v>
      </c>
      <c r="V27" s="13">
        <f>_xll.dnetGBlackScholesNGreeks("vega",$Q27,$P27,$G27,$I27,$C$3,$J27,$K27,$C$4)*R27</f>
        <v>10.325103795723408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S8:S16 S18 S20 S22:S27</xm:sqref>
        </x14:dataValidation>
        <x14:dataValidation type="list" allowBlank="1" showInputMessage="1" showErrorMessage="1">
          <x14:formula1>
            <xm:f>configs!$C$1:$C$2</xm:f>
          </x14:formula1>
          <xm:sqref>Q8:Q16 Q18 Q20 Q22:Q27</xm:sqref>
        </x14:dataValidation>
        <x14:dataValidation type="list" allowBlank="1" showInputMessage="1">
          <x14:formula1>
            <xm:f>configs!$A$1:$A$36</xm:f>
          </x14:formula1>
          <xm:sqref>C8:C16 C18 C20 C22:C27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0"/>
  <sheetViews>
    <sheetView topLeftCell="A10" zoomScale="85" zoomScaleNormal="85" workbookViewId="0">
      <selection activeCell="I44" sqref="I4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3" t="s">
        <v>37</v>
      </c>
      <c r="C1" s="14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43181</v>
      </c>
      <c r="F8" s="46">
        <f ca="1">E8+H8</f>
        <v>43211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43181</v>
      </c>
      <c r="F9" s="54">
        <f ca="1">F8</f>
        <v>43211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43181</v>
      </c>
      <c r="F10" s="62">
        <f ca="1">F9</f>
        <v>43211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43181</v>
      </c>
      <c r="F11" s="46">
        <f ca="1">E11+H11</f>
        <v>43211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-52.742557849252762</v>
      </c>
      <c r="M11" s="49"/>
      <c r="N11" s="43"/>
      <c r="O11" s="43">
        <f t="shared" si="0"/>
        <v>52.742557849252762</v>
      </c>
      <c r="P11" s="117">
        <f>RTD("wdf.rtq",,D11,"LastPrice")</f>
        <v>3377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0.3477614315329447</v>
      </c>
      <c r="V11" s="43">
        <f>_xll.dnetGBlackScholesNGreeks("vega",$Q11,$P11,$G11,$I11,$C$3,$J11,$K11,$C$4)*R11</f>
        <v>-3.5734724121563204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43181</v>
      </c>
      <c r="F12" s="54">
        <f t="shared" ca="1" si="1"/>
        <v>43211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9.4871878442652324E-2</v>
      </c>
      <c r="M12" s="57"/>
      <c r="N12" s="51"/>
      <c r="O12" s="51">
        <f t="shared" si="0"/>
        <v>9.4871878442652324E-2</v>
      </c>
      <c r="P12" s="95">
        <f>P11</f>
        <v>3377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1.7244219663314908E-3</v>
      </c>
      <c r="V12" s="51">
        <f>_xll.dnetGBlackScholesNGreeks("vega",$Q12,$P12,$G12,$I12,$C$3,$J12,$K12,$C$4)*R12</f>
        <v>5.4746717729342365E-2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43181</v>
      </c>
      <c r="F13" s="62">
        <f t="shared" ca="1" si="1"/>
        <v>43211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-52.647685970810109</v>
      </c>
      <c r="M13" s="60"/>
      <c r="N13" s="59">
        <f>M13/10000*I13*P13</f>
        <v>0</v>
      </c>
      <c r="O13" s="59">
        <f t="shared" si="0"/>
        <v>52.647685970810109</v>
      </c>
      <c r="P13" s="118">
        <f>P12</f>
        <v>3377</v>
      </c>
      <c r="Q13" s="60"/>
      <c r="R13" s="60"/>
      <c r="S13" s="56" t="s">
        <v>151</v>
      </c>
      <c r="T13" s="64">
        <f>O13/P13</f>
        <v>1.5590075798285493E-2</v>
      </c>
      <c r="U13" s="64">
        <f>U12+U11</f>
        <v>0.34948585349927619</v>
      </c>
      <c r="V13" s="64">
        <f>V12+V11</f>
        <v>-3.518725694426978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43181</v>
      </c>
      <c r="F14" s="46">
        <f ca="1">E14+H14</f>
        <v>43211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-99.003625766231607</v>
      </c>
      <c r="M14" s="49"/>
      <c r="N14" s="43"/>
      <c r="O14" s="43">
        <f t="shared" ref="O14:O28" si="2">IF(L14&lt;=0,ABS(L14)+N14,L14-N14)</f>
        <v>99.003625766231607</v>
      </c>
      <c r="P14" s="117">
        <f>RTD("wdf.rtq",,D14,"LastPrice")</f>
        <v>3377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0.52821749789018213</v>
      </c>
      <c r="V14" s="43">
        <f>_xll.dnetGBlackScholesNGreeks("vega",$Q14,$P14,$G14,$I14,$C$3,$J14,$K14,$C$4)*R14</f>
        <v>-3.8457422435996023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43181</v>
      </c>
      <c r="F15" s="54">
        <f t="shared" ca="1" si="3"/>
        <v>43211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9.4871878442652324E-2</v>
      </c>
      <c r="M15" s="57"/>
      <c r="N15" s="51"/>
      <c r="O15" s="51">
        <f t="shared" si="2"/>
        <v>9.4871878442652324E-2</v>
      </c>
      <c r="P15" s="95">
        <f>P14</f>
        <v>3377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1.7244219663314908E-3</v>
      </c>
      <c r="V15" s="51">
        <f>_xll.dnetGBlackScholesNGreeks("vega",$Q15,$P15,$G15,$I15,$C$3,$J15,$K15,$C$4)*R15</f>
        <v>5.4746717729342365E-2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43181</v>
      </c>
      <c r="F16" s="62">
        <f t="shared" ca="1" si="3"/>
        <v>43211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-98.908753887788961</v>
      </c>
      <c r="M16" s="60"/>
      <c r="N16" s="59">
        <f>M16/10000*I16*P16</f>
        <v>0</v>
      </c>
      <c r="O16" s="59">
        <f t="shared" si="2"/>
        <v>98.908753887788961</v>
      </c>
      <c r="P16" s="118">
        <f>P15</f>
        <v>3377</v>
      </c>
      <c r="Q16" s="60"/>
      <c r="R16" s="60"/>
      <c r="S16" s="56" t="s">
        <v>151</v>
      </c>
      <c r="T16" s="64">
        <f>O16/P16</f>
        <v>2.9288941038729335E-2</v>
      </c>
      <c r="U16" s="64">
        <f>U15+U14</f>
        <v>0.52994191985651362</v>
      </c>
      <c r="V16" s="64">
        <f>V15+V14</f>
        <v>-3.7909955258702599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43181</v>
      </c>
      <c r="F17" s="46">
        <f ca="1">E17+H17</f>
        <v>43211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-162.96447861090337</v>
      </c>
      <c r="M17" s="49"/>
      <c r="N17" s="43"/>
      <c r="O17" s="43">
        <f t="shared" si="2"/>
        <v>162.96447861090337</v>
      </c>
      <c r="P17" s="117">
        <f>RTD("wdf.rtq",,D17,"LastPrice")</f>
        <v>3377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0.69813972909287259</v>
      </c>
      <c r="V17" s="43">
        <f>_xll.dnetGBlackScholesNGreeks("vega",$Q17,$P17,$G17,$I17,$C$3,$J17,$K17,$C$4)*R17</f>
        <v>-3.3633572261360314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43181</v>
      </c>
      <c r="F18" s="54">
        <f t="shared" ca="1" si="4"/>
        <v>43211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9.4871878442652324E-2</v>
      </c>
      <c r="M18" s="57"/>
      <c r="N18" s="51"/>
      <c r="O18" s="51">
        <f t="shared" si="2"/>
        <v>9.4871878442652324E-2</v>
      </c>
      <c r="P18" s="95">
        <f>P17</f>
        <v>3377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1.7244219663314908E-3</v>
      </c>
      <c r="V18" s="51">
        <f>_xll.dnetGBlackScholesNGreeks("vega",$Q18,$P18,$G18,$I18,$C$3,$J18,$K18,$C$4)*R18</f>
        <v>5.4746717729342365E-2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43181</v>
      </c>
      <c r="F19" s="62">
        <f t="shared" ca="1" si="4"/>
        <v>43211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-162.86960673246071</v>
      </c>
      <c r="M19" s="60"/>
      <c r="N19" s="59">
        <f>M19/10000*I19*P19</f>
        <v>0</v>
      </c>
      <c r="O19" s="59">
        <f t="shared" si="2"/>
        <v>162.86960673246071</v>
      </c>
      <c r="P19" s="118">
        <f>P18</f>
        <v>3377</v>
      </c>
      <c r="Q19" s="60"/>
      <c r="R19" s="60"/>
      <c r="S19" s="56" t="s">
        <v>151</v>
      </c>
      <c r="T19" s="64">
        <f>O19/P19</f>
        <v>4.8229081057879986E-2</v>
      </c>
      <c r="U19" s="64">
        <f>U18+U17</f>
        <v>0.69986415105920408</v>
      </c>
      <c r="V19" s="64">
        <f>V18+V17</f>
        <v>-3.308610508406689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43181</v>
      </c>
      <c r="F20" s="46">
        <f ca="1">E20+H20</f>
        <v>43271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-112.82494963133513</v>
      </c>
      <c r="M20" s="49"/>
      <c r="N20" s="43"/>
      <c r="O20" s="43">
        <f t="shared" si="2"/>
        <v>112.82494963133513</v>
      </c>
      <c r="P20" s="117">
        <f>RTD("wdf.rtq",,D20,"LastPrice")</f>
        <v>3377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0.39459167669519957</v>
      </c>
      <c r="V20" s="43">
        <f>_xll.dnetGBlackScholesNGreeks("vega",$Q20,$P20,$G20,$I20,$C$3,$J20,$K20,$C$4)*R20</f>
        <v>-6.4315386789761533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43181</v>
      </c>
      <c r="F21" s="54">
        <f t="shared" ca="1" si="5"/>
        <v>43271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6.5592089525383983</v>
      </c>
      <c r="M21" s="57"/>
      <c r="N21" s="51"/>
      <c r="O21" s="51">
        <f t="shared" si="2"/>
        <v>6.5592089525383983</v>
      </c>
      <c r="P21" s="95">
        <f>P20</f>
        <v>3377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4.8708599432245592E-2</v>
      </c>
      <c r="V21" s="51">
        <f>_xll.dnetGBlackScholesNGreeks("vega",$Q21,$P21,$G21,$I21,$C$3,$J21,$K21,$C$4)*R21</f>
        <v>1.6918470783364796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43181</v>
      </c>
      <c r="F22" s="62">
        <f t="shared" ca="1" si="5"/>
        <v>43271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-106.26574067879673</v>
      </c>
      <c r="M22" s="60"/>
      <c r="N22" s="59">
        <f>M22/10000*I22*P22</f>
        <v>0</v>
      </c>
      <c r="O22" s="59">
        <f t="shared" si="2"/>
        <v>106.26574067879673</v>
      </c>
      <c r="P22" s="118">
        <f>P21</f>
        <v>3377</v>
      </c>
      <c r="Q22" s="60"/>
      <c r="R22" s="60"/>
      <c r="S22" s="56" t="s">
        <v>151</v>
      </c>
      <c r="T22" s="64">
        <f>O22/P22</f>
        <v>3.1467497980099714E-2</v>
      </c>
      <c r="U22" s="64">
        <f>U21+U20</f>
        <v>0.44330027612744516</v>
      </c>
      <c r="V22" s="64">
        <f>V21+V20</f>
        <v>-4.7396916006396737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43181</v>
      </c>
      <c r="F23" s="46">
        <f ca="1">E23+H23</f>
        <v>43271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-161.93319620401758</v>
      </c>
      <c r="M23" s="49"/>
      <c r="N23" s="43"/>
      <c r="O23" s="43">
        <f t="shared" si="2"/>
        <v>161.93319620401758</v>
      </c>
      <c r="P23" s="117">
        <f>RTD("wdf.rtq",,D23,"LastPrice")</f>
        <v>3377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0.49948121223906128</v>
      </c>
      <c r="V23" s="43">
        <f>_xll.dnetGBlackScholesNGreeks("vega",$Q23,$P23,$G23,$I23,$C$3,$J23,$K23,$C$4)*R23</f>
        <v>-6.6568228481410188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43181</v>
      </c>
      <c r="F24" s="54">
        <f t="shared" ca="1" si="6"/>
        <v>43271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6.5592089525383983</v>
      </c>
      <c r="M24" s="57"/>
      <c r="N24" s="51"/>
      <c r="O24" s="51">
        <f t="shared" si="2"/>
        <v>6.5592089525383983</v>
      </c>
      <c r="P24" s="95">
        <f>P23</f>
        <v>3377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4.8708599432245592E-2</v>
      </c>
      <c r="V24" s="51">
        <f>_xll.dnetGBlackScholesNGreeks("vega",$Q24,$P24,$G24,$I24,$C$3,$J24,$K24,$C$4)*R24</f>
        <v>1.6918470783364796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43181</v>
      </c>
      <c r="F25" s="62">
        <f t="shared" ca="1" si="6"/>
        <v>43271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-155.37398725147918</v>
      </c>
      <c r="M25" s="60"/>
      <c r="N25" s="59">
        <f>M25/10000*I25*P25</f>
        <v>0</v>
      </c>
      <c r="O25" s="59">
        <f t="shared" si="2"/>
        <v>155.37398725147918</v>
      </c>
      <c r="P25" s="118">
        <f>P24</f>
        <v>3377</v>
      </c>
      <c r="Q25" s="60"/>
      <c r="R25" s="60"/>
      <c r="S25" s="56" t="s">
        <v>151</v>
      </c>
      <c r="T25" s="64">
        <f>O25/P25</f>
        <v>4.6009472091050989E-2</v>
      </c>
      <c r="U25" s="64">
        <f>U24+U23</f>
        <v>0.54818981167130687</v>
      </c>
      <c r="V25" s="64">
        <f>V24+V23</f>
        <v>-4.9649757698045391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43181</v>
      </c>
      <c r="F26" s="46">
        <f ca="1">E26+H26</f>
        <v>43365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286.77907921006954</v>
      </c>
      <c r="M26" s="49"/>
      <c r="N26" s="43"/>
      <c r="O26" s="43">
        <f t="shared" si="2"/>
        <v>286.77907921006954</v>
      </c>
      <c r="P26" s="117">
        <f>RTD("wdf.rtq",,D26,"LastPrice")</f>
        <v>3377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-0.69353961011984211</v>
      </c>
      <c r="V26" s="43">
        <f>_xll.dnetGBlackScholesNGreeks("vega",$Q26,$P26,$G26,$I26,$C$3,$J26,$K26,$C$4)*R26</f>
        <v>8.2407127538047007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43181</v>
      </c>
      <c r="F27" s="54">
        <f t="shared" ca="1" si="7"/>
        <v>43365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-20.051393487046994</v>
      </c>
      <c r="M27" s="57"/>
      <c r="N27" s="51"/>
      <c r="O27" s="51">
        <f t="shared" si="2"/>
        <v>20.051393487046994</v>
      </c>
      <c r="P27" s="95">
        <f>P26</f>
        <v>3377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-0.10263873709277505</v>
      </c>
      <c r="V27" s="51">
        <f>_xll.dnetGBlackScholesNGreeks("vega",$Q27,$P27,$G27,$I27,$C$3,$J27,$K27,$C$4)*R27</f>
        <v>-4.2718643453291065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43181</v>
      </c>
      <c r="F28" s="62">
        <f t="shared" ca="1" si="7"/>
        <v>43365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266.72768572302255</v>
      </c>
      <c r="M28" s="60"/>
      <c r="N28" s="59">
        <f>M28/10000*I28*P28</f>
        <v>0</v>
      </c>
      <c r="O28" s="59">
        <f t="shared" si="2"/>
        <v>266.72768572302255</v>
      </c>
      <c r="P28" s="118">
        <f>P27</f>
        <v>3377</v>
      </c>
      <c r="Q28" s="60"/>
      <c r="R28" s="60"/>
      <c r="S28" s="56" t="s">
        <v>151</v>
      </c>
      <c r="T28" s="64">
        <f>O28/P28</f>
        <v>7.8983620291093445E-2</v>
      </c>
      <c r="U28" s="64">
        <f>U27+U26</f>
        <v>-0.79617834721261715</v>
      </c>
      <c r="V28" s="64">
        <f>V27+V26</f>
        <v>3.9688484084755942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208</v>
      </c>
      <c r="E29" s="46">
        <f ca="1">TODAY()</f>
        <v>43181</v>
      </c>
      <c r="F29" s="46">
        <f ca="1">E29+H29</f>
        <v>43211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43181</v>
      </c>
      <c r="F30" s="54">
        <f t="shared" ca="1" si="9"/>
        <v>43211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43181</v>
      </c>
      <c r="F31" s="62">
        <f t="shared" ca="1" si="10"/>
        <v>43211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208</v>
      </c>
      <c r="E32" s="46">
        <f ca="1">TODAY()</f>
        <v>43181</v>
      </c>
      <c r="F32" s="46">
        <f ca="1">E32+H32</f>
        <v>43211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43181</v>
      </c>
      <c r="F33" s="54">
        <f t="shared" ca="1" si="11"/>
        <v>43211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43181</v>
      </c>
      <c r="F34" s="62">
        <f t="shared" ca="1" si="12"/>
        <v>43211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43181</v>
      </c>
      <c r="F35" s="46">
        <f ca="1">E35+H35</f>
        <v>43271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99.757210285864403</v>
      </c>
      <c r="M35" s="49"/>
      <c r="N35" s="43"/>
      <c r="O35" s="43">
        <f t="shared" ref="O35:O37" si="13">IF(L35&lt;=0,ABS(L35)+N35,L35-N35)</f>
        <v>99.757210285864403</v>
      </c>
      <c r="P35" s="117">
        <f>RTD("wdf.rtq",,D35,"LastPrice")</f>
        <v>3377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-0.44320520649989703</v>
      </c>
      <c r="V35" s="43">
        <f>_xll.dnetGBlackScholesNGreeks("vega",$Q35,$P35,$G35,$I35,$C$3,$J35,$K35,$C$4)*R35</f>
        <v>6.5943710701601503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43181</v>
      </c>
      <c r="F36" s="54">
        <f t="shared" ca="1" si="14"/>
        <v>43271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-51.270453231370311</v>
      </c>
      <c r="M36" s="57"/>
      <c r="N36" s="51"/>
      <c r="O36" s="51">
        <f t="shared" si="13"/>
        <v>51.270453231370311</v>
      </c>
      <c r="P36" s="95">
        <f>P35</f>
        <v>3377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-0.26894545208620002</v>
      </c>
      <c r="V36" s="51">
        <f>_xll.dnetGBlackScholesNGreeks("vega",$Q36,$P36,$G36,$I36,$C$3,$J36,$K36,$C$4)*R36</f>
        <v>-5.5173927690238997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43181</v>
      </c>
      <c r="F37" s="62">
        <f t="shared" ca="1" si="15"/>
        <v>43271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48.486757054494092</v>
      </c>
      <c r="M37" s="60"/>
      <c r="N37" s="59">
        <f>M37/10000*I37*P37</f>
        <v>0</v>
      </c>
      <c r="O37" s="59">
        <f t="shared" si="13"/>
        <v>48.486757054494092</v>
      </c>
      <c r="P37" s="118">
        <f>P36</f>
        <v>3377</v>
      </c>
      <c r="Q37" s="60"/>
      <c r="R37" s="60"/>
      <c r="S37" s="56" t="s">
        <v>151</v>
      </c>
      <c r="T37" s="64">
        <f>O37/P37</f>
        <v>1.4357938126886021E-2</v>
      </c>
      <c r="U37" s="64">
        <f>U36+U35</f>
        <v>-0.71215065858609705</v>
      </c>
      <c r="V37" s="64">
        <f>V36+V35</f>
        <v>1.0769783011362506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43181</v>
      </c>
      <c r="F38" s="46">
        <f ca="1">E38+H38</f>
        <v>43361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145.51574438212197</v>
      </c>
      <c r="M38" s="49"/>
      <c r="N38" s="43"/>
      <c r="O38" s="43">
        <f t="shared" ref="O38:O40" si="16">IF(L38&lt;=0,ABS(L38)+N38,L38-N38)</f>
        <v>145.51574438212197</v>
      </c>
      <c r="P38" s="117">
        <f>RTD("wdf.rtq",,D38,"LastPrice")</f>
        <v>3377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-0.4450854042033825</v>
      </c>
      <c r="V38" s="43">
        <f>_xll.dnetGBlackScholesNGreeks("vega",$Q38,$P38,$G38,$I38,$C$3,$J38,$K38,$C$4)*R38</f>
        <v>9.2927565707290114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43181</v>
      </c>
      <c r="F39" s="54">
        <f t="shared" ca="1" si="17"/>
        <v>43361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-98.307942225367242</v>
      </c>
      <c r="M39" s="57"/>
      <c r="N39" s="51"/>
      <c r="O39" s="51">
        <f t="shared" si="16"/>
        <v>98.307942225367242</v>
      </c>
      <c r="P39" s="95">
        <f>P38</f>
        <v>3377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-0.34174292619582047</v>
      </c>
      <c r="V39" s="51">
        <f>_xll.dnetGBlackScholesNGreeks("vega",$Q39,$P39,$G39,$I39,$C$3,$J39,$K39,$C$4)*R39</f>
        <v>-8.6506098276726107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43181</v>
      </c>
      <c r="F40" s="62">
        <f t="shared" ca="1" si="18"/>
        <v>43361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47.207802156754724</v>
      </c>
      <c r="M40" s="60">
        <v>50</v>
      </c>
      <c r="N40" s="59">
        <f>M40/10000*I40*P40</f>
        <v>8.3268493150684932</v>
      </c>
      <c r="O40" s="59">
        <f t="shared" si="16"/>
        <v>38.880952841686231</v>
      </c>
      <c r="P40" s="118">
        <f>P39</f>
        <v>3377</v>
      </c>
      <c r="Q40" s="60"/>
      <c r="R40" s="60"/>
      <c r="S40" s="56" t="s">
        <v>151</v>
      </c>
      <c r="T40" s="64">
        <f>O40/P40</f>
        <v>1.1513459532628436E-2</v>
      </c>
      <c r="U40" s="64">
        <f>U39+U38</f>
        <v>-0.78682833039920297</v>
      </c>
      <c r="V40" s="64">
        <f>V39+V38</f>
        <v>0.64214674305640074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C8:C40</xm:sqref>
        </x14:dataValidation>
        <x14:dataValidation type="list" allowBlank="1" showInputMessage="1" showErrorMessage="1">
          <x14:formula1>
            <xm:f>configs!$A$1:$A$36</xm:f>
          </x14:formula1>
          <xm:sqref>B41:B42</xm:sqref>
        </x14:dataValidation>
        <x14:dataValidation type="list" allowBlank="1" showInputMessage="1" showErrorMessage="1">
          <x14:formula1>
            <xm:f>configs!$C$1:$C$2</xm:f>
          </x14:formula1>
          <xm:sqref>Q8:Q40</xm:sqref>
        </x14:dataValidation>
        <x14:dataValidation type="list" allowBlank="1" showInputMessage="1" showErrorMessage="1">
          <x14:formula1>
            <xm:f>configs!$B$1:$B$2</xm:f>
          </x14:formula1>
          <xm:sqref>S8:S40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18" sqref="O1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2" t="s">
        <v>38</v>
      </c>
      <c r="C1" s="14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3536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43181</v>
      </c>
      <c r="N8" s="21">
        <f ca="1">M8+O8</f>
        <v>43211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-16.32023838459839</v>
      </c>
      <c r="T8" s="25">
        <v>80</v>
      </c>
      <c r="U8" s="24">
        <f>T8/10000*P8*H8</f>
        <v>2.3250410958904109</v>
      </c>
      <c r="V8" s="24">
        <f>IF(S8&lt;=0,ABS(S8)+U8,S8-U8)</f>
        <v>18.645279480488803</v>
      </c>
      <c r="W8" s="26">
        <f>V8/H8</f>
        <v>5.2729862784187788E-3</v>
      </c>
      <c r="X8" s="24">
        <f>_xll.dnetStandardBarrierNGreeks("delta",G8,H8,I8,K8,L8*H8,P8,$C$3,Q8,R8,$C$4)</f>
        <v>8.7923747412510522E-2</v>
      </c>
      <c r="Y8" s="24">
        <f>_xll.dnetStandardBarrierNGreeks("vega",G8,H8,I8,K8,L8*H8,P8,$C$3,Q8,R8,$C$4)</f>
        <v>0.96833080814709316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43181</v>
      </c>
      <c r="N9" s="8">
        <f ca="1">M9+O9</f>
        <v>43361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7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4" t="s">
        <v>37</v>
      </c>
      <c r="C1" s="14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3536</v>
      </c>
      <c r="I8" s="19">
        <v>3800</v>
      </c>
      <c r="J8" s="21">
        <f ca="1">TODAY()</f>
        <v>43181</v>
      </c>
      <c r="K8" s="21">
        <f ca="1">J8+L8</f>
        <v>43211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36.022040906624625</v>
      </c>
      <c r="P8" s="25">
        <v>80</v>
      </c>
      <c r="Q8" s="24">
        <f>P8/10000*M8*H8*(-E8)</f>
        <v>2.3250410958904109</v>
      </c>
      <c r="R8" s="24">
        <f>O8+Q8</f>
        <v>38.347082002515037</v>
      </c>
      <c r="S8" s="26">
        <f>R8/H8</f>
        <v>1.084476300976104E-2</v>
      </c>
      <c r="T8" s="24">
        <f>_xll.dnetGBlackScholesNGreeks("delta",$G8,$H8,$I8,$M8,$C$3,$C$4,$N8,$C$4)</f>
        <v>0.2161560145623298</v>
      </c>
      <c r="U8" s="24">
        <f>_xll.dnetGBlackScholesNGreeks("vega",$G8,$H8,$I8,$M8,$C$3,$C$4,$N8)</f>
        <v>2.9693705403840909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43181</v>
      </c>
      <c r="K9" s="8">
        <f ca="1">J9+L9</f>
        <v>43211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43181</v>
      </c>
      <c r="K10" s="8">
        <f ca="1">J10+L10</f>
        <v>43211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2018-03-22T14:47:52Z</dcterms:modified>
</cp:coreProperties>
</file>