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firstSheet="3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34" i="1" l="1"/>
  <c r="I34" i="1"/>
  <c r="N34" i="1" s="1"/>
  <c r="E34" i="1"/>
  <c r="F34" i="1" s="1"/>
  <c r="R33" i="1"/>
  <c r="I33" i="1"/>
  <c r="N33" i="1" s="1"/>
  <c r="E33" i="1"/>
  <c r="F33" i="1" s="1"/>
  <c r="R31" i="1"/>
  <c r="I31" i="1"/>
  <c r="N31" i="1" s="1"/>
  <c r="E31" i="1"/>
  <c r="F31" i="1" s="1"/>
  <c r="R30" i="1"/>
  <c r="I30" i="1"/>
  <c r="N30" i="1" s="1"/>
  <c r="E30" i="1"/>
  <c r="F30" i="1" s="1"/>
  <c r="L34" i="1"/>
  <c r="U34" i="1"/>
  <c r="V34" i="1"/>
  <c r="L33" i="1"/>
  <c r="V31" i="1"/>
  <c r="L30" i="1"/>
  <c r="U30" i="1"/>
  <c r="U31" i="1"/>
  <c r="L31" i="1"/>
  <c r="V30" i="1"/>
  <c r="O33" i="1" l="1"/>
  <c r="T33" i="1" s="1"/>
  <c r="O34" i="1"/>
  <c r="T34" i="1" s="1"/>
  <c r="X34" i="1"/>
  <c r="O31" i="1"/>
  <c r="T31" i="1" s="1"/>
  <c r="X31" i="1"/>
  <c r="X30" i="1"/>
  <c r="O30" i="1"/>
  <c r="T30" i="1" s="1"/>
  <c r="U33" i="1"/>
  <c r="V33" i="1"/>
  <c r="X33" i="1" l="1"/>
  <c r="R28" i="1" l="1"/>
  <c r="I28" i="1"/>
  <c r="N28" i="1" s="1"/>
  <c r="E28" i="1"/>
  <c r="F28" i="1" s="1"/>
  <c r="R27" i="1"/>
  <c r="I27" i="1"/>
  <c r="N27" i="1" s="1"/>
  <c r="E27" i="1"/>
  <c r="F27" i="1" s="1"/>
  <c r="V28" i="1"/>
  <c r="L27" i="1"/>
  <c r="O27" i="1" l="1"/>
  <c r="T27" i="1" s="1"/>
  <c r="K24" i="1"/>
  <c r="R25" i="1"/>
  <c r="I25" i="1"/>
  <c r="N25" i="1" s="1"/>
  <c r="E25" i="1"/>
  <c r="F25" i="1" s="1"/>
  <c r="R24" i="1"/>
  <c r="I24" i="1"/>
  <c r="N24" i="1" s="1"/>
  <c r="E24" i="1"/>
  <c r="F24" i="1" s="1"/>
  <c r="U27" i="1"/>
  <c r="V27" i="1"/>
  <c r="L28" i="1"/>
  <c r="U28" i="1"/>
  <c r="V25" i="1"/>
  <c r="L24" i="1"/>
  <c r="V24" i="1"/>
  <c r="X28" i="1" l="1"/>
  <c r="O28" i="1"/>
  <c r="T28" i="1" s="1"/>
  <c r="X27" i="1"/>
  <c r="O24" i="1"/>
  <c r="T24" i="1" s="1"/>
  <c r="I23" i="1"/>
  <c r="N23" i="1" s="1"/>
  <c r="R23" i="1"/>
  <c r="E23" i="1"/>
  <c r="F23" i="1" s="1"/>
  <c r="I21" i="1"/>
  <c r="I20" i="1"/>
  <c r="R21" i="1"/>
  <c r="E21" i="1"/>
  <c r="F21" i="1" s="1"/>
  <c r="R20" i="1"/>
  <c r="E20" i="1"/>
  <c r="F20" i="1" s="1"/>
  <c r="R18" i="1"/>
  <c r="K18" i="1"/>
  <c r="I18" i="1"/>
  <c r="E18" i="1"/>
  <c r="F18" i="1" s="1"/>
  <c r="R17" i="1"/>
  <c r="I17" i="1"/>
  <c r="E17" i="1"/>
  <c r="F17" i="1" s="1"/>
  <c r="I14" i="1"/>
  <c r="K42" i="9"/>
  <c r="H42" i="9"/>
  <c r="H43" i="9" s="1"/>
  <c r="G43" i="9"/>
  <c r="D43" i="9"/>
  <c r="R42" i="9"/>
  <c r="J42" i="9"/>
  <c r="R41" i="9"/>
  <c r="I41" i="9"/>
  <c r="E41" i="9"/>
  <c r="F41" i="9" s="1"/>
  <c r="F42" i="9" s="1"/>
  <c r="F43" i="9" s="1"/>
  <c r="K16" i="1"/>
  <c r="R16" i="1"/>
  <c r="I16" i="1"/>
  <c r="E16" i="1"/>
  <c r="F16" i="1" s="1"/>
  <c r="R15" i="1"/>
  <c r="I15" i="1"/>
  <c r="E15" i="1"/>
  <c r="F15" i="1" s="1"/>
  <c r="R14" i="1"/>
  <c r="E14" i="1"/>
  <c r="F14" i="1" s="1"/>
  <c r="P20" i="1"/>
  <c r="P21" i="1"/>
  <c r="P18" i="1"/>
  <c r="V20" i="1"/>
  <c r="P41" i="9"/>
  <c r="P14" i="1"/>
  <c r="L25" i="1"/>
  <c r="P15" i="1"/>
  <c r="L21" i="1"/>
  <c r="U24" i="1"/>
  <c r="P17" i="1"/>
  <c r="P16" i="1"/>
  <c r="U25" i="1"/>
  <c r="L20" i="1"/>
  <c r="L14" i="1"/>
  <c r="L17" i="1"/>
  <c r="L23" i="1"/>
  <c r="L15" i="1"/>
  <c r="L16" i="1"/>
  <c r="U41" i="9"/>
  <c r="V41" i="9"/>
  <c r="X25" i="1" l="1"/>
  <c r="O25" i="1"/>
  <c r="T25" i="1" s="1"/>
  <c r="X24" i="1"/>
  <c r="O23" i="1"/>
  <c r="T23" i="1" s="1"/>
  <c r="N17" i="1"/>
  <c r="O17" i="1" s="1"/>
  <c r="T17" i="1" s="1"/>
  <c r="N20" i="1"/>
  <c r="O20" i="1" s="1"/>
  <c r="T20" i="1" s="1"/>
  <c r="N21" i="1"/>
  <c r="O21" i="1" s="1"/>
  <c r="T21" i="1" s="1"/>
  <c r="N18" i="1"/>
  <c r="I42" i="9"/>
  <c r="I43" i="9" s="1"/>
  <c r="P42" i="9"/>
  <c r="E42" i="9"/>
  <c r="E43" i="9" s="1"/>
  <c r="N16" i="1"/>
  <c r="O16" i="1" s="1"/>
  <c r="T16" i="1" s="1"/>
  <c r="N14" i="1"/>
  <c r="O14" i="1" s="1"/>
  <c r="T14" i="1" s="1"/>
  <c r="N15" i="1"/>
  <c r="O15" i="1" s="1"/>
  <c r="T15" i="1" s="1"/>
  <c r="V14" i="1"/>
  <c r="L41" i="9"/>
  <c r="U15" i="1"/>
  <c r="U42" i="9"/>
  <c r="U21" i="1"/>
  <c r="U23" i="1"/>
  <c r="U17" i="1"/>
  <c r="L18" i="1"/>
  <c r="U14" i="1"/>
  <c r="V21" i="1"/>
  <c r="U18" i="1"/>
  <c r="V16" i="1"/>
  <c r="V15" i="1"/>
  <c r="V18" i="1"/>
  <c r="L42" i="9"/>
  <c r="V17" i="1"/>
  <c r="U16" i="1"/>
  <c r="V42" i="9"/>
  <c r="V23" i="1"/>
  <c r="U20" i="1"/>
  <c r="O18" i="1" l="1"/>
  <c r="T18" i="1" s="1"/>
  <c r="X23" i="1"/>
  <c r="X17" i="1"/>
  <c r="X18" i="1"/>
  <c r="X20" i="1"/>
  <c r="X21" i="1"/>
  <c r="V43" i="9"/>
  <c r="O42" i="9"/>
  <c r="L43" i="9"/>
  <c r="U43" i="9"/>
  <c r="O41" i="9"/>
  <c r="P43" i="9"/>
  <c r="N43" i="9" s="1"/>
  <c r="N19" i="1"/>
  <c r="X16" i="1"/>
  <c r="X14" i="1"/>
  <c r="X15" i="1"/>
  <c r="O43" i="9" l="1"/>
  <c r="T43" i="9" s="1"/>
  <c r="N40" i="2" l="1"/>
  <c r="N37" i="2"/>
  <c r="I12" i="1"/>
  <c r="I11" i="1"/>
  <c r="R12" i="1"/>
  <c r="E12" i="1"/>
  <c r="F12" i="1" s="1"/>
  <c r="R11" i="1"/>
  <c r="E11" i="1"/>
  <c r="F11" i="1" s="1"/>
  <c r="P11" i="1"/>
  <c r="P12" i="1"/>
  <c r="L12" i="1"/>
  <c r="V11" i="1"/>
  <c r="N12" i="1" l="1"/>
  <c r="O12" i="1" s="1"/>
  <c r="T12" i="1" s="1"/>
  <c r="N11" i="1"/>
  <c r="I40" i="2"/>
  <c r="I37" i="2"/>
  <c r="V12" i="1"/>
  <c r="U11" i="1"/>
  <c r="U12" i="1"/>
  <c r="L11" i="1"/>
  <c r="X12" i="1" l="1"/>
  <c r="O11" i="1"/>
  <c r="T11" i="1" s="1"/>
  <c r="X11" i="1"/>
  <c r="I9" i="1"/>
  <c r="R9" i="1"/>
  <c r="E9" i="1"/>
  <c r="F9" i="1" s="1"/>
  <c r="P9" i="1"/>
  <c r="L9" i="1"/>
  <c r="N9" i="1" l="1"/>
  <c r="O9" i="1" s="1"/>
  <c r="T9" i="1" s="1"/>
  <c r="D36" i="9"/>
  <c r="D37" i="9" s="1"/>
  <c r="P38" i="9"/>
  <c r="V9" i="1"/>
  <c r="U9" i="1"/>
  <c r="X9" i="1" l="1"/>
  <c r="P39" i="9"/>
  <c r="D39" i="9" l="1"/>
  <c r="D40" i="9" s="1"/>
  <c r="G40" i="9"/>
  <c r="R39" i="9"/>
  <c r="J39" i="9"/>
  <c r="H40" i="9"/>
  <c r="R38" i="9"/>
  <c r="I38" i="9"/>
  <c r="E38" i="9"/>
  <c r="F38" i="9" s="1"/>
  <c r="F39" i="9" s="1"/>
  <c r="F40" i="9" s="1"/>
  <c r="G37" i="9"/>
  <c r="R36" i="9"/>
  <c r="J36" i="9"/>
  <c r="H37" i="9"/>
  <c r="R35" i="9"/>
  <c r="I35" i="9"/>
  <c r="E35" i="9"/>
  <c r="F35" i="9" s="1"/>
  <c r="F36" i="9" s="1"/>
  <c r="F37" i="9" s="1"/>
  <c r="P35" i="9"/>
  <c r="V38" i="9"/>
  <c r="E39" i="9" l="1"/>
  <c r="E40" i="9" s="1"/>
  <c r="I39" i="9"/>
  <c r="I40" i="9" s="1"/>
  <c r="P36" i="9"/>
  <c r="P37" i="9" s="1"/>
  <c r="E36" i="9"/>
  <c r="E37" i="9" s="1"/>
  <c r="I36" i="9"/>
  <c r="L36" i="9"/>
  <c r="V35" i="9"/>
  <c r="L35" i="9"/>
  <c r="L38" i="9"/>
  <c r="U36" i="9"/>
  <c r="L39" i="9"/>
  <c r="U35" i="9"/>
  <c r="U39" i="9"/>
  <c r="V39" i="9"/>
  <c r="U38" i="9"/>
  <c r="V36" i="9"/>
  <c r="U40" i="9" l="1"/>
  <c r="O38" i="9"/>
  <c r="V40" i="9"/>
  <c r="O39" i="9"/>
  <c r="L40" i="9"/>
  <c r="P40" i="9"/>
  <c r="N40" i="9" s="1"/>
  <c r="U37" i="9"/>
  <c r="O36" i="9"/>
  <c r="L37" i="9"/>
  <c r="O35" i="9"/>
  <c r="V37" i="9"/>
  <c r="I37" i="9"/>
  <c r="N37" i="9" s="1"/>
  <c r="O40" i="9" l="1"/>
  <c r="T40" i="9" s="1"/>
  <c r="O37" i="9"/>
  <c r="T37" i="9" s="1"/>
  <c r="H27" i="9" l="1"/>
  <c r="G34" i="9"/>
  <c r="R33" i="9"/>
  <c r="J33" i="9"/>
  <c r="H33" i="9"/>
  <c r="H34" i="9" s="1"/>
  <c r="D33" i="9"/>
  <c r="D34" i="9" s="1"/>
  <c r="R32" i="9"/>
  <c r="I32" i="9"/>
  <c r="E32" i="9"/>
  <c r="F32" i="9" s="1"/>
  <c r="F33" i="9" s="1"/>
  <c r="F34" i="9" s="1"/>
  <c r="G31" i="9"/>
  <c r="R30" i="9"/>
  <c r="J30" i="9"/>
  <c r="H30" i="9"/>
  <c r="H31" i="9" s="1"/>
  <c r="D30" i="9"/>
  <c r="D31" i="9" s="1"/>
  <c r="R29" i="9"/>
  <c r="I29" i="9"/>
  <c r="E29" i="9"/>
  <c r="E30" i="9" s="1"/>
  <c r="E31" i="9" s="1"/>
  <c r="U32" i="9"/>
  <c r="L29" i="9"/>
  <c r="I30" i="9" l="1"/>
  <c r="I31" i="9" s="1"/>
  <c r="F29" i="9"/>
  <c r="F30" i="9" s="1"/>
  <c r="F31" i="9" s="1"/>
  <c r="O29" i="9"/>
  <c r="P30" i="9"/>
  <c r="P33" i="9"/>
  <c r="E33" i="9"/>
  <c r="E34" i="9" s="1"/>
  <c r="I33" i="9"/>
  <c r="I34" i="9" s="1"/>
  <c r="V33" i="9"/>
  <c r="U29" i="9"/>
  <c r="V32" i="9"/>
  <c r="U30" i="9"/>
  <c r="L30" i="9"/>
  <c r="L32" i="9"/>
  <c r="L33" i="9"/>
  <c r="V30" i="9"/>
  <c r="V29" i="9"/>
  <c r="U33" i="9"/>
  <c r="O32" i="9" l="1"/>
  <c r="V31" i="9"/>
  <c r="V34" i="9"/>
  <c r="O33" i="9"/>
  <c r="L34" i="9"/>
  <c r="U34" i="9"/>
  <c r="L31" i="9"/>
  <c r="O30" i="9"/>
  <c r="U31" i="9"/>
  <c r="P34" i="9"/>
  <c r="N34" i="9" s="1"/>
  <c r="P31" i="9"/>
  <c r="N31" i="9" s="1"/>
  <c r="O31" i="9" l="1"/>
  <c r="T31" i="9" s="1"/>
  <c r="O34" i="9"/>
  <c r="T34" i="9" s="1"/>
  <c r="G25" i="9" l="1"/>
  <c r="G16" i="9"/>
  <c r="G28" i="9"/>
  <c r="J27" i="9"/>
  <c r="I27" i="9"/>
  <c r="I28" i="9" s="1"/>
  <c r="D27" i="9"/>
  <c r="D28" i="9" s="1"/>
  <c r="R27" i="9"/>
  <c r="I26" i="9"/>
  <c r="E26" i="9"/>
  <c r="E27" i="9" s="1"/>
  <c r="E28" i="9" s="1"/>
  <c r="R26" i="9"/>
  <c r="J24" i="9"/>
  <c r="H24" i="9"/>
  <c r="H25" i="9" s="1"/>
  <c r="D24" i="9"/>
  <c r="D25" i="9" s="1"/>
  <c r="R24" i="9"/>
  <c r="I23" i="9"/>
  <c r="E23" i="9"/>
  <c r="E24" i="9" s="1"/>
  <c r="E25" i="9" s="1"/>
  <c r="R23" i="9"/>
  <c r="G22" i="9"/>
  <c r="J21" i="9"/>
  <c r="H21" i="9"/>
  <c r="I21" i="9" s="1"/>
  <c r="I22" i="9" s="1"/>
  <c r="D21" i="9"/>
  <c r="D22" i="9" s="1"/>
  <c r="R21" i="9"/>
  <c r="I20" i="9"/>
  <c r="E20" i="9"/>
  <c r="F20" i="9" s="1"/>
  <c r="F21" i="9" s="1"/>
  <c r="F22" i="9" s="1"/>
  <c r="R20" i="9"/>
  <c r="G19" i="9"/>
  <c r="J18" i="9"/>
  <c r="H18" i="9"/>
  <c r="H19" i="9" s="1"/>
  <c r="D18" i="9"/>
  <c r="D19" i="9" s="1"/>
  <c r="R18" i="9"/>
  <c r="I17" i="9"/>
  <c r="E17" i="9"/>
  <c r="E18" i="9" s="1"/>
  <c r="E19" i="9" s="1"/>
  <c r="R17" i="9"/>
  <c r="J15" i="9"/>
  <c r="H15" i="9"/>
  <c r="H16" i="9" s="1"/>
  <c r="D15" i="9"/>
  <c r="D16" i="9" s="1"/>
  <c r="R15" i="9"/>
  <c r="I14" i="9"/>
  <c r="E14" i="9"/>
  <c r="E15" i="9" s="1"/>
  <c r="E16" i="9" s="1"/>
  <c r="R14" i="9"/>
  <c r="D12" i="9"/>
  <c r="D13" i="9" s="1"/>
  <c r="G13" i="9"/>
  <c r="J12" i="9"/>
  <c r="H12" i="9"/>
  <c r="H13" i="9" s="1"/>
  <c r="R12" i="9"/>
  <c r="I11" i="9"/>
  <c r="E11" i="9"/>
  <c r="F11" i="9" s="1"/>
  <c r="F12" i="9" s="1"/>
  <c r="F13" i="9" s="1"/>
  <c r="R11" i="9"/>
  <c r="P17" i="9"/>
  <c r="P26" i="9"/>
  <c r="P14" i="9"/>
  <c r="P11" i="9"/>
  <c r="P23" i="9"/>
  <c r="P20" i="9"/>
  <c r="V11" i="9"/>
  <c r="F23" i="9" l="1"/>
  <c r="F24" i="9" s="1"/>
  <c r="F25" i="9" s="1"/>
  <c r="E21" i="9"/>
  <c r="E22" i="9" s="1"/>
  <c r="H28" i="9"/>
  <c r="P21" i="9"/>
  <c r="P24" i="9"/>
  <c r="P27" i="9"/>
  <c r="F26" i="9"/>
  <c r="F27" i="9" s="1"/>
  <c r="F28" i="9" s="1"/>
  <c r="I24" i="9"/>
  <c r="I25" i="9" s="1"/>
  <c r="H22" i="9"/>
  <c r="P15" i="9"/>
  <c r="P16" i="9" s="1"/>
  <c r="P18" i="9"/>
  <c r="P19" i="9" s="1"/>
  <c r="P12" i="9"/>
  <c r="P13" i="9" s="1"/>
  <c r="I12" i="9"/>
  <c r="F17" i="9"/>
  <c r="F18" i="9" s="1"/>
  <c r="F19" i="9" s="1"/>
  <c r="F14" i="9"/>
  <c r="F15" i="9" s="1"/>
  <c r="F16" i="9" s="1"/>
  <c r="I18" i="9"/>
  <c r="I15" i="9"/>
  <c r="E12" i="9"/>
  <c r="E13" i="9" s="1"/>
  <c r="U14" i="9"/>
  <c r="U12" i="9"/>
  <c r="V18" i="9"/>
  <c r="U26" i="9"/>
  <c r="L21" i="9"/>
  <c r="V14" i="9"/>
  <c r="L24" i="9"/>
  <c r="L20" i="9"/>
  <c r="L12" i="9"/>
  <c r="U23" i="9"/>
  <c r="L17" i="9"/>
  <c r="U11" i="9"/>
  <c r="U17" i="9"/>
  <c r="L26" i="9"/>
  <c r="L14" i="9"/>
  <c r="V21" i="9"/>
  <c r="U21" i="9"/>
  <c r="U27" i="9"/>
  <c r="U15" i="9"/>
  <c r="L11" i="9"/>
  <c r="U20" i="9"/>
  <c r="L18" i="9"/>
  <c r="L27" i="9"/>
  <c r="U18" i="9"/>
  <c r="U24" i="9"/>
  <c r="V24" i="9"/>
  <c r="V17" i="9"/>
  <c r="L15" i="9"/>
  <c r="V23" i="9"/>
  <c r="V15" i="9"/>
  <c r="V20" i="9"/>
  <c r="V27" i="9"/>
  <c r="V12" i="9"/>
  <c r="V26" i="9"/>
  <c r="L23" i="9"/>
  <c r="O20" i="9" l="1"/>
  <c r="O23" i="9"/>
  <c r="O26" i="9"/>
  <c r="O11" i="9"/>
  <c r="O18" i="9"/>
  <c r="O14" i="9"/>
  <c r="O17" i="9"/>
  <c r="O15" i="9"/>
  <c r="O12" i="9"/>
  <c r="O27" i="9"/>
  <c r="O24" i="9"/>
  <c r="O21" i="9"/>
  <c r="V28" i="9"/>
  <c r="L28" i="9"/>
  <c r="U25" i="9"/>
  <c r="V25" i="9"/>
  <c r="L25" i="9"/>
  <c r="U22" i="9"/>
  <c r="V22" i="9"/>
  <c r="L22" i="9"/>
  <c r="U28" i="9"/>
  <c r="P28" i="9"/>
  <c r="N28" i="9" s="1"/>
  <c r="P25" i="9"/>
  <c r="N25" i="9" s="1"/>
  <c r="P22" i="9"/>
  <c r="N22" i="9" s="1"/>
  <c r="L13" i="9"/>
  <c r="I13" i="9"/>
  <c r="N13" i="9" s="1"/>
  <c r="L19" i="9"/>
  <c r="V19" i="9"/>
  <c r="U16" i="9"/>
  <c r="L16" i="9"/>
  <c r="V16" i="9"/>
  <c r="U19" i="9"/>
  <c r="I19" i="9"/>
  <c r="N19" i="9" s="1"/>
  <c r="I16" i="9"/>
  <c r="N16" i="9" s="1"/>
  <c r="V13" i="9"/>
  <c r="U13" i="9"/>
  <c r="O22" i="9" l="1"/>
  <c r="T22" i="9" s="1"/>
  <c r="O16" i="9"/>
  <c r="T16" i="9" s="1"/>
  <c r="O19" i="9"/>
  <c r="T19" i="9" s="1"/>
  <c r="O25" i="9"/>
  <c r="T25" i="9" s="1"/>
  <c r="O28" i="9"/>
  <c r="T28" i="9" s="1"/>
  <c r="O13" i="9"/>
  <c r="T13" i="9" s="1"/>
  <c r="D40" i="2" l="1"/>
  <c r="D37" i="2"/>
  <c r="I26" i="2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V9" i="9"/>
  <c r="L9" i="9"/>
  <c r="L8" i="9"/>
  <c r="U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7"/>
  <c r="H8" i="8"/>
  <c r="O9" i="7"/>
  <c r="U9" i="7"/>
  <c r="T10" i="7"/>
  <c r="U10" i="7"/>
  <c r="K9" i="8"/>
  <c r="T9" i="7"/>
  <c r="O10" i="7"/>
  <c r="U8" i="8" l="1"/>
  <c r="Q9" i="7"/>
  <c r="R9" i="7" s="1"/>
  <c r="S9" i="7" s="1"/>
  <c r="Q10" i="7"/>
  <c r="R10" i="7" s="1"/>
  <c r="S10" i="7" s="1"/>
  <c r="Q8" i="7"/>
  <c r="S9" i="8"/>
  <c r="X9" i="8"/>
  <c r="O8" i="7"/>
  <c r="Y9" i="8"/>
  <c r="U8" i="7"/>
  <c r="T8" i="7"/>
  <c r="K8" i="8"/>
  <c r="V9" i="8" l="1"/>
  <c r="W9" i="8" s="1"/>
  <c r="R8" i="7"/>
  <c r="S8" i="7" s="1"/>
  <c r="Y8" i="8"/>
  <c r="X8" i="8"/>
  <c r="S8" i="8"/>
  <c r="V8" i="8" l="1"/>
  <c r="W8" i="8" s="1"/>
  <c r="R8" i="1"/>
  <c r="I8" i="1" l="1"/>
  <c r="E8" i="1"/>
  <c r="F8" i="1" s="1"/>
  <c r="P8" i="1"/>
  <c r="N8" i="1" l="1"/>
  <c r="V8" i="1"/>
  <c r="L8" i="1"/>
  <c r="U8" i="1"/>
  <c r="O8" i="1" l="1"/>
  <c r="T8" i="1" s="1"/>
</calcChain>
</file>

<file path=xl/sharedStrings.xml><?xml version="1.0" encoding="utf-8"?>
<sst xmlns="http://schemas.openxmlformats.org/spreadsheetml/2006/main" count="1242" uniqueCount="237">
  <si>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</si>
  <si>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</si>
  <si>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</si>
  <si>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</si>
  <si>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</si>
  <si>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</si>
  <si>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</si>
  <si>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</si>
  <si>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</si>
  <si>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</si>
  <si>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</si>
  <si>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</si>
  <si>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</si>
  <si>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</si>
  <si>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</si>
  <si>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</si>
  <si>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</si>
  <si>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</si>
  <si>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</si>
  <si>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</si>
  <si>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</si>
  <si>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</si>
  <si>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</si>
  <si>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</si>
  <si>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</si>
  <si>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</si>
  <si>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</si>
  <si>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</si>
  <si>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</si>
  <si>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</si>
  <si>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</si>
  <si>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</si>
  <si>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</si>
  <si>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</si>
  <si>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</si>
  <si>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</si>
  <si>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</si>
  <si>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</si>
  <si>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</si>
  <si>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</si>
  <si>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</si>
  <si>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</si>
  <si>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</si>
  <si>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</si>
  <si>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</si>
  <si>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</si>
  <si>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</si>
  <si>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</si>
  <si>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</si>
  <si>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</si>
  <si>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</si>
  <si>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</si>
  <si>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</si>
  <si>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</si>
  <si>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</si>
  <si>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</si>
  <si>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</si>
  <si>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</si>
  <si>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</si>
  <si>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</si>
  <si>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</si>
  <si>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</si>
  <si>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</si>
  <si>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</si>
  <si>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</si>
  <si>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</si>
  <si>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</si>
  <si>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</si>
  <si>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</si>
  <si>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</si>
  <si>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</si>
  <si>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</si>
  <si>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</si>
  <si>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</si>
  <si>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</si>
  <si>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</si>
  <si>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</si>
  <si>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</si>
  <si>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</si>
  <si>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</si>
  <si>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</si>
  <si>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</si>
  <si>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</si>
  <si>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</si>
  <si>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</si>
  <si>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</si>
  <si>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</si>
  <si>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</si>
  <si>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</si>
  <si>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</si>
  <si>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</si>
  <si>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</si>
  <si>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</si>
  <si>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</si>
  <si>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</si>
  <si>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</si>
  <si>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</si>
  <si>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</si>
  <si>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</si>
  <si>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</si>
  <si>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</si>
  <si>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</si>
  <si>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</si>
  <si>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</si>
  <si>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</si>
  <si>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</si>
  <si>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</si>
  <si>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</si>
  <si>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</si>
  <si>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</si>
  <si>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</si>
  <si>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</si>
  <si>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</si>
  <si>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</si>
  <si>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</si>
  <si>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</si>
  <si>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</si>
  <si>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</si>
  <si>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</si>
  <si>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</si>
  <si>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</si>
  <si>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</si>
  <si>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</si>
  <si>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</si>
  <si>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</si>
  <si>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</si>
  <si>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</si>
  <si>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</si>
  <si>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</si>
  <si>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</si>
  <si>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</si>
  <si>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</si>
  <si>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</si>
  <si>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</si>
  <si>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</si>
  <si>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</si>
  <si>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</si>
  <si>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</si>
  <si>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</si>
  <si>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</si>
  <si>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</si>
  <si>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</si>
  <si>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</si>
  <si>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</si>
  <si>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</si>
  <si>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</si>
  <si>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</si>
  <si>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</si>
  <si>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</si>
  <si>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</si>
  <si>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</si>
  <si>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</si>
  <si>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</si>
  <si>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</si>
  <si>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</si>
  <si>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</si>
  <si>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</si>
  <si>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</si>
  <si>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</si>
  <si>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</si>
  <si>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</si>
  <si>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</si>
  <si>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</si>
  <si>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</si>
  <si>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</si>
  <si>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</si>
  <si>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</si>
  <si>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</si>
  <si>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</si>
  <si>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</si>
  <si>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</si>
  <si>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</si>
  <si>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</si>
  <si>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</si>
  <si>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</si>
  <si>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</si>
  <si>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</si>
  <si>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</si>
  <si>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</si>
  <si>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</si>
  <si>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</si>
  <si>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</si>
  <si>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</si>
  <si>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</si>
  <si>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</si>
  <si>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</si>
  <si>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</si>
  <si>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</si>
  <si>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</si>
  <si>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</si>
  <si>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</si>
  <si>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</si>
  <si>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</si>
  <si>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</si>
  <si>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</si>
  <si>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</si>
  <si>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</si>
  <si>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</si>
  <si>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</si>
  <si>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</si>
  <si>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</si>
  <si>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</si>
  <si>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rb1810</t>
    <phoneticPr fontId="1" type="noConversion"/>
  </si>
  <si>
    <t>last_trd_date</t>
    <phoneticPr fontId="7" type="noConversion"/>
  </si>
  <si>
    <t>al1807</t>
  </si>
  <si>
    <t>pp1805</t>
  </si>
  <si>
    <t>i1809</t>
  </si>
  <si>
    <t>i1809</t>
    <phoneticPr fontId="1" type="noConversion"/>
  </si>
  <si>
    <t>92|105</t>
  </si>
  <si>
    <t>95|102.5</t>
  </si>
  <si>
    <t>au9999</t>
  </si>
  <si>
    <t>pp1809</t>
  </si>
  <si>
    <t>cu1810</t>
  </si>
  <si>
    <t>东宏基金</t>
    <phoneticPr fontId="1" type="noConversion"/>
  </si>
  <si>
    <t>sm805</t>
  </si>
  <si>
    <t>sm805</t>
    <phoneticPr fontId="1" type="noConversion"/>
  </si>
  <si>
    <t>7000|8000</t>
  </si>
  <si>
    <t>中金支付</t>
    <phoneticPr fontId="1" type="noConversion"/>
  </si>
  <si>
    <t>rr</t>
    <phoneticPr fontId="1" type="noConversion"/>
  </si>
  <si>
    <t>3450|3700</t>
  </si>
  <si>
    <t>al1806</t>
  </si>
  <si>
    <t>al1805</t>
  </si>
  <si>
    <t>al1808</t>
  </si>
  <si>
    <t>al1808</t>
    <phoneticPr fontId="1" type="noConversion"/>
  </si>
  <si>
    <t>au1806</t>
  </si>
  <si>
    <t>au1806</t>
    <phoneticPr fontId="1" type="noConversion"/>
  </si>
  <si>
    <t>al1807</t>
    <phoneticPr fontId="1" type="noConversion"/>
  </si>
  <si>
    <t>pb1807</t>
  </si>
  <si>
    <t>pb1807</t>
    <phoneticPr fontId="1" type="noConversion"/>
  </si>
  <si>
    <t>al1807</t>
    <phoneticPr fontId="1" type="noConversion"/>
  </si>
  <si>
    <t>13500|14300</t>
  </si>
  <si>
    <t>客户支付</t>
    <phoneticPr fontId="1" type="noConversion"/>
  </si>
  <si>
    <t>ma901</t>
  </si>
  <si>
    <t>ma901</t>
    <phoneticPr fontId="1" type="noConversion"/>
  </si>
  <si>
    <t>bu1812</t>
  </si>
  <si>
    <t>bu1812</t>
    <phoneticPr fontId="1" type="noConversion"/>
  </si>
  <si>
    <t>rb1810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</si>
</sst>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0.00000000000000_ "/>
  </numFmts>
  <fonts count="3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55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6" xfId="0" applyFont="1" applyFill="1" applyBorder="1"/>
    <xf numFmtId="0" fontId="5" fillId="6" borderId="17" xfId="0" applyFont="1" applyFill="1" applyBorder="1"/>
    <xf numFmtId="0" fontId="14" fillId="6" borderId="18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5" fillId="9" borderId="0" xfId="0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80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3" fillId="6" borderId="0" xfId="0" applyFont="1" applyFill="1"/>
    <xf numFmtId="2" fontId="33" fillId="9" borderId="2" xfId="0" applyNumberFormat="1" applyFont="1" applyFill="1" applyBorder="1"/>
    <xf numFmtId="0" fontId="33" fillId="9" borderId="2" xfId="0" applyFont="1" applyFill="1" applyBorder="1"/>
    <xf numFmtId="14" fontId="33" fillId="5" borderId="2" xfId="0" applyNumberFormat="1" applyFont="1" applyFill="1" applyBorder="1"/>
    <xf numFmtId="177" fontId="33" fillId="9" borderId="2" xfId="0" applyNumberFormat="1" applyFont="1" applyFill="1" applyBorder="1"/>
    <xf numFmtId="0" fontId="33" fillId="4" borderId="2" xfId="0" applyFont="1" applyFill="1" applyBorder="1"/>
    <xf numFmtId="0" fontId="33" fillId="8" borderId="2" xfId="0" applyFont="1" applyFill="1" applyBorder="1"/>
    <xf numFmtId="178" fontId="33" fillId="9" borderId="2" xfId="0" applyNumberFormat="1" applyFont="1" applyFill="1" applyBorder="1"/>
    <xf numFmtId="10" fontId="33" fillId="9" borderId="2" xfId="1" applyNumberFormat="1" applyFont="1" applyFill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2942</v>
        <stp/>
        <stp>bu1812</stp>
        <stp>LastPrice</stp>
        <tr r="P21" s="1"/>
      </tp>
      <tp>
        <v>275.8</v>
        <stp/>
        <stp>au1806</stp>
        <stp>LastPrice</stp>
        <tr r="P12" s="1"/>
        <tr r="P11" s="1"/>
      </tp>
      <tp>
        <v>13980</v>
        <stp/>
        <stp>al1807</stp>
        <stp>LastPrice</stp>
        <tr r="P16" s="1"/>
        <tr r="P17" s="1"/>
        <tr r="P15" s="1"/>
        <tr r="P41" s="9"/>
        <tr r="P18" s="1"/>
      </tp>
      <tp>
        <v>2590</v>
        <stp/>
        <stp>ma901</stp>
        <stp>LastPrice</stp>
        <tr r="P20" s="1"/>
      </tp>
      <tp>
        <v>18365</v>
        <stp/>
        <stp>pb1807</stp>
        <stp>LastPrice</stp>
        <tr r="P14" s="1"/>
      </tp>
      <tp>
        <v>14055</v>
        <stp/>
        <stp>al1808</stp>
        <stp>LastPrice</stp>
        <tr r="P9" s="1"/>
      </tp>
      <tp>
        <v>3228</v>
        <stp/>
        <stp>rb1810</stp>
        <stp>LastPrice</stp>
        <tr r="P20" s="9"/>
        <tr r="P23" s="9"/>
        <tr r="P11" s="9"/>
        <tr r="P14" s="9"/>
        <tr r="P26" s="9"/>
        <tr r="P17" s="9"/>
        <tr r="P35" s="9"/>
        <tr r="P38" s="9"/>
      </tp>
      <tp>
        <v>3433</v>
        <stp/>
        <stp>RB1805</stp>
        <stp>LastPrice</stp>
        <tr r="P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76"/>
  <sheetViews>
    <sheetView topLeftCell="A43" zoomScaleNormal="100" workbookViewId="0">
      <selection activeCell="C75" sqref="C75:R76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21" t="s">
        <v>158</v>
      </c>
      <c r="C1" s="121"/>
      <c r="D1" s="121"/>
    </row>
    <row r="2" spans="2:18" ht="12" thickTop="1" x14ac:dyDescent="0.15"/>
    <row r="3" spans="2:18" ht="13.5" x14ac:dyDescent="0.15">
      <c r="I3" s="119" t="s">
        <v>203</v>
      </c>
    </row>
    <row r="5" spans="2:18" x14ac:dyDescent="0.15">
      <c r="B5" s="92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3" t="s">
        <v>160</v>
      </c>
      <c r="C6" s="93" t="s">
        <v>159</v>
      </c>
      <c r="D6" s="94">
        <v>43105</v>
      </c>
      <c r="E6" s="94">
        <v>43135</v>
      </c>
      <c r="F6" s="93">
        <v>3800</v>
      </c>
      <c r="G6" s="93">
        <v>30</v>
      </c>
      <c r="H6" s="93">
        <v>8.2191780821917804E-2</v>
      </c>
      <c r="I6" s="93">
        <v>0</v>
      </c>
      <c r="J6" s="93">
        <v>0.3</v>
      </c>
      <c r="K6" s="93" t="e">
        <v>#VALUE!</v>
      </c>
      <c r="L6" s="93">
        <v>80</v>
      </c>
      <c r="M6" s="93" t="e">
        <v>#N/A</v>
      </c>
      <c r="N6" s="93" t="e">
        <v>#VALUE!</v>
      </c>
      <c r="O6" s="93" t="e">
        <v>#N/A</v>
      </c>
      <c r="P6" s="93" t="s">
        <v>39</v>
      </c>
      <c r="Q6" s="93">
        <v>-1</v>
      </c>
      <c r="R6" s="93" t="s">
        <v>20</v>
      </c>
    </row>
    <row r="7" spans="2:18" x14ac:dyDescent="0.15">
      <c r="B7" s="93" t="s">
        <v>160</v>
      </c>
      <c r="C7" s="93" t="s">
        <v>159</v>
      </c>
      <c r="D7" s="94">
        <v>43105</v>
      </c>
      <c r="E7" s="94">
        <v>43470</v>
      </c>
      <c r="F7" s="93">
        <v>100</v>
      </c>
      <c r="G7" s="93">
        <v>365</v>
      </c>
      <c r="H7" s="93">
        <v>1</v>
      </c>
      <c r="I7" s="93">
        <v>0</v>
      </c>
      <c r="J7" s="93">
        <v>0.18</v>
      </c>
      <c r="K7" s="93">
        <v>7.0292776883103798</v>
      </c>
      <c r="L7" s="93">
        <v>80</v>
      </c>
      <c r="M7" s="93">
        <v>0.8</v>
      </c>
      <c r="N7" s="93">
        <v>6.22927768831038</v>
      </c>
      <c r="O7" s="93">
        <v>100</v>
      </c>
      <c r="P7" s="93" t="s">
        <v>39</v>
      </c>
      <c r="Q7" s="93">
        <v>1</v>
      </c>
      <c r="R7" s="93" t="s">
        <v>151</v>
      </c>
    </row>
    <row r="8" spans="2:18" x14ac:dyDescent="0.15">
      <c r="B8" s="92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3" t="s">
        <v>160</v>
      </c>
      <c r="C9" s="93" t="s">
        <v>185</v>
      </c>
      <c r="D9" s="94">
        <v>43119</v>
      </c>
      <c r="E9" s="94">
        <v>43189</v>
      </c>
      <c r="F9" s="93">
        <v>3650</v>
      </c>
      <c r="G9" s="93">
        <v>70</v>
      </c>
      <c r="H9" s="93">
        <v>0.17808219178082191</v>
      </c>
      <c r="I9" s="93">
        <v>0</v>
      </c>
      <c r="J9" s="93">
        <v>0.19</v>
      </c>
      <c r="K9" s="93">
        <v>82.749480015912013</v>
      </c>
      <c r="L9" s="93"/>
      <c r="M9" s="93">
        <v>0</v>
      </c>
      <c r="N9" s="103">
        <v>82.749480015912013</v>
      </c>
      <c r="O9" s="93">
        <v>3728</v>
      </c>
      <c r="P9" s="93" t="s">
        <v>85</v>
      </c>
      <c r="Q9" s="93">
        <v>1</v>
      </c>
      <c r="R9" s="93" t="s">
        <v>151</v>
      </c>
    </row>
    <row r="10" spans="2:18" x14ac:dyDescent="0.15">
      <c r="B10" s="93" t="s">
        <v>160</v>
      </c>
      <c r="C10" s="93" t="s">
        <v>185</v>
      </c>
      <c r="D10" s="94">
        <v>43119</v>
      </c>
      <c r="E10" s="94">
        <v>43189</v>
      </c>
      <c r="F10" s="93">
        <v>3700</v>
      </c>
      <c r="G10" s="93">
        <v>70</v>
      </c>
      <c r="H10" s="93">
        <v>0.17808219178082191</v>
      </c>
      <c r="I10" s="93">
        <v>0</v>
      </c>
      <c r="J10" s="93">
        <v>0.19</v>
      </c>
      <c r="K10" s="93">
        <v>104.91801880194794</v>
      </c>
      <c r="L10" s="93"/>
      <c r="M10" s="93">
        <v>0</v>
      </c>
      <c r="N10" s="103">
        <v>104.91801880194794</v>
      </c>
      <c r="O10" s="93">
        <v>3728</v>
      </c>
      <c r="P10" s="93" t="s">
        <v>85</v>
      </c>
      <c r="Q10" s="93">
        <v>1</v>
      </c>
      <c r="R10" s="93" t="s">
        <v>151</v>
      </c>
    </row>
    <row r="11" spans="2:18" x14ac:dyDescent="0.15">
      <c r="B11" s="93" t="s">
        <v>160</v>
      </c>
      <c r="C11" s="93" t="s">
        <v>185</v>
      </c>
      <c r="D11" s="94">
        <v>43119</v>
      </c>
      <c r="E11" s="94">
        <v>43189</v>
      </c>
      <c r="F11" s="93">
        <v>3750</v>
      </c>
      <c r="G11" s="93">
        <v>70</v>
      </c>
      <c r="H11" s="93">
        <v>0.17808219178082191</v>
      </c>
      <c r="I11" s="93">
        <v>0</v>
      </c>
      <c r="J11" s="93">
        <v>0.19</v>
      </c>
      <c r="K11" s="93">
        <v>130.42375876594815</v>
      </c>
      <c r="L11" s="93"/>
      <c r="M11" s="93">
        <v>0</v>
      </c>
      <c r="N11" s="103">
        <v>130.42375876594815</v>
      </c>
      <c r="O11" s="93">
        <v>3728</v>
      </c>
      <c r="P11" s="93" t="s">
        <v>85</v>
      </c>
      <c r="Q11" s="93">
        <v>1</v>
      </c>
      <c r="R11" s="93" t="s">
        <v>151</v>
      </c>
    </row>
    <row r="12" spans="2:18" x14ac:dyDescent="0.15">
      <c r="B12" s="93"/>
      <c r="C12" s="93"/>
      <c r="D12" s="94"/>
      <c r="E12" s="94"/>
      <c r="F12" s="93"/>
      <c r="G12" s="93"/>
      <c r="H12" s="93"/>
      <c r="I12" s="93"/>
      <c r="J12" s="93"/>
      <c r="K12" s="93"/>
      <c r="L12" s="93"/>
      <c r="M12" s="93"/>
      <c r="N12" s="103"/>
      <c r="O12" s="93"/>
      <c r="P12" s="93"/>
      <c r="Q12" s="93"/>
      <c r="R12" s="93"/>
    </row>
    <row r="13" spans="2:18" x14ac:dyDescent="0.15">
      <c r="B13" s="33"/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114" t="s">
        <v>160</v>
      </c>
      <c r="C14" s="114" t="s">
        <v>193</v>
      </c>
      <c r="D14" s="115">
        <v>43172</v>
      </c>
      <c r="E14" s="115">
        <v>43210</v>
      </c>
      <c r="F14" s="114">
        <v>4000</v>
      </c>
      <c r="G14" s="114">
        <v>38</v>
      </c>
      <c r="H14" s="114">
        <v>9.8630136986301367E-2</v>
      </c>
      <c r="I14" s="114">
        <v>0</v>
      </c>
      <c r="J14" s="114">
        <v>0.155</v>
      </c>
      <c r="K14" s="114">
        <v>19.562648233948153</v>
      </c>
      <c r="L14" s="114">
        <v>0</v>
      </c>
      <c r="M14" s="114">
        <v>0</v>
      </c>
      <c r="N14" s="116">
        <v>19.562648233948153</v>
      </c>
      <c r="O14" s="114">
        <v>3831</v>
      </c>
      <c r="P14" s="114" t="s">
        <v>39</v>
      </c>
      <c r="Q14" s="114">
        <v>1</v>
      </c>
      <c r="R14" s="114" t="s">
        <v>151</v>
      </c>
    </row>
    <row r="15" spans="2:18" x14ac:dyDescent="0.15">
      <c r="B15" s="114" t="s">
        <v>160</v>
      </c>
      <c r="C15" s="114" t="s">
        <v>193</v>
      </c>
      <c r="D15" s="115">
        <v>43172</v>
      </c>
      <c r="E15" s="115">
        <v>43210</v>
      </c>
      <c r="F15" s="114">
        <v>3950</v>
      </c>
      <c r="G15" s="114">
        <v>38</v>
      </c>
      <c r="H15" s="114">
        <v>9.8630136986301367E-2</v>
      </c>
      <c r="I15" s="114">
        <v>0</v>
      </c>
      <c r="J15" s="114">
        <v>0.155</v>
      </c>
      <c r="K15" s="114">
        <v>30.425281860261634</v>
      </c>
      <c r="L15" s="114">
        <v>0</v>
      </c>
      <c r="M15" s="114">
        <v>0</v>
      </c>
      <c r="N15" s="116">
        <v>30.425281860261634</v>
      </c>
      <c r="O15" s="114">
        <v>3831</v>
      </c>
      <c r="P15" s="114" t="s">
        <v>39</v>
      </c>
      <c r="Q15" s="114">
        <v>1</v>
      </c>
      <c r="R15" s="114" t="s">
        <v>151</v>
      </c>
    </row>
    <row r="16" spans="2:18" x14ac:dyDescent="0.15">
      <c r="B16" s="33"/>
      <c r="C16" s="33" t="s">
        <v>181</v>
      </c>
      <c r="D16" s="33" t="s">
        <v>180</v>
      </c>
      <c r="E16" s="33" t="s">
        <v>10</v>
      </c>
      <c r="F16" s="33" t="s">
        <v>184</v>
      </c>
      <c r="G16" s="33" t="s">
        <v>11</v>
      </c>
      <c r="H16" s="33" t="s">
        <v>12</v>
      </c>
      <c r="I16" s="33" t="s">
        <v>47</v>
      </c>
      <c r="J16" s="33" t="s">
        <v>13</v>
      </c>
      <c r="K16" s="33" t="s">
        <v>14</v>
      </c>
      <c r="L16" s="33" t="s">
        <v>26</v>
      </c>
      <c r="M16" s="33" t="s">
        <v>28</v>
      </c>
      <c r="N16" s="33" t="s">
        <v>182</v>
      </c>
      <c r="O16" s="33" t="s">
        <v>8</v>
      </c>
      <c r="P16" s="33" t="s">
        <v>23</v>
      </c>
      <c r="Q16" s="33"/>
      <c r="R16" s="33" t="s">
        <v>30</v>
      </c>
    </row>
    <row r="17" spans="2:18" x14ac:dyDescent="0.15">
      <c r="B17" s="114" t="s">
        <v>160</v>
      </c>
      <c r="C17" s="114" t="s">
        <v>204</v>
      </c>
      <c r="D17" s="115">
        <v>43172</v>
      </c>
      <c r="E17" s="115">
        <v>43262</v>
      </c>
      <c r="F17" s="114">
        <v>12500</v>
      </c>
      <c r="G17" s="114">
        <v>90</v>
      </c>
      <c r="H17" s="114">
        <v>0.24657534246575341</v>
      </c>
      <c r="I17" s="114">
        <v>0</v>
      </c>
      <c r="J17" s="114">
        <v>0.19</v>
      </c>
      <c r="K17" s="114">
        <v>-68.407402851303004</v>
      </c>
      <c r="L17" s="114">
        <v>0</v>
      </c>
      <c r="M17" s="114">
        <v>0</v>
      </c>
      <c r="N17" s="116">
        <v>68.407402851303004</v>
      </c>
      <c r="O17" s="114">
        <v>14010</v>
      </c>
      <c r="P17" s="114" t="s">
        <v>85</v>
      </c>
      <c r="Q17" s="114">
        <v>-1</v>
      </c>
      <c r="R17" s="114" t="s">
        <v>20</v>
      </c>
    </row>
    <row r="18" spans="2:18" x14ac:dyDescent="0.15">
      <c r="B18" s="33"/>
      <c r="C18" s="33" t="s">
        <v>181</v>
      </c>
      <c r="D18" s="33" t="s">
        <v>180</v>
      </c>
      <c r="E18" s="33" t="s">
        <v>10</v>
      </c>
      <c r="F18" s="33" t="s">
        <v>184</v>
      </c>
      <c r="G18" s="33" t="s">
        <v>11</v>
      </c>
      <c r="H18" s="33" t="s">
        <v>12</v>
      </c>
      <c r="I18" s="33" t="s">
        <v>47</v>
      </c>
      <c r="J18" s="33" t="s">
        <v>13</v>
      </c>
      <c r="K18" s="33" t="s">
        <v>14</v>
      </c>
      <c r="L18" s="33" t="s">
        <v>26</v>
      </c>
      <c r="M18" s="33" t="s">
        <v>28</v>
      </c>
      <c r="N18" s="33" t="s">
        <v>182</v>
      </c>
      <c r="O18" s="33" t="s">
        <v>8</v>
      </c>
      <c r="P18" s="33" t="s">
        <v>23</v>
      </c>
      <c r="Q18" s="33"/>
      <c r="R18" s="33" t="s">
        <v>30</v>
      </c>
    </row>
    <row r="19" spans="2:18" x14ac:dyDescent="0.15">
      <c r="B19" s="114" t="s">
        <v>160</v>
      </c>
      <c r="C19" s="114" t="s">
        <v>205</v>
      </c>
      <c r="D19" s="115">
        <v>43172</v>
      </c>
      <c r="E19" s="115">
        <v>43203</v>
      </c>
      <c r="F19" s="114">
        <v>8800</v>
      </c>
      <c r="G19" s="114">
        <v>31</v>
      </c>
      <c r="H19" s="114">
        <v>8.4931506849315067E-2</v>
      </c>
      <c r="I19" s="114">
        <v>0</v>
      </c>
      <c r="J19" s="114">
        <v>0.1875</v>
      </c>
      <c r="K19" s="114">
        <v>-236.0723801769891</v>
      </c>
      <c r="L19" s="114">
        <v>70</v>
      </c>
      <c r="M19" s="114">
        <v>5.2805315068493144</v>
      </c>
      <c r="N19" s="116">
        <v>241.35291168383841</v>
      </c>
      <c r="O19" s="114">
        <v>8882</v>
      </c>
      <c r="P19" s="114" t="s">
        <v>39</v>
      </c>
      <c r="Q19" s="114">
        <v>-1</v>
      </c>
      <c r="R19" s="114" t="s">
        <v>20</v>
      </c>
    </row>
    <row r="20" spans="2:18" x14ac:dyDescent="0.15">
      <c r="B20" s="114" t="s">
        <v>160</v>
      </c>
      <c r="C20" s="114" t="s">
        <v>205</v>
      </c>
      <c r="D20" s="115">
        <v>43172</v>
      </c>
      <c r="E20" s="115">
        <v>43203</v>
      </c>
      <c r="F20" s="114">
        <v>8900</v>
      </c>
      <c r="G20" s="114">
        <v>31</v>
      </c>
      <c r="H20" s="114">
        <v>8.4931506849315067E-2</v>
      </c>
      <c r="I20" s="114">
        <v>0</v>
      </c>
      <c r="J20" s="114">
        <v>0.1875</v>
      </c>
      <c r="K20" s="114">
        <v>-184.6140002711727</v>
      </c>
      <c r="L20" s="114">
        <v>70</v>
      </c>
      <c r="M20" s="114">
        <v>5.2805315068493144</v>
      </c>
      <c r="N20" s="116">
        <v>189.89453177802201</v>
      </c>
      <c r="O20" s="114">
        <v>8882</v>
      </c>
      <c r="P20" s="114" t="s">
        <v>39</v>
      </c>
      <c r="Q20" s="114">
        <v>-1</v>
      </c>
      <c r="R20" s="114" t="s">
        <v>20</v>
      </c>
    </row>
    <row r="21" spans="2:18" x14ac:dyDescent="0.15">
      <c r="B21" s="114" t="s">
        <v>160</v>
      </c>
      <c r="C21" s="114" t="s">
        <v>205</v>
      </c>
      <c r="D21" s="115">
        <v>43172</v>
      </c>
      <c r="E21" s="115">
        <v>43203</v>
      </c>
      <c r="F21" s="114">
        <v>9000</v>
      </c>
      <c r="G21" s="114">
        <v>31</v>
      </c>
      <c r="H21" s="114">
        <v>8.4931506849315067E-2</v>
      </c>
      <c r="I21" s="114">
        <v>0</v>
      </c>
      <c r="J21" s="114">
        <v>0.1875</v>
      </c>
      <c r="K21" s="114">
        <v>-141.29988107518739</v>
      </c>
      <c r="L21" s="114">
        <v>70</v>
      </c>
      <c r="M21" s="114">
        <v>5.2805315068493144</v>
      </c>
      <c r="N21" s="116">
        <v>146.5804125820367</v>
      </c>
      <c r="O21" s="114">
        <v>8882</v>
      </c>
      <c r="P21" s="114" t="s">
        <v>39</v>
      </c>
      <c r="Q21" s="114">
        <v>-1</v>
      </c>
      <c r="R21" s="114" t="s">
        <v>20</v>
      </c>
    </row>
    <row r="22" spans="2:18" x14ac:dyDescent="0.15">
      <c r="B22" s="114" t="s">
        <v>160</v>
      </c>
      <c r="C22" s="114" t="s">
        <v>205</v>
      </c>
      <c r="D22" s="115">
        <v>43172</v>
      </c>
      <c r="E22" s="115">
        <v>43203</v>
      </c>
      <c r="F22" s="114">
        <v>9100</v>
      </c>
      <c r="G22" s="114">
        <v>31</v>
      </c>
      <c r="H22" s="114">
        <v>8.4931506849315067E-2</v>
      </c>
      <c r="I22" s="114">
        <v>0</v>
      </c>
      <c r="J22" s="114">
        <v>0.1875</v>
      </c>
      <c r="K22" s="114">
        <v>-105.77307588048689</v>
      </c>
      <c r="L22" s="114">
        <v>70</v>
      </c>
      <c r="M22" s="114">
        <v>5.2805315068493144</v>
      </c>
      <c r="N22" s="116">
        <v>111.0536073873362</v>
      </c>
      <c r="O22" s="114">
        <v>8882</v>
      </c>
      <c r="P22" s="114" t="s">
        <v>39</v>
      </c>
      <c r="Q22" s="114">
        <v>-1</v>
      </c>
      <c r="R22" s="114" t="s">
        <v>20</v>
      </c>
    </row>
    <row r="23" spans="2:18" x14ac:dyDescent="0.15">
      <c r="B23" s="33"/>
      <c r="C23" s="33" t="s">
        <v>181</v>
      </c>
      <c r="D23" s="33" t="s">
        <v>180</v>
      </c>
      <c r="E23" s="33" t="s">
        <v>10</v>
      </c>
      <c r="F23" s="33" t="s">
        <v>184</v>
      </c>
      <c r="G23" s="33" t="s">
        <v>11</v>
      </c>
      <c r="H23" s="33" t="s">
        <v>12</v>
      </c>
      <c r="I23" s="33" t="s">
        <v>47</v>
      </c>
      <c r="J23" s="33" t="s">
        <v>13</v>
      </c>
      <c r="K23" s="33" t="s">
        <v>14</v>
      </c>
      <c r="L23" s="33" t="s">
        <v>26</v>
      </c>
      <c r="M23" s="33" t="s">
        <v>28</v>
      </c>
      <c r="N23" s="33" t="s">
        <v>182</v>
      </c>
      <c r="O23" s="33" t="s">
        <v>8</v>
      </c>
      <c r="P23" s="33" t="s">
        <v>23</v>
      </c>
      <c r="Q23" s="33"/>
      <c r="R23" s="33" t="s">
        <v>30</v>
      </c>
    </row>
    <row r="24" spans="2:18" x14ac:dyDescent="0.15">
      <c r="B24" s="114" t="s">
        <v>160</v>
      </c>
      <c r="C24" s="114" t="s">
        <v>204</v>
      </c>
      <c r="D24" s="115">
        <v>43172</v>
      </c>
      <c r="E24" s="115">
        <v>43262</v>
      </c>
      <c r="F24" s="114">
        <v>12000</v>
      </c>
      <c r="G24" s="114">
        <v>90</v>
      </c>
      <c r="H24" s="114">
        <v>0.24657534246575341</v>
      </c>
      <c r="I24" s="114">
        <v>0</v>
      </c>
      <c r="J24" s="114">
        <v>0.18</v>
      </c>
      <c r="K24" s="114">
        <v>-19.455144995082719</v>
      </c>
      <c r="L24" s="114">
        <v>0</v>
      </c>
      <c r="M24" s="114">
        <v>0</v>
      </c>
      <c r="N24" s="116">
        <v>19.455144995082719</v>
      </c>
      <c r="O24" s="114">
        <v>14010</v>
      </c>
      <c r="P24" s="114" t="s">
        <v>85</v>
      </c>
      <c r="Q24" s="114">
        <v>-1</v>
      </c>
      <c r="R24" s="114" t="s">
        <v>20</v>
      </c>
    </row>
    <row r="26" spans="2:18" x14ac:dyDescent="0.15">
      <c r="B26" s="33"/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114" t="s">
        <v>160</v>
      </c>
      <c r="C27" s="114" t="s">
        <v>185</v>
      </c>
      <c r="D27" s="115">
        <v>43173</v>
      </c>
      <c r="E27" s="115">
        <v>43251</v>
      </c>
      <c r="F27" s="114">
        <v>3500</v>
      </c>
      <c r="G27" s="114">
        <v>78</v>
      </c>
      <c r="H27" s="114">
        <v>0.21369863013698631</v>
      </c>
      <c r="I27" s="114">
        <v>0</v>
      </c>
      <c r="J27" s="114">
        <v>0.22500000000000001</v>
      </c>
      <c r="K27" s="114">
        <v>-101.42329162416991</v>
      </c>
      <c r="L27" s="114">
        <v>0</v>
      </c>
      <c r="M27" s="114">
        <v>0</v>
      </c>
      <c r="N27" s="116">
        <v>101.42329162416991</v>
      </c>
      <c r="O27" s="114">
        <v>3602</v>
      </c>
      <c r="P27" s="114" t="s">
        <v>85</v>
      </c>
      <c r="Q27" s="114">
        <v>-1</v>
      </c>
      <c r="R27" s="114" t="s">
        <v>20</v>
      </c>
    </row>
    <row r="28" spans="2:18" x14ac:dyDescent="0.15">
      <c r="B28" s="33"/>
      <c r="C28" s="33" t="s">
        <v>181</v>
      </c>
      <c r="D28" s="33" t="s">
        <v>180</v>
      </c>
      <c r="E28" s="33" t="s">
        <v>10</v>
      </c>
      <c r="F28" s="33" t="s">
        <v>184</v>
      </c>
      <c r="G28" s="33" t="s">
        <v>11</v>
      </c>
      <c r="H28" s="33" t="s">
        <v>12</v>
      </c>
      <c r="I28" s="33" t="s">
        <v>47</v>
      </c>
      <c r="J28" s="33" t="s">
        <v>13</v>
      </c>
      <c r="K28" s="33" t="s">
        <v>14</v>
      </c>
      <c r="L28" s="33" t="s">
        <v>26</v>
      </c>
      <c r="M28" s="33" t="s">
        <v>28</v>
      </c>
      <c r="N28" s="33" t="s">
        <v>182</v>
      </c>
      <c r="O28" s="33" t="s">
        <v>8</v>
      </c>
      <c r="P28" s="33" t="s">
        <v>23</v>
      </c>
      <c r="Q28" s="33"/>
      <c r="R28" s="33" t="s">
        <v>30</v>
      </c>
    </row>
    <row r="29" spans="2:18" x14ac:dyDescent="0.15">
      <c r="B29" s="114" t="s">
        <v>160</v>
      </c>
      <c r="C29" s="114" t="s">
        <v>206</v>
      </c>
      <c r="D29" s="115">
        <v>43173</v>
      </c>
      <c r="E29" s="115">
        <v>43203</v>
      </c>
      <c r="F29" s="114" t="s">
        <v>208</v>
      </c>
      <c r="G29" s="114">
        <v>30</v>
      </c>
      <c r="H29" s="114">
        <v>8.2191780821917804E-2</v>
      </c>
      <c r="I29" s="114"/>
      <c r="J29" s="114"/>
      <c r="K29" s="114">
        <v>0.3660793967580851</v>
      </c>
      <c r="L29" s="114">
        <v>50</v>
      </c>
      <c r="M29" s="114">
        <v>4.1095890410958902E-2</v>
      </c>
      <c r="N29" s="116">
        <v>0.32498350634712619</v>
      </c>
      <c r="O29" s="114">
        <v>100</v>
      </c>
      <c r="P29" s="114"/>
      <c r="Q29" s="114"/>
      <c r="R29" s="114" t="s">
        <v>151</v>
      </c>
    </row>
    <row r="30" spans="2:18" x14ac:dyDescent="0.15">
      <c r="B30" s="114" t="s">
        <v>160</v>
      </c>
      <c r="C30" s="114" t="s">
        <v>206</v>
      </c>
      <c r="D30" s="115">
        <v>43173</v>
      </c>
      <c r="E30" s="115">
        <v>43203</v>
      </c>
      <c r="F30" s="114" t="s">
        <v>209</v>
      </c>
      <c r="G30" s="114">
        <v>30</v>
      </c>
      <c r="H30" s="114">
        <v>8.2191780821917804E-2</v>
      </c>
      <c r="I30" s="114"/>
      <c r="J30" s="114"/>
      <c r="K30" s="114">
        <v>0.49604829188830735</v>
      </c>
      <c r="L30" s="114">
        <v>50</v>
      </c>
      <c r="M30" s="114">
        <v>4.1095890410958902E-2</v>
      </c>
      <c r="N30" s="116">
        <v>0.45495240147734844</v>
      </c>
      <c r="O30" s="114">
        <v>100</v>
      </c>
      <c r="P30" s="114"/>
      <c r="Q30" s="114"/>
      <c r="R30" s="114" t="s">
        <v>151</v>
      </c>
    </row>
    <row r="31" spans="2:18" x14ac:dyDescent="0.15">
      <c r="B31" s="33"/>
      <c r="C31" s="33" t="s">
        <v>181</v>
      </c>
      <c r="D31" s="33" t="s">
        <v>180</v>
      </c>
      <c r="E31" s="33" t="s">
        <v>10</v>
      </c>
      <c r="F31" s="33" t="s">
        <v>184</v>
      </c>
      <c r="G31" s="33" t="s">
        <v>11</v>
      </c>
      <c r="H31" s="33" t="s">
        <v>12</v>
      </c>
      <c r="I31" s="33" t="s">
        <v>47</v>
      </c>
      <c r="J31" s="33" t="s">
        <v>13</v>
      </c>
      <c r="K31" s="33" t="s">
        <v>14</v>
      </c>
      <c r="L31" s="33" t="s">
        <v>26</v>
      </c>
      <c r="M31" s="33" t="s">
        <v>28</v>
      </c>
      <c r="N31" s="33" t="s">
        <v>182</v>
      </c>
      <c r="O31" s="33" t="s">
        <v>8</v>
      </c>
      <c r="P31" s="33" t="s">
        <v>23</v>
      </c>
      <c r="Q31" s="33"/>
      <c r="R31" s="33" t="s">
        <v>30</v>
      </c>
    </row>
    <row r="32" spans="2:18" x14ac:dyDescent="0.15">
      <c r="B32" s="114" t="s">
        <v>160</v>
      </c>
      <c r="C32" s="114" t="s">
        <v>210</v>
      </c>
      <c r="D32" s="115">
        <v>43174</v>
      </c>
      <c r="E32" s="115">
        <v>43206</v>
      </c>
      <c r="F32" s="114">
        <v>270</v>
      </c>
      <c r="G32" s="114">
        <v>32</v>
      </c>
      <c r="H32" s="114">
        <v>8.7671232876712329E-2</v>
      </c>
      <c r="I32" s="114">
        <v>0.03</v>
      </c>
      <c r="J32" s="114">
        <v>0.13</v>
      </c>
      <c r="K32" s="114">
        <v>-5.09179079711177</v>
      </c>
      <c r="L32" s="114">
        <v>50</v>
      </c>
      <c r="M32" s="114">
        <v>0.11881643835616439</v>
      </c>
      <c r="N32" s="116">
        <v>5.2106072354679345</v>
      </c>
      <c r="O32" s="114">
        <v>271.05</v>
      </c>
      <c r="P32" s="114" t="s">
        <v>39</v>
      </c>
      <c r="Q32" s="114">
        <v>-1</v>
      </c>
      <c r="R32" s="114" t="s">
        <v>20</v>
      </c>
    </row>
    <row r="33" spans="2:18" x14ac:dyDescent="0.15">
      <c r="B33" s="114" t="s">
        <v>160</v>
      </c>
      <c r="C33" s="114" t="s">
        <v>210</v>
      </c>
      <c r="D33" s="115">
        <v>43174</v>
      </c>
      <c r="E33" s="115">
        <v>43235</v>
      </c>
      <c r="F33" s="114">
        <v>270</v>
      </c>
      <c r="G33" s="114">
        <v>61</v>
      </c>
      <c r="H33" s="114">
        <v>0.16712328767123288</v>
      </c>
      <c r="I33" s="114">
        <v>0.03</v>
      </c>
      <c r="J33" s="114">
        <v>0.13</v>
      </c>
      <c r="K33" s="114">
        <v>-7.0124054757578733</v>
      </c>
      <c r="L33" s="114">
        <v>50</v>
      </c>
      <c r="M33" s="114">
        <v>0.2264938356164384</v>
      </c>
      <c r="N33" s="116">
        <v>7.2388993113743121</v>
      </c>
      <c r="O33" s="114">
        <v>271.05</v>
      </c>
      <c r="P33" s="114" t="s">
        <v>39</v>
      </c>
      <c r="Q33" s="114">
        <v>-1</v>
      </c>
      <c r="R33" s="114" t="s">
        <v>20</v>
      </c>
    </row>
    <row r="35" spans="2:18" x14ac:dyDescent="0.15">
      <c r="B35" s="33"/>
      <c r="C35" s="33" t="s">
        <v>181</v>
      </c>
      <c r="D35" s="33" t="s">
        <v>180</v>
      </c>
      <c r="E35" s="33" t="s">
        <v>10</v>
      </c>
      <c r="F35" s="33" t="s">
        <v>184</v>
      </c>
      <c r="G35" s="33" t="s">
        <v>11</v>
      </c>
      <c r="H35" s="33" t="s">
        <v>12</v>
      </c>
      <c r="I35" s="33" t="s">
        <v>47</v>
      </c>
      <c r="J35" s="33" t="s">
        <v>13</v>
      </c>
      <c r="K35" s="33" t="s">
        <v>14</v>
      </c>
      <c r="L35" s="33" t="s">
        <v>26</v>
      </c>
      <c r="M35" s="33" t="s">
        <v>28</v>
      </c>
      <c r="N35" s="33" t="s">
        <v>182</v>
      </c>
      <c r="O35" s="33" t="s">
        <v>8</v>
      </c>
      <c r="P35" s="33" t="s">
        <v>23</v>
      </c>
      <c r="Q35" s="33"/>
      <c r="R35" s="33" t="s">
        <v>30</v>
      </c>
    </row>
    <row r="36" spans="2:18" x14ac:dyDescent="0.15">
      <c r="B36" s="114" t="s">
        <v>160</v>
      </c>
      <c r="C36" s="114" t="s">
        <v>211</v>
      </c>
      <c r="D36" s="115">
        <v>43174</v>
      </c>
      <c r="E36" s="115">
        <v>43206</v>
      </c>
      <c r="F36" s="114">
        <v>9008</v>
      </c>
      <c r="G36" s="114">
        <v>32</v>
      </c>
      <c r="H36" s="114">
        <v>8.7671232876712329E-2</v>
      </c>
      <c r="I36" s="114"/>
      <c r="J36" s="114">
        <v>0.17</v>
      </c>
      <c r="K36" s="114">
        <v>-180.55460609729562</v>
      </c>
      <c r="L36" s="114"/>
      <c r="M36" s="114">
        <v>3.9487123287671233</v>
      </c>
      <c r="N36" s="116">
        <v>184.50331842606275</v>
      </c>
      <c r="O36" s="114">
        <v>9008</v>
      </c>
      <c r="P36" s="114" t="s">
        <v>39</v>
      </c>
      <c r="Q36" s="114">
        <v>-1</v>
      </c>
      <c r="R36" s="114" t="s">
        <v>20</v>
      </c>
    </row>
    <row r="37" spans="2:18" x14ac:dyDescent="0.15">
      <c r="B37" s="114" t="s">
        <v>160</v>
      </c>
      <c r="C37" s="114" t="s">
        <v>211</v>
      </c>
      <c r="D37" s="115">
        <v>43174</v>
      </c>
      <c r="E37" s="115">
        <v>43266</v>
      </c>
      <c r="F37" s="114">
        <v>9008</v>
      </c>
      <c r="G37" s="114">
        <v>92</v>
      </c>
      <c r="H37" s="114">
        <v>0.25205479452054796</v>
      </c>
      <c r="I37" s="114"/>
      <c r="J37" s="114">
        <v>0.18</v>
      </c>
      <c r="K37" s="114">
        <v>-323.01400365912923</v>
      </c>
      <c r="L37" s="114"/>
      <c r="M37" s="114">
        <v>11.35254794520548</v>
      </c>
      <c r="N37" s="116">
        <v>334.36655160433469</v>
      </c>
      <c r="O37" s="114">
        <v>9008</v>
      </c>
      <c r="P37" s="114" t="s">
        <v>39</v>
      </c>
      <c r="Q37" s="114">
        <v>-1</v>
      </c>
      <c r="R37" s="114" t="s">
        <v>20</v>
      </c>
    </row>
    <row r="38" spans="2:18" x14ac:dyDescent="0.15">
      <c r="B38" s="114" t="s">
        <v>160</v>
      </c>
      <c r="C38" s="114" t="s">
        <v>211</v>
      </c>
      <c r="D38" s="115">
        <v>43174</v>
      </c>
      <c r="E38" s="115">
        <v>43327</v>
      </c>
      <c r="F38" s="114">
        <v>9008</v>
      </c>
      <c r="G38" s="114">
        <v>153</v>
      </c>
      <c r="H38" s="114">
        <v>0.41917808219178082</v>
      </c>
      <c r="I38" s="114"/>
      <c r="J38" s="114">
        <v>0.19</v>
      </c>
      <c r="K38" s="114">
        <v>-438.10340978749991</v>
      </c>
      <c r="L38" s="114"/>
      <c r="M38" s="114">
        <v>0</v>
      </c>
      <c r="N38" s="116">
        <v>438.10340978749991</v>
      </c>
      <c r="O38" s="114">
        <v>9008</v>
      </c>
      <c r="P38" s="114" t="s">
        <v>39</v>
      </c>
      <c r="Q38" s="114">
        <v>-1</v>
      </c>
      <c r="R38" s="114" t="s">
        <v>20</v>
      </c>
    </row>
    <row r="39" spans="2:18" x14ac:dyDescent="0.15">
      <c r="B39" s="114" t="s">
        <v>160</v>
      </c>
      <c r="C39" s="114" t="s">
        <v>212</v>
      </c>
      <c r="D39" s="115">
        <v>43174</v>
      </c>
      <c r="E39" s="115">
        <v>43206</v>
      </c>
      <c r="F39" s="114">
        <v>53180</v>
      </c>
      <c r="G39" s="114">
        <v>32</v>
      </c>
      <c r="H39" s="114">
        <v>8.7671232876712329E-2</v>
      </c>
      <c r="I39" s="114"/>
      <c r="J39" s="114">
        <v>0.18</v>
      </c>
      <c r="K39" s="114">
        <v>-1128.6169261420218</v>
      </c>
      <c r="L39" s="114"/>
      <c r="M39" s="114">
        <v>0</v>
      </c>
      <c r="N39" s="116">
        <v>1128.6169261420218</v>
      </c>
      <c r="O39" s="114">
        <v>53180</v>
      </c>
      <c r="P39" s="114" t="s">
        <v>39</v>
      </c>
      <c r="Q39" s="114">
        <v>-1</v>
      </c>
      <c r="R39" s="114" t="s">
        <v>20</v>
      </c>
    </row>
    <row r="40" spans="2:18" x14ac:dyDescent="0.15">
      <c r="B40" s="114" t="s">
        <v>160</v>
      </c>
      <c r="C40" s="114" t="s">
        <v>212</v>
      </c>
      <c r="D40" s="115">
        <v>43174</v>
      </c>
      <c r="E40" s="115">
        <v>43266</v>
      </c>
      <c r="F40" s="114">
        <v>53180</v>
      </c>
      <c r="G40" s="114">
        <v>92</v>
      </c>
      <c r="H40" s="114">
        <v>0.25205479452054796</v>
      </c>
      <c r="I40" s="114"/>
      <c r="J40" s="114">
        <v>0.19</v>
      </c>
      <c r="K40" s="114">
        <v>-2012.822743117471</v>
      </c>
      <c r="L40" s="114"/>
      <c r="M40" s="114">
        <v>0</v>
      </c>
      <c r="N40" s="116">
        <v>2012.822743117471</v>
      </c>
      <c r="O40" s="114">
        <v>53180</v>
      </c>
      <c r="P40" s="114" t="s">
        <v>39</v>
      </c>
      <c r="Q40" s="114">
        <v>-1</v>
      </c>
      <c r="R40" s="114" t="s">
        <v>20</v>
      </c>
    </row>
    <row r="41" spans="2:18" x14ac:dyDescent="0.15">
      <c r="B41" s="114" t="s">
        <v>160</v>
      </c>
      <c r="C41" s="114" t="s">
        <v>212</v>
      </c>
      <c r="D41" s="115">
        <v>43174</v>
      </c>
      <c r="E41" s="115">
        <v>43357</v>
      </c>
      <c r="F41" s="114">
        <v>53180</v>
      </c>
      <c r="G41" s="114">
        <v>183</v>
      </c>
      <c r="H41" s="114">
        <v>0.50136986301369868</v>
      </c>
      <c r="I41" s="114"/>
      <c r="J41" s="114">
        <v>0.19</v>
      </c>
      <c r="K41" s="114">
        <v>-2823.6368912623439</v>
      </c>
      <c r="L41" s="114"/>
      <c r="M41" s="114">
        <v>0</v>
      </c>
      <c r="N41" s="116">
        <v>2823.6368912623439</v>
      </c>
      <c r="O41" s="114">
        <v>53180</v>
      </c>
      <c r="P41" s="114" t="s">
        <v>39</v>
      </c>
      <c r="Q41" s="114">
        <v>-1</v>
      </c>
      <c r="R41" s="114" t="s">
        <v>20</v>
      </c>
    </row>
    <row r="43" spans="2:18" x14ac:dyDescent="0.15">
      <c r="B43" s="33"/>
      <c r="C43" s="33" t="s">
        <v>181</v>
      </c>
      <c r="D43" s="33" t="s">
        <v>180</v>
      </c>
      <c r="E43" s="33" t="s">
        <v>10</v>
      </c>
      <c r="F43" s="33" t="s">
        <v>184</v>
      </c>
      <c r="G43" s="33" t="s">
        <v>11</v>
      </c>
      <c r="H43" s="33" t="s">
        <v>12</v>
      </c>
      <c r="I43" s="33" t="s">
        <v>47</v>
      </c>
      <c r="J43" s="33" t="s">
        <v>13</v>
      </c>
      <c r="K43" s="33" t="s">
        <v>14</v>
      </c>
      <c r="L43" s="33" t="s">
        <v>26</v>
      </c>
      <c r="M43" s="33" t="s">
        <v>28</v>
      </c>
      <c r="N43" s="33" t="s">
        <v>182</v>
      </c>
      <c r="O43" s="33" t="s">
        <v>8</v>
      </c>
      <c r="P43" s="33" t="s">
        <v>23</v>
      </c>
      <c r="Q43" s="33"/>
      <c r="R43" s="33" t="s">
        <v>30</v>
      </c>
    </row>
    <row r="44" spans="2:18" x14ac:dyDescent="0.15">
      <c r="B44" s="114" t="s">
        <v>160</v>
      </c>
      <c r="C44" s="114" t="s">
        <v>214</v>
      </c>
      <c r="D44" s="115">
        <v>43180</v>
      </c>
      <c r="E44" s="115">
        <v>43210</v>
      </c>
      <c r="F44" s="114" t="s">
        <v>216</v>
      </c>
      <c r="G44" s="114">
        <v>30</v>
      </c>
      <c r="H44" s="114">
        <v>8.2191780821917804E-2</v>
      </c>
      <c r="I44" s="114"/>
      <c r="J44" s="114"/>
      <c r="K44" s="114">
        <v>4.0213531114102352</v>
      </c>
      <c r="L44" s="114"/>
      <c r="M44" s="114">
        <v>0</v>
      </c>
      <c r="N44" s="116">
        <v>2</v>
      </c>
      <c r="O44" s="114">
        <v>7546</v>
      </c>
      <c r="P44" s="114" t="s">
        <v>218</v>
      </c>
      <c r="Q44" s="114"/>
      <c r="R44" s="114" t="s">
        <v>217</v>
      </c>
    </row>
    <row r="45" spans="2:18" x14ac:dyDescent="0.15">
      <c r="B45" s="33"/>
      <c r="C45" s="33" t="s">
        <v>181</v>
      </c>
      <c r="D45" s="33" t="s">
        <v>180</v>
      </c>
      <c r="E45" s="33" t="s">
        <v>10</v>
      </c>
      <c r="F45" s="33" t="s">
        <v>184</v>
      </c>
      <c r="G45" s="33" t="s">
        <v>11</v>
      </c>
      <c r="H45" s="33" t="s">
        <v>12</v>
      </c>
      <c r="I45" s="33" t="s">
        <v>47</v>
      </c>
      <c r="J45" s="33" t="s">
        <v>13</v>
      </c>
      <c r="K45" s="33" t="s">
        <v>14</v>
      </c>
      <c r="L45" s="33" t="s">
        <v>26</v>
      </c>
      <c r="M45" s="33" t="s">
        <v>28</v>
      </c>
      <c r="N45" s="33" t="s">
        <v>182</v>
      </c>
      <c r="O45" s="33" t="s">
        <v>8</v>
      </c>
      <c r="P45" s="33" t="s">
        <v>23</v>
      </c>
      <c r="Q45" s="33"/>
      <c r="R45" s="33" t="s">
        <v>30</v>
      </c>
    </row>
    <row r="46" spans="2:18" x14ac:dyDescent="0.15">
      <c r="B46" s="114" t="s">
        <v>160</v>
      </c>
      <c r="C46" s="114" t="s">
        <v>214</v>
      </c>
      <c r="D46" s="115">
        <v>43180</v>
      </c>
      <c r="E46" s="115">
        <v>43210</v>
      </c>
      <c r="F46" s="114">
        <v>8000</v>
      </c>
      <c r="G46" s="114">
        <v>30</v>
      </c>
      <c r="H46" s="114">
        <v>8.2191780821917804E-2</v>
      </c>
      <c r="I46" s="114">
        <v>0</v>
      </c>
      <c r="J46" s="114">
        <v>0.28000000000000003</v>
      </c>
      <c r="K46" s="114">
        <v>-538.06728507396292</v>
      </c>
      <c r="L46" s="114">
        <v>0</v>
      </c>
      <c r="M46" s="114">
        <v>0</v>
      </c>
      <c r="N46" s="116">
        <v>538.06728507396292</v>
      </c>
      <c r="O46" s="114">
        <v>7546</v>
      </c>
      <c r="P46" s="114" t="s">
        <v>85</v>
      </c>
      <c r="Q46" s="114">
        <v>-1</v>
      </c>
      <c r="R46" s="114" t="s">
        <v>20</v>
      </c>
    </row>
    <row r="47" spans="2:18" x14ac:dyDescent="0.15">
      <c r="B47" s="33"/>
      <c r="C47" s="33" t="s">
        <v>181</v>
      </c>
      <c r="D47" s="33" t="s">
        <v>180</v>
      </c>
      <c r="E47" s="33" t="s">
        <v>10</v>
      </c>
      <c r="F47" s="33" t="s">
        <v>184</v>
      </c>
      <c r="G47" s="33" t="s">
        <v>11</v>
      </c>
      <c r="H47" s="33" t="s">
        <v>12</v>
      </c>
      <c r="I47" s="33" t="s">
        <v>47</v>
      </c>
      <c r="J47" s="33" t="s">
        <v>13</v>
      </c>
      <c r="K47" s="33" t="s">
        <v>14</v>
      </c>
      <c r="L47" s="33" t="s">
        <v>26</v>
      </c>
      <c r="M47" s="33" t="s">
        <v>28</v>
      </c>
      <c r="N47" s="33" t="s">
        <v>182</v>
      </c>
      <c r="O47" s="33" t="s">
        <v>8</v>
      </c>
      <c r="P47" s="33" t="s">
        <v>23</v>
      </c>
      <c r="Q47" s="33"/>
      <c r="R47" s="33" t="s">
        <v>30</v>
      </c>
    </row>
    <row r="48" spans="2:18" x14ac:dyDescent="0.15">
      <c r="B48" s="114" t="s">
        <v>160</v>
      </c>
      <c r="C48" s="114" t="s">
        <v>185</v>
      </c>
      <c r="D48" s="115">
        <v>43180</v>
      </c>
      <c r="E48" s="115">
        <v>43240</v>
      </c>
      <c r="F48" s="114">
        <v>3700</v>
      </c>
      <c r="G48" s="114">
        <v>60</v>
      </c>
      <c r="H48" s="114">
        <v>0.16438356164383561</v>
      </c>
      <c r="I48" s="114">
        <v>0</v>
      </c>
      <c r="J48" s="114">
        <v>0.24</v>
      </c>
      <c r="K48" s="114">
        <v>-47.657830005467872</v>
      </c>
      <c r="L48" s="114">
        <v>70</v>
      </c>
      <c r="M48" s="114">
        <v>3.9687123287671229</v>
      </c>
      <c r="N48" s="116">
        <v>51.626542334234998</v>
      </c>
      <c r="O48" s="114">
        <v>3449</v>
      </c>
      <c r="P48" s="114" t="s">
        <v>24</v>
      </c>
      <c r="Q48" s="114">
        <v>-1</v>
      </c>
      <c r="R48" s="114" t="s">
        <v>31</v>
      </c>
    </row>
    <row r="49" spans="2:19" x14ac:dyDescent="0.15">
      <c r="B49" s="33"/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/>
    </row>
    <row r="50" spans="2:19" x14ac:dyDescent="0.15">
      <c r="B50" s="114" t="s">
        <v>160</v>
      </c>
      <c r="C50" s="114" t="s">
        <v>185</v>
      </c>
      <c r="D50" s="115">
        <v>43180</v>
      </c>
      <c r="E50" s="115">
        <v>43240</v>
      </c>
      <c r="F50" s="114" t="s">
        <v>219</v>
      </c>
      <c r="G50" s="114">
        <v>60</v>
      </c>
      <c r="H50" s="114">
        <v>0.16438356164383561</v>
      </c>
      <c r="I50" s="114"/>
      <c r="J50" s="114"/>
      <c r="K50" s="114">
        <v>60.818821543176568</v>
      </c>
      <c r="L50" s="114">
        <v>50</v>
      </c>
      <c r="M50" s="114">
        <v>2.8364383561643836</v>
      </c>
      <c r="N50" s="116">
        <v>55</v>
      </c>
      <c r="O50" s="114">
        <v>3451</v>
      </c>
      <c r="P50" s="114" t="s">
        <v>218</v>
      </c>
      <c r="Q50" s="114"/>
      <c r="R50" s="114" t="s">
        <v>217</v>
      </c>
    </row>
    <row r="51" spans="2:19" x14ac:dyDescent="0.1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</row>
    <row r="52" spans="2:19" x14ac:dyDescent="0.15">
      <c r="B52" s="33"/>
      <c r="C52" s="33" t="s">
        <v>181</v>
      </c>
      <c r="D52" s="33" t="s">
        <v>180</v>
      </c>
      <c r="E52" s="33" t="s">
        <v>10</v>
      </c>
      <c r="F52" s="33" t="s">
        <v>184</v>
      </c>
      <c r="G52" s="33" t="s">
        <v>11</v>
      </c>
      <c r="H52" s="33" t="s">
        <v>12</v>
      </c>
      <c r="I52" s="33" t="s">
        <v>47</v>
      </c>
      <c r="J52" s="33" t="s">
        <v>13</v>
      </c>
      <c r="K52" s="33" t="s">
        <v>14</v>
      </c>
      <c r="L52" s="33" t="s">
        <v>26</v>
      </c>
      <c r="M52" s="33" t="s">
        <v>28</v>
      </c>
      <c r="N52" s="33" t="s">
        <v>182</v>
      </c>
      <c r="O52" s="33" t="s">
        <v>8</v>
      </c>
      <c r="P52" s="33" t="s">
        <v>23</v>
      </c>
      <c r="Q52" s="33"/>
      <c r="R52" s="33" t="s">
        <v>30</v>
      </c>
    </row>
    <row r="53" spans="2:19" x14ac:dyDescent="0.15">
      <c r="B53" s="114" t="s">
        <v>160</v>
      </c>
      <c r="C53" s="114" t="s">
        <v>220</v>
      </c>
      <c r="D53" s="115">
        <v>43181</v>
      </c>
      <c r="E53" s="115">
        <v>43235</v>
      </c>
      <c r="F53" s="114">
        <v>13000</v>
      </c>
      <c r="G53" s="114">
        <v>54</v>
      </c>
      <c r="H53" s="114">
        <v>0.13698630136986301</v>
      </c>
      <c r="I53" s="114">
        <v>0</v>
      </c>
      <c r="J53" s="114">
        <v>0.115</v>
      </c>
      <c r="K53" s="114">
        <v>7.2172698545535354</v>
      </c>
      <c r="L53" s="114"/>
      <c r="M53" s="114">
        <v>0</v>
      </c>
      <c r="N53" s="116">
        <v>7.2172698545535354</v>
      </c>
      <c r="O53" s="114">
        <v>14065</v>
      </c>
      <c r="P53" s="114" t="s">
        <v>85</v>
      </c>
      <c r="Q53" s="114">
        <v>1</v>
      </c>
      <c r="R53" s="114" t="s">
        <v>151</v>
      </c>
    </row>
    <row r="54" spans="2:19" x14ac:dyDescent="0.15">
      <c r="B54" s="114" t="s">
        <v>160</v>
      </c>
      <c r="C54" s="114" t="s">
        <v>220</v>
      </c>
      <c r="D54" s="115">
        <v>43181</v>
      </c>
      <c r="E54" s="115">
        <v>43235</v>
      </c>
      <c r="F54" s="114">
        <v>13200</v>
      </c>
      <c r="G54" s="114">
        <v>54</v>
      </c>
      <c r="H54" s="114">
        <v>0.13698630136986301</v>
      </c>
      <c r="I54" s="114">
        <v>0</v>
      </c>
      <c r="J54" s="114">
        <v>0.115</v>
      </c>
      <c r="K54" s="114">
        <v>17.288290660645657</v>
      </c>
      <c r="L54" s="114"/>
      <c r="M54" s="114">
        <v>0</v>
      </c>
      <c r="N54" s="116">
        <v>17.288290660645657</v>
      </c>
      <c r="O54" s="114">
        <v>14065</v>
      </c>
      <c r="P54" s="114" t="s">
        <v>85</v>
      </c>
      <c r="Q54" s="114">
        <v>1</v>
      </c>
      <c r="R54" s="114" t="s">
        <v>151</v>
      </c>
    </row>
    <row r="55" spans="2:19" x14ac:dyDescent="0.15">
      <c r="B55" s="33"/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9" x14ac:dyDescent="0.15">
      <c r="B56" s="114" t="s">
        <v>160</v>
      </c>
      <c r="C56" s="114" t="s">
        <v>220</v>
      </c>
      <c r="D56" s="115">
        <v>43181</v>
      </c>
      <c r="E56" s="115">
        <v>43215</v>
      </c>
      <c r="F56" s="114">
        <v>13200</v>
      </c>
      <c r="G56" s="114">
        <v>34</v>
      </c>
      <c r="H56" s="114">
        <v>8.7671232876712329E-2</v>
      </c>
      <c r="I56" s="114">
        <v>0</v>
      </c>
      <c r="J56" s="114">
        <v>0.115</v>
      </c>
      <c r="K56" s="114">
        <v>5.6172742910379156</v>
      </c>
      <c r="L56" s="114"/>
      <c r="M56" s="114">
        <v>0</v>
      </c>
      <c r="N56" s="116">
        <v>5.6172742910379156</v>
      </c>
      <c r="O56" s="114">
        <v>14065</v>
      </c>
      <c r="P56" s="114" t="s">
        <v>85</v>
      </c>
      <c r="Q56" s="114">
        <v>1</v>
      </c>
      <c r="R56" s="114" t="s">
        <v>151</v>
      </c>
    </row>
    <row r="57" spans="2:19" x14ac:dyDescent="0.15">
      <c r="B57" s="114" t="s">
        <v>160</v>
      </c>
      <c r="C57" s="114" t="s">
        <v>220</v>
      </c>
      <c r="D57" s="115">
        <v>43181</v>
      </c>
      <c r="E57" s="115">
        <v>43245</v>
      </c>
      <c r="F57" s="114">
        <v>12800</v>
      </c>
      <c r="G57" s="114">
        <v>64</v>
      </c>
      <c r="H57" s="114">
        <v>0.16438356164383561</v>
      </c>
      <c r="I57" s="114">
        <v>0</v>
      </c>
      <c r="J57" s="114">
        <v>0.115</v>
      </c>
      <c r="K57" s="114">
        <v>4.9988881549313078</v>
      </c>
      <c r="L57" s="114"/>
      <c r="M57" s="114">
        <v>0</v>
      </c>
      <c r="N57" s="116">
        <v>4.9988881549313078</v>
      </c>
      <c r="O57" s="114">
        <v>14065</v>
      </c>
      <c r="P57" s="114" t="s">
        <v>85</v>
      </c>
      <c r="Q57" s="114">
        <v>1</v>
      </c>
      <c r="R57" s="114" t="s">
        <v>151</v>
      </c>
    </row>
    <row r="58" spans="2:19" x14ac:dyDescent="0.15">
      <c r="B58" s="114" t="s">
        <v>160</v>
      </c>
      <c r="C58" s="114" t="s">
        <v>220</v>
      </c>
      <c r="D58" s="115">
        <v>43181</v>
      </c>
      <c r="E58" s="115">
        <v>43245</v>
      </c>
      <c r="F58" s="114">
        <v>13000</v>
      </c>
      <c r="G58" s="114">
        <v>64</v>
      </c>
      <c r="H58" s="114">
        <v>0.16438356164383561</v>
      </c>
      <c r="I58" s="114">
        <v>0</v>
      </c>
      <c r="J58" s="114">
        <v>0.115</v>
      </c>
      <c r="K58" s="114">
        <v>11.808198498065053</v>
      </c>
      <c r="L58" s="114"/>
      <c r="M58" s="114">
        <v>0</v>
      </c>
      <c r="N58" s="116">
        <v>11.808198498065053</v>
      </c>
      <c r="O58" s="114">
        <v>14065</v>
      </c>
      <c r="P58" s="114" t="s">
        <v>85</v>
      </c>
      <c r="Q58" s="114">
        <v>1</v>
      </c>
      <c r="R58" s="114" t="s">
        <v>151</v>
      </c>
    </row>
    <row r="59" spans="2:19" x14ac:dyDescent="0.15">
      <c r="B59" s="114" t="s">
        <v>160</v>
      </c>
      <c r="C59" s="114" t="s">
        <v>220</v>
      </c>
      <c r="D59" s="115">
        <v>43181</v>
      </c>
      <c r="E59" s="115">
        <v>43245</v>
      </c>
      <c r="F59" s="114">
        <v>13200</v>
      </c>
      <c r="G59" s="114">
        <v>64</v>
      </c>
      <c r="H59" s="114">
        <v>0.16438356164383561</v>
      </c>
      <c r="I59" s="114">
        <v>0</v>
      </c>
      <c r="J59" s="114">
        <v>0.115</v>
      </c>
      <c r="K59" s="114">
        <v>25.264602103835841</v>
      </c>
      <c r="L59" s="114"/>
      <c r="M59" s="114">
        <v>0</v>
      </c>
      <c r="N59" s="116">
        <v>25.264602103835841</v>
      </c>
      <c r="O59" s="114">
        <v>14065</v>
      </c>
      <c r="P59" s="114" t="s">
        <v>85</v>
      </c>
      <c r="Q59" s="114">
        <v>1</v>
      </c>
      <c r="R59" s="114" t="s">
        <v>151</v>
      </c>
    </row>
    <row r="60" spans="2:19" x14ac:dyDescent="0.15">
      <c r="B60" s="33"/>
      <c r="C60" s="33" t="s">
        <v>181</v>
      </c>
      <c r="D60" s="33" t="s">
        <v>180</v>
      </c>
      <c r="E60" s="33" t="s">
        <v>10</v>
      </c>
      <c r="F60" s="33" t="s">
        <v>184</v>
      </c>
      <c r="G60" s="33" t="s">
        <v>11</v>
      </c>
      <c r="H60" s="33" t="s">
        <v>12</v>
      </c>
      <c r="I60" s="33" t="s">
        <v>47</v>
      </c>
      <c r="J60" s="33" t="s">
        <v>13</v>
      </c>
      <c r="K60" s="33" t="s">
        <v>14</v>
      </c>
      <c r="L60" s="33" t="s">
        <v>26</v>
      </c>
      <c r="M60" s="33" t="s">
        <v>28</v>
      </c>
      <c r="N60" s="33" t="s">
        <v>182</v>
      </c>
      <c r="O60" s="33" t="s">
        <v>8</v>
      </c>
      <c r="P60" s="33" t="s">
        <v>23</v>
      </c>
      <c r="Q60" s="33"/>
      <c r="R60" s="33" t="s">
        <v>30</v>
      </c>
    </row>
    <row r="61" spans="2:19" x14ac:dyDescent="0.15">
      <c r="B61" s="114" t="s">
        <v>160</v>
      </c>
      <c r="C61" s="114" t="s">
        <v>221</v>
      </c>
      <c r="D61" s="115">
        <v>43181</v>
      </c>
      <c r="E61" s="115">
        <v>43215</v>
      </c>
      <c r="F61" s="114">
        <v>13300</v>
      </c>
      <c r="G61" s="114">
        <v>34</v>
      </c>
      <c r="H61" s="114">
        <v>8.7671232876712329E-2</v>
      </c>
      <c r="I61" s="114">
        <v>0</v>
      </c>
      <c r="J61" s="114">
        <v>0.115</v>
      </c>
      <c r="K61" s="114">
        <v>15.428614486488414</v>
      </c>
      <c r="L61" s="114"/>
      <c r="M61" s="114">
        <v>0</v>
      </c>
      <c r="N61" s="116">
        <v>15.428614486488414</v>
      </c>
      <c r="O61" s="114">
        <v>13970</v>
      </c>
      <c r="P61" s="114" t="s">
        <v>85</v>
      </c>
      <c r="Q61" s="114">
        <v>1</v>
      </c>
      <c r="R61" s="114" t="s">
        <v>151</v>
      </c>
      <c r="S61" s="6">
        <v>1.130830736451726E-3</v>
      </c>
    </row>
    <row r="62" spans="2:19" x14ac:dyDescent="0.15">
      <c r="B62" s="114" t="s">
        <v>160</v>
      </c>
      <c r="C62" s="114" t="s">
        <v>221</v>
      </c>
      <c r="D62" s="115">
        <v>43181</v>
      </c>
      <c r="E62" s="115">
        <v>43215</v>
      </c>
      <c r="F62" s="114">
        <v>13400</v>
      </c>
      <c r="G62" s="114">
        <v>34</v>
      </c>
      <c r="H62" s="114">
        <v>8.7671232876712329E-2</v>
      </c>
      <c r="I62" s="114">
        <v>0</v>
      </c>
      <c r="J62" s="114">
        <v>0.115</v>
      </c>
      <c r="K62" s="114">
        <v>24.861487306546678</v>
      </c>
      <c r="L62" s="114"/>
      <c r="M62" s="114">
        <v>0</v>
      </c>
      <c r="N62" s="116">
        <v>24.861487306546678</v>
      </c>
      <c r="O62" s="114">
        <v>13970</v>
      </c>
      <c r="P62" s="114" t="s">
        <v>85</v>
      </c>
      <c r="Q62" s="114">
        <v>1</v>
      </c>
      <c r="R62" s="114" t="s">
        <v>151</v>
      </c>
      <c r="S62" s="6">
        <v>1.8190094769668344E-3</v>
      </c>
    </row>
    <row r="63" spans="2:19" x14ac:dyDescent="0.15">
      <c r="B63" s="114" t="s">
        <v>160</v>
      </c>
      <c r="C63" s="114" t="s">
        <v>221</v>
      </c>
      <c r="D63" s="115">
        <v>43181</v>
      </c>
      <c r="E63" s="115">
        <v>43215</v>
      </c>
      <c r="F63" s="114">
        <v>13500</v>
      </c>
      <c r="G63" s="114">
        <v>34</v>
      </c>
      <c r="H63" s="114">
        <v>8.7671232876712329E-2</v>
      </c>
      <c r="I63" s="114">
        <v>0</v>
      </c>
      <c r="J63" s="114">
        <v>0.115</v>
      </c>
      <c r="K63" s="114">
        <v>38.515892126515155</v>
      </c>
      <c r="L63" s="114"/>
      <c r="M63" s="114">
        <v>0</v>
      </c>
      <c r="N63" s="116">
        <v>38.515892126515155</v>
      </c>
      <c r="O63" s="114">
        <v>13970</v>
      </c>
      <c r="P63" s="114" t="s">
        <v>85</v>
      </c>
      <c r="Q63" s="114">
        <v>1</v>
      </c>
      <c r="R63" s="114" t="s">
        <v>151</v>
      </c>
      <c r="S63" s="6">
        <v>2.8132938602463521E-3</v>
      </c>
    </row>
    <row r="64" spans="2:19" x14ac:dyDescent="0.15">
      <c r="B64" s="33"/>
      <c r="C64" s="33" t="s">
        <v>181</v>
      </c>
      <c r="D64" s="33" t="s">
        <v>180</v>
      </c>
      <c r="E64" s="33" t="s">
        <v>10</v>
      </c>
      <c r="F64" s="33" t="s">
        <v>184</v>
      </c>
      <c r="G64" s="33" t="s">
        <v>11</v>
      </c>
      <c r="H64" s="33" t="s">
        <v>12</v>
      </c>
      <c r="I64" s="33" t="s">
        <v>47</v>
      </c>
      <c r="J64" s="33" t="s">
        <v>13</v>
      </c>
      <c r="K64" s="33" t="s">
        <v>14</v>
      </c>
      <c r="L64" s="33" t="s">
        <v>26</v>
      </c>
      <c r="M64" s="33" t="s">
        <v>28</v>
      </c>
      <c r="N64" s="33" t="s">
        <v>182</v>
      </c>
      <c r="O64" s="33" t="s">
        <v>8</v>
      </c>
      <c r="P64" s="33" t="s">
        <v>23</v>
      </c>
      <c r="Q64" s="33"/>
      <c r="R64" s="33" t="s">
        <v>30</v>
      </c>
    </row>
    <row r="65" spans="2:18" x14ac:dyDescent="0.15">
      <c r="B65" s="114" t="s">
        <v>160</v>
      </c>
      <c r="C65" s="114" t="s">
        <v>222</v>
      </c>
      <c r="D65" s="115">
        <v>43182</v>
      </c>
      <c r="E65" s="115">
        <v>43273</v>
      </c>
      <c r="F65" s="114">
        <v>11500</v>
      </c>
      <c r="G65" s="114">
        <v>91</v>
      </c>
      <c r="H65" s="114">
        <v>0.24931506849315069</v>
      </c>
      <c r="I65" s="114">
        <v>0</v>
      </c>
      <c r="J65" s="114">
        <v>0.21</v>
      </c>
      <c r="K65" s="114">
        <v>-15.028539471410966</v>
      </c>
      <c r="L65" s="114"/>
      <c r="M65" s="114">
        <v>0</v>
      </c>
      <c r="N65" s="116">
        <v>16</v>
      </c>
      <c r="O65" s="114">
        <v>14020</v>
      </c>
      <c r="P65" s="114" t="s">
        <v>85</v>
      </c>
      <c r="Q65" s="114">
        <v>-1</v>
      </c>
      <c r="R65" s="114" t="s">
        <v>20</v>
      </c>
    </row>
    <row r="66" spans="2:18" x14ac:dyDescent="0.15">
      <c r="B66" s="33"/>
      <c r="C66" s="33" t="s">
        <v>181</v>
      </c>
      <c r="D66" s="33" t="s">
        <v>180</v>
      </c>
      <c r="E66" s="33" t="s">
        <v>10</v>
      </c>
      <c r="F66" s="33" t="s">
        <v>184</v>
      </c>
      <c r="G66" s="33" t="s">
        <v>11</v>
      </c>
      <c r="H66" s="33" t="s">
        <v>12</v>
      </c>
      <c r="I66" s="33" t="s">
        <v>47</v>
      </c>
      <c r="J66" s="33" t="s">
        <v>13</v>
      </c>
      <c r="K66" s="33" t="s">
        <v>14</v>
      </c>
      <c r="L66" s="33" t="s">
        <v>26</v>
      </c>
      <c r="M66" s="33" t="s">
        <v>28</v>
      </c>
      <c r="N66" s="33" t="s">
        <v>182</v>
      </c>
      <c r="O66" s="33" t="s">
        <v>8</v>
      </c>
      <c r="P66" s="33" t="s">
        <v>23</v>
      </c>
      <c r="Q66" s="33"/>
      <c r="R66" s="33" t="s">
        <v>30</v>
      </c>
    </row>
    <row r="67" spans="2:18" x14ac:dyDescent="0.15">
      <c r="B67" s="114" t="s">
        <v>160</v>
      </c>
      <c r="C67" s="114" t="s">
        <v>224</v>
      </c>
      <c r="D67" s="115">
        <v>43185</v>
      </c>
      <c r="E67" s="115">
        <v>43200</v>
      </c>
      <c r="F67" s="114">
        <v>278.35000000000002</v>
      </c>
      <c r="G67" s="114">
        <v>15</v>
      </c>
      <c r="H67" s="114">
        <v>3.5616438356164383E-2</v>
      </c>
      <c r="I67" s="114">
        <v>0</v>
      </c>
      <c r="J67" s="114">
        <v>0.09</v>
      </c>
      <c r="K67" s="114">
        <v>1.1687140028984402</v>
      </c>
      <c r="L67" s="114"/>
      <c r="M67" s="114">
        <v>0</v>
      </c>
      <c r="N67" s="116">
        <v>1.1687140028984402</v>
      </c>
      <c r="O67" s="114">
        <v>276.7</v>
      </c>
      <c r="P67" s="114" t="s">
        <v>39</v>
      </c>
      <c r="Q67" s="114">
        <v>1</v>
      </c>
      <c r="R67" s="114" t="s">
        <v>151</v>
      </c>
    </row>
    <row r="68" spans="2:18" x14ac:dyDescent="0.15">
      <c r="B68" s="114" t="s">
        <v>160</v>
      </c>
      <c r="C68" s="114" t="s">
        <v>224</v>
      </c>
      <c r="D68" s="115">
        <v>43185</v>
      </c>
      <c r="E68" s="115">
        <v>43200</v>
      </c>
      <c r="F68" s="114">
        <v>274.95</v>
      </c>
      <c r="G68" s="114">
        <v>15</v>
      </c>
      <c r="H68" s="114">
        <v>3.5616438356164383E-2</v>
      </c>
      <c r="I68" s="114">
        <v>0</v>
      </c>
      <c r="J68" s="114">
        <v>0.09</v>
      </c>
      <c r="K68" s="114">
        <v>1.1220807364505845</v>
      </c>
      <c r="L68" s="114"/>
      <c r="M68" s="114">
        <v>0</v>
      </c>
      <c r="N68" s="116">
        <v>1.1220807364505845</v>
      </c>
      <c r="O68" s="114">
        <v>276.7</v>
      </c>
      <c r="P68" s="114" t="s">
        <v>85</v>
      </c>
      <c r="Q68" s="114">
        <v>1</v>
      </c>
      <c r="R68" s="114" t="s">
        <v>151</v>
      </c>
    </row>
    <row r="69" spans="2:18" x14ac:dyDescent="0.15">
      <c r="B69" s="33"/>
      <c r="C69" s="33" t="s">
        <v>181</v>
      </c>
      <c r="D69" s="33" t="s">
        <v>180</v>
      </c>
      <c r="E69" s="33" t="s">
        <v>10</v>
      </c>
      <c r="F69" s="33" t="s">
        <v>184</v>
      </c>
      <c r="G69" s="33" t="s">
        <v>11</v>
      </c>
      <c r="H69" s="33" t="s">
        <v>12</v>
      </c>
      <c r="I69" s="33" t="s">
        <v>47</v>
      </c>
      <c r="J69" s="33" t="s">
        <v>13</v>
      </c>
      <c r="K69" s="33" t="s">
        <v>14</v>
      </c>
      <c r="L69" s="33" t="s">
        <v>26</v>
      </c>
      <c r="M69" s="33" t="s">
        <v>28</v>
      </c>
      <c r="N69" s="33" t="s">
        <v>182</v>
      </c>
      <c r="O69" s="33" t="s">
        <v>8</v>
      </c>
      <c r="P69" s="33" t="s">
        <v>23</v>
      </c>
      <c r="Q69" s="33"/>
      <c r="R69" s="33" t="s">
        <v>30</v>
      </c>
    </row>
    <row r="70" spans="2:18" x14ac:dyDescent="0.15">
      <c r="B70" s="114" t="s">
        <v>160</v>
      </c>
      <c r="C70" s="114" t="s">
        <v>227</v>
      </c>
      <c r="D70" s="115">
        <v>43185</v>
      </c>
      <c r="E70" s="115">
        <v>43265</v>
      </c>
      <c r="F70" s="114">
        <v>17950</v>
      </c>
      <c r="G70" s="114">
        <v>80</v>
      </c>
      <c r="H70" s="114">
        <v>0.21369863013698631</v>
      </c>
      <c r="I70" s="114">
        <v>0</v>
      </c>
      <c r="J70" s="114">
        <v>0.125</v>
      </c>
      <c r="K70" s="114">
        <v>326.41323919190563</v>
      </c>
      <c r="L70" s="114">
        <v>30</v>
      </c>
      <c r="M70" s="114">
        <v>11.629479452054797</v>
      </c>
      <c r="N70" s="116">
        <v>314</v>
      </c>
      <c r="O70" s="114">
        <v>18140</v>
      </c>
      <c r="P70" s="114" t="s">
        <v>85</v>
      </c>
      <c r="Q70" s="114">
        <v>1</v>
      </c>
      <c r="R70" s="114" t="s">
        <v>151</v>
      </c>
    </row>
    <row r="71" spans="2:18" x14ac:dyDescent="0.15">
      <c r="B71" s="33"/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114" t="s">
        <v>160</v>
      </c>
      <c r="C72" s="114" t="s">
        <v>204</v>
      </c>
      <c r="D72" s="115">
        <v>43185</v>
      </c>
      <c r="E72" s="115">
        <v>43265</v>
      </c>
      <c r="F72" s="114" t="s">
        <v>230</v>
      </c>
      <c r="G72" s="114">
        <v>80</v>
      </c>
      <c r="H72" s="114">
        <v>0.21917808219178081</v>
      </c>
      <c r="I72" s="114"/>
      <c r="J72" s="114"/>
      <c r="K72" s="114">
        <v>-50.370046745265427</v>
      </c>
      <c r="L72" s="114">
        <v>50</v>
      </c>
      <c r="M72" s="114">
        <v>15.216438356164382</v>
      </c>
      <c r="N72" s="116">
        <v>66</v>
      </c>
      <c r="O72" s="114">
        <v>13885</v>
      </c>
      <c r="P72" s="114"/>
      <c r="Q72" s="114"/>
      <c r="R72" s="114" t="s">
        <v>231</v>
      </c>
    </row>
    <row r="73" spans="2:18" x14ac:dyDescent="0.15">
      <c r="B73" s="33"/>
      <c r="C73" s="33" t="s">
        <v>181</v>
      </c>
      <c r="D73" s="33" t="s">
        <v>180</v>
      </c>
      <c r="E73" s="33" t="s">
        <v>10</v>
      </c>
      <c r="F73" s="33" t="s">
        <v>184</v>
      </c>
      <c r="G73" s="33" t="s">
        <v>11</v>
      </c>
      <c r="H73" s="33" t="s">
        <v>12</v>
      </c>
      <c r="I73" s="33" t="s">
        <v>47</v>
      </c>
      <c r="J73" s="33" t="s">
        <v>13</v>
      </c>
      <c r="K73" s="33" t="s">
        <v>14</v>
      </c>
      <c r="L73" s="33" t="s">
        <v>26</v>
      </c>
      <c r="M73" s="33" t="s">
        <v>28</v>
      </c>
      <c r="N73" s="33" t="s">
        <v>182</v>
      </c>
      <c r="O73" s="33" t="s">
        <v>8</v>
      </c>
      <c r="P73" s="33" t="s">
        <v>23</v>
      </c>
      <c r="Q73" s="33"/>
      <c r="R73" s="33" t="s">
        <v>30</v>
      </c>
    </row>
    <row r="74" spans="2:18" x14ac:dyDescent="0.15">
      <c r="B74" s="114" t="s">
        <v>160</v>
      </c>
      <c r="C74" s="114" t="s">
        <v>232</v>
      </c>
      <c r="D74" s="115">
        <v>43185</v>
      </c>
      <c r="E74" s="115">
        <v>43399</v>
      </c>
      <c r="F74" s="114">
        <v>3000</v>
      </c>
      <c r="G74" s="114">
        <v>214</v>
      </c>
      <c r="H74" s="114">
        <v>0.58630136986301373</v>
      </c>
      <c r="I74" s="114">
        <v>0</v>
      </c>
      <c r="J74" s="114">
        <v>0.28999999999999998</v>
      </c>
      <c r="K74" s="114">
        <v>-96.967287512488269</v>
      </c>
      <c r="L74" s="114"/>
      <c r="M74" s="114">
        <v>0</v>
      </c>
      <c r="N74" s="116">
        <v>96.967287512488269</v>
      </c>
      <c r="O74" s="114">
        <v>2604</v>
      </c>
      <c r="P74" s="114" t="s">
        <v>39</v>
      </c>
      <c r="Q74" s="114">
        <v>-1</v>
      </c>
      <c r="R74" s="114" t="s">
        <v>20</v>
      </c>
    </row>
    <row r="75" spans="2:18" x14ac:dyDescent="0.15">
      <c r="B75" s="33"/>
      <c r="C75" s="33" t="s">
        <v>181</v>
      </c>
      <c r="D75" s="33" t="s">
        <v>180</v>
      </c>
      <c r="E75" s="33" t="s">
        <v>10</v>
      </c>
      <c r="F75" s="33" t="s">
        <v>184</v>
      </c>
      <c r="G75" s="33" t="s">
        <v>11</v>
      </c>
      <c r="H75" s="33" t="s">
        <v>12</v>
      </c>
      <c r="I75" s="33" t="s">
        <v>47</v>
      </c>
      <c r="J75" s="33" t="s">
        <v>13</v>
      </c>
      <c r="K75" s="33" t="s">
        <v>14</v>
      </c>
      <c r="L75" s="33" t="s">
        <v>26</v>
      </c>
      <c r="M75" s="33" t="s">
        <v>28</v>
      </c>
      <c r="N75" s="33" t="s">
        <v>182</v>
      </c>
      <c r="O75" s="33" t="s">
        <v>8</v>
      </c>
      <c r="P75" s="33" t="s">
        <v>23</v>
      </c>
      <c r="Q75" s="33"/>
      <c r="R75" s="33" t="s">
        <v>30</v>
      </c>
    </row>
    <row r="76" spans="2:18" x14ac:dyDescent="0.15">
      <c r="B76" s="114" t="s">
        <v>161</v>
      </c>
      <c r="C76" s="114" t="s">
        <v>234</v>
      </c>
      <c r="D76" s="115">
        <v>43185</v>
      </c>
      <c r="E76" s="115">
        <v>43399</v>
      </c>
      <c r="F76" s="114">
        <v>2650</v>
      </c>
      <c r="G76" s="114">
        <v>214</v>
      </c>
      <c r="H76" s="114">
        <v>0.58630136986301373</v>
      </c>
      <c r="I76" s="114">
        <v>0</v>
      </c>
      <c r="J76" s="114">
        <v>0.28999999999999998</v>
      </c>
      <c r="K76" s="114">
        <v>-130.3704542529581</v>
      </c>
      <c r="L76" s="114"/>
      <c r="M76" s="114">
        <v>0</v>
      </c>
      <c r="N76" s="116">
        <v>130.3704542529581</v>
      </c>
      <c r="O76" s="114">
        <v>2928</v>
      </c>
      <c r="P76" s="114" t="s">
        <v>85</v>
      </c>
      <c r="Q76" s="114">
        <v>-1</v>
      </c>
      <c r="R76" s="114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12" sqref="B12:Q14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1" t="s">
        <v>158</v>
      </c>
      <c r="C1" s="121"/>
      <c r="D1" s="121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38"/>
      <c r="L9" s="3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24" activePane="bottomLeft" state="frozen"/>
      <selection pane="bottomLeft" activeCell="K29" sqref="K29"/>
    </sheetView>
  </sheetViews>
  <sheetFormatPr defaultColWidth="9" defaultRowHeight="10.5" x14ac:dyDescent="0.15"/>
  <cols>
    <col min="1" max="3" width="9" style="104"/>
    <col min="4" max="4" width="9" style="104" customWidth="1"/>
    <col min="5" max="7" width="9" style="104"/>
    <col min="8" max="8" width="9.625" style="104" customWidth="1"/>
    <col min="9" max="9" width="9" style="104"/>
    <col min="10" max="10" width="9.25" style="104" customWidth="1"/>
    <col min="11" max="16384" width="9" style="104"/>
  </cols>
  <sheetData>
    <row r="1" spans="2:20" ht="11.25" thickBot="1" x14ac:dyDescent="0.2">
      <c r="B1" s="137" t="s">
        <v>118</v>
      </c>
      <c r="C1" s="137"/>
    </row>
    <row r="2" spans="2:20" ht="11.25" thickTop="1" x14ac:dyDescent="0.15"/>
    <row r="3" spans="2:20" ht="11.25" thickBot="1" x14ac:dyDescent="0.2">
      <c r="B3" s="138" t="s">
        <v>119</v>
      </c>
      <c r="C3" s="138"/>
      <c r="D3" s="138"/>
      <c r="E3" s="138"/>
      <c r="G3" s="142" t="s">
        <v>120</v>
      </c>
      <c r="H3" s="142"/>
      <c r="I3" s="142"/>
      <c r="J3" s="142"/>
      <c r="L3" s="138" t="s">
        <v>165</v>
      </c>
      <c r="M3" s="138"/>
      <c r="N3" s="138"/>
      <c r="O3" s="138"/>
      <c r="Q3" s="142" t="s">
        <v>166</v>
      </c>
      <c r="R3" s="142"/>
      <c r="S3" s="142"/>
      <c r="T3" s="142"/>
    </row>
    <row r="4" spans="2:20" ht="12" thickTop="1" thickBot="1" x14ac:dyDescent="0.2">
      <c r="B4" s="139" t="s">
        <v>121</v>
      </c>
      <c r="C4" s="139"/>
      <c r="D4" s="139"/>
      <c r="E4" s="139"/>
      <c r="G4" s="139" t="s">
        <v>34</v>
      </c>
      <c r="H4" s="139"/>
      <c r="I4" s="139"/>
      <c r="J4" s="139"/>
      <c r="L4" s="139" t="s">
        <v>121</v>
      </c>
      <c r="M4" s="139"/>
      <c r="N4" s="139"/>
      <c r="O4" s="139"/>
      <c r="Q4" s="139" t="s">
        <v>34</v>
      </c>
      <c r="R4" s="139"/>
      <c r="S4" s="139"/>
      <c r="T4" s="139"/>
    </row>
    <row r="5" spans="2:20" ht="15" customHeight="1" thickTop="1" x14ac:dyDescent="0.15">
      <c r="B5" s="136" t="s">
        <v>122</v>
      </c>
      <c r="C5" s="136"/>
      <c r="D5" s="140"/>
      <c r="E5" s="141"/>
      <c r="G5" s="136" t="s">
        <v>123</v>
      </c>
      <c r="H5" s="136"/>
      <c r="I5" s="107"/>
      <c r="J5" s="108"/>
      <c r="L5" s="105" t="s">
        <v>122</v>
      </c>
      <c r="M5" s="106"/>
      <c r="N5" s="107"/>
      <c r="O5" s="108"/>
      <c r="Q5" s="136" t="s">
        <v>123</v>
      </c>
      <c r="R5" s="136"/>
      <c r="S5" s="107"/>
      <c r="T5" s="108"/>
    </row>
    <row r="6" spans="2:20" x14ac:dyDescent="0.15">
      <c r="B6" s="136" t="s">
        <v>124</v>
      </c>
      <c r="C6" s="136"/>
      <c r="D6" s="134" t="s">
        <v>125</v>
      </c>
      <c r="E6" s="135"/>
      <c r="G6" s="136" t="s">
        <v>126</v>
      </c>
      <c r="H6" s="136"/>
      <c r="I6" s="134"/>
      <c r="J6" s="135"/>
      <c r="L6" s="136" t="s">
        <v>124</v>
      </c>
      <c r="M6" s="136"/>
      <c r="N6" s="134" t="s">
        <v>125</v>
      </c>
      <c r="O6" s="135"/>
      <c r="Q6" s="136" t="s">
        <v>126</v>
      </c>
      <c r="R6" s="136"/>
      <c r="S6" s="134"/>
      <c r="T6" s="135"/>
    </row>
    <row r="7" spans="2:20" ht="2.25" customHeight="1" x14ac:dyDescent="0.15">
      <c r="B7" s="136" t="s">
        <v>127</v>
      </c>
      <c r="C7" s="136"/>
      <c r="D7" s="134" t="s">
        <v>125</v>
      </c>
      <c r="E7" s="135"/>
      <c r="G7" s="136" t="s">
        <v>128</v>
      </c>
      <c r="H7" s="136"/>
      <c r="I7" s="134"/>
      <c r="J7" s="135"/>
      <c r="L7" s="136" t="s">
        <v>127</v>
      </c>
      <c r="M7" s="136"/>
      <c r="N7" s="134" t="s">
        <v>125</v>
      </c>
      <c r="O7" s="135"/>
      <c r="Q7" s="136" t="s">
        <v>128</v>
      </c>
      <c r="R7" s="136"/>
      <c r="S7" s="134"/>
      <c r="T7" s="135"/>
    </row>
    <row r="8" spans="2:20" hidden="1" x14ac:dyDescent="0.15">
      <c r="B8" s="136" t="s">
        <v>129</v>
      </c>
      <c r="C8" s="136"/>
      <c r="D8" s="134">
        <f>D13*D15</f>
        <v>305000</v>
      </c>
      <c r="E8" s="135"/>
      <c r="G8" s="136" t="s">
        <v>130</v>
      </c>
      <c r="H8" s="136"/>
      <c r="I8" s="134"/>
      <c r="J8" s="135"/>
      <c r="L8" s="136" t="s">
        <v>129</v>
      </c>
      <c r="M8" s="136"/>
      <c r="N8" s="134">
        <f>N14*N16</f>
        <v>305000</v>
      </c>
      <c r="O8" s="135"/>
      <c r="Q8" s="136" t="s">
        <v>130</v>
      </c>
      <c r="R8" s="136"/>
      <c r="S8" s="134"/>
      <c r="T8" s="135"/>
    </row>
    <row r="9" spans="2:20" hidden="1" x14ac:dyDescent="0.15">
      <c r="B9" s="136" t="s">
        <v>131</v>
      </c>
      <c r="C9" s="136"/>
      <c r="D9" s="134" t="s">
        <v>132</v>
      </c>
      <c r="E9" s="135"/>
      <c r="G9" s="136" t="s">
        <v>133</v>
      </c>
      <c r="H9" s="136"/>
      <c r="I9" s="134"/>
      <c r="J9" s="135"/>
      <c r="L9" s="136" t="s">
        <v>131</v>
      </c>
      <c r="M9" s="136"/>
      <c r="N9" s="134" t="s">
        <v>132</v>
      </c>
      <c r="O9" s="135"/>
      <c r="Q9" s="136" t="s">
        <v>133</v>
      </c>
      <c r="R9" s="136"/>
      <c r="S9" s="134"/>
      <c r="T9" s="135"/>
    </row>
    <row r="10" spans="2:20" hidden="1" x14ac:dyDescent="0.15">
      <c r="B10" s="136" t="s">
        <v>134</v>
      </c>
      <c r="C10" s="136"/>
      <c r="D10" s="134">
        <v>43084</v>
      </c>
      <c r="E10" s="135"/>
      <c r="G10" s="109" t="s">
        <v>135</v>
      </c>
      <c r="H10" s="109"/>
      <c r="I10" s="134"/>
      <c r="J10" s="135"/>
      <c r="L10" s="136" t="s">
        <v>134</v>
      </c>
      <c r="M10" s="136"/>
      <c r="N10" s="134">
        <v>43084</v>
      </c>
      <c r="O10" s="135"/>
      <c r="Q10" s="109" t="s">
        <v>135</v>
      </c>
      <c r="R10" s="109"/>
      <c r="S10" s="134"/>
      <c r="T10" s="135"/>
    </row>
    <row r="11" spans="2:20" hidden="1" x14ac:dyDescent="0.15">
      <c r="B11" s="136" t="s">
        <v>136</v>
      </c>
      <c r="C11" s="136"/>
      <c r="D11" s="134">
        <v>3935</v>
      </c>
      <c r="E11" s="135"/>
      <c r="G11" s="136" t="s">
        <v>137</v>
      </c>
      <c r="H11" s="136"/>
      <c r="I11" s="134"/>
      <c r="J11" s="135"/>
      <c r="L11" s="136" t="s">
        <v>136</v>
      </c>
      <c r="M11" s="136"/>
      <c r="N11" s="134">
        <v>3935</v>
      </c>
      <c r="O11" s="135"/>
      <c r="Q11" s="136" t="s">
        <v>137</v>
      </c>
      <c r="R11" s="136"/>
      <c r="S11" s="134"/>
      <c r="T11" s="135"/>
    </row>
    <row r="12" spans="2:20" hidden="1" x14ac:dyDescent="0.15">
      <c r="B12" s="136" t="s">
        <v>138</v>
      </c>
      <c r="C12" s="136"/>
      <c r="D12" s="134">
        <v>3800</v>
      </c>
      <c r="E12" s="135"/>
      <c r="G12" s="136" t="s">
        <v>139</v>
      </c>
      <c r="H12" s="136"/>
      <c r="I12" s="134"/>
      <c r="J12" s="135"/>
      <c r="L12" s="136" t="s">
        <v>163</v>
      </c>
      <c r="M12" s="136"/>
      <c r="N12" s="134">
        <v>3800</v>
      </c>
      <c r="O12" s="135"/>
      <c r="Q12" s="136" t="s">
        <v>167</v>
      </c>
      <c r="R12" s="136"/>
      <c r="S12" s="134"/>
      <c r="T12" s="135"/>
    </row>
    <row r="13" spans="2:20" hidden="1" x14ac:dyDescent="0.15">
      <c r="B13" s="136" t="s">
        <v>140</v>
      </c>
      <c r="C13" s="136"/>
      <c r="D13" s="134">
        <v>61</v>
      </c>
      <c r="E13" s="135"/>
      <c r="G13" s="136" t="s">
        <v>141</v>
      </c>
      <c r="H13" s="136"/>
      <c r="I13" s="134"/>
      <c r="J13" s="135"/>
      <c r="L13" s="136" t="s">
        <v>164</v>
      </c>
      <c r="M13" s="136"/>
      <c r="N13" s="134">
        <v>3800</v>
      </c>
      <c r="O13" s="135"/>
      <c r="Q13" s="136" t="s">
        <v>168</v>
      </c>
      <c r="R13" s="136"/>
      <c r="S13" s="134"/>
      <c r="T13" s="135"/>
    </row>
    <row r="14" spans="2:20" hidden="1" x14ac:dyDescent="0.15">
      <c r="B14" s="136" t="s">
        <v>142</v>
      </c>
      <c r="C14" s="136"/>
      <c r="D14" s="134" t="s">
        <v>143</v>
      </c>
      <c r="E14" s="135"/>
      <c r="G14" s="136" t="s">
        <v>144</v>
      </c>
      <c r="H14" s="136"/>
      <c r="I14" s="110"/>
      <c r="J14" s="111"/>
      <c r="L14" s="136" t="s">
        <v>140</v>
      </c>
      <c r="M14" s="136"/>
      <c r="N14" s="134">
        <v>61</v>
      </c>
      <c r="O14" s="135"/>
      <c r="Q14" s="136" t="s">
        <v>141</v>
      </c>
      <c r="R14" s="136"/>
      <c r="S14" s="134"/>
      <c r="T14" s="135"/>
    </row>
    <row r="15" spans="2:20" hidden="1" x14ac:dyDescent="0.15">
      <c r="B15" s="136" t="s">
        <v>145</v>
      </c>
      <c r="C15" s="136"/>
      <c r="D15" s="134">
        <v>5000</v>
      </c>
      <c r="E15" s="135"/>
      <c r="G15" s="136" t="s">
        <v>146</v>
      </c>
      <c r="H15" s="136"/>
      <c r="I15" s="134"/>
      <c r="J15" s="135"/>
      <c r="L15" s="136" t="s">
        <v>142</v>
      </c>
      <c r="M15" s="136"/>
      <c r="N15" s="134" t="s">
        <v>143</v>
      </c>
      <c r="O15" s="135"/>
      <c r="Q15" s="136" t="s">
        <v>144</v>
      </c>
      <c r="R15" s="136"/>
      <c r="S15" s="110"/>
      <c r="T15" s="111"/>
    </row>
    <row r="16" spans="2:20" ht="11.25" hidden="1" thickBot="1" x14ac:dyDescent="0.2">
      <c r="B16" s="131" t="s">
        <v>147</v>
      </c>
      <c r="C16" s="131"/>
      <c r="D16" s="132" t="s">
        <v>148</v>
      </c>
      <c r="E16" s="133"/>
      <c r="G16" s="131" t="s">
        <v>149</v>
      </c>
      <c r="H16" s="131"/>
      <c r="I16" s="132"/>
      <c r="J16" s="133"/>
      <c r="L16" s="136" t="s">
        <v>145</v>
      </c>
      <c r="M16" s="136"/>
      <c r="N16" s="134">
        <v>5000</v>
      </c>
      <c r="O16" s="135"/>
      <c r="Q16" s="136" t="s">
        <v>146</v>
      </c>
      <c r="R16" s="136"/>
      <c r="S16" s="134"/>
      <c r="T16" s="135"/>
    </row>
    <row r="17" spans="2:25" ht="12" hidden="1" thickTop="1" thickBot="1" x14ac:dyDescent="0.2">
      <c r="L17" s="131" t="s">
        <v>147</v>
      </c>
      <c r="M17" s="131"/>
      <c r="N17" s="132" t="s">
        <v>148</v>
      </c>
      <c r="O17" s="133"/>
      <c r="Q17" s="131" t="s">
        <v>149</v>
      </c>
      <c r="R17" s="131"/>
      <c r="S17" s="132"/>
      <c r="T17" s="133"/>
    </row>
    <row r="19" spans="2:25" x14ac:dyDescent="0.15">
      <c r="B19" s="112" t="s">
        <v>150</v>
      </c>
    </row>
    <row r="21" spans="2:25" ht="11.25" thickBot="1" x14ac:dyDescent="0.2">
      <c r="B21" s="113"/>
      <c r="C21" s="113"/>
      <c r="D21" s="113"/>
      <c r="E21" s="113"/>
      <c r="G21" s="113"/>
      <c r="H21" s="113"/>
      <c r="I21" s="113"/>
      <c r="J21" s="113"/>
      <c r="L21" s="113"/>
      <c r="M21" s="113"/>
      <c r="N21" s="113"/>
      <c r="O21" s="113"/>
      <c r="Q21" s="113"/>
      <c r="R21" s="113"/>
      <c r="S21" s="113"/>
      <c r="T21" s="113"/>
      <c r="V21" s="113"/>
      <c r="W21" s="113"/>
      <c r="X21" s="113"/>
      <c r="Y21" s="113"/>
    </row>
    <row r="22" spans="2:25" ht="12.75" thickTop="1" thickBot="1" x14ac:dyDescent="0.2">
      <c r="B22" s="129" t="s">
        <v>188</v>
      </c>
      <c r="C22" s="129"/>
      <c r="D22" s="129"/>
      <c r="E22" s="129"/>
      <c r="G22" s="129" t="s">
        <v>189</v>
      </c>
      <c r="H22" s="129"/>
      <c r="I22" s="129"/>
      <c r="J22" s="129"/>
      <c r="L22" s="139" t="s">
        <v>189</v>
      </c>
      <c r="M22" s="139"/>
      <c r="N22" s="139"/>
      <c r="O22" s="139"/>
      <c r="Q22" s="129" t="s">
        <v>188</v>
      </c>
      <c r="R22" s="129"/>
      <c r="S22" s="129"/>
      <c r="T22" s="129"/>
      <c r="V22" s="139" t="s">
        <v>189</v>
      </c>
      <c r="W22" s="139"/>
      <c r="X22" s="139"/>
      <c r="Y22" s="139"/>
    </row>
    <row r="23" spans="2:25" ht="12" thickTop="1" x14ac:dyDescent="0.15">
      <c r="B23" s="122" t="s">
        <v>122</v>
      </c>
      <c r="C23" s="122"/>
      <c r="D23" s="128">
        <f ca="1">TODAY()</f>
        <v>43186</v>
      </c>
      <c r="E23" s="130"/>
      <c r="G23" s="122" t="s">
        <v>122</v>
      </c>
      <c r="H23" s="122"/>
      <c r="I23" s="128">
        <f ca="1">TODAY()</f>
        <v>43186</v>
      </c>
      <c r="J23" s="130"/>
      <c r="L23" s="122" t="s">
        <v>122</v>
      </c>
      <c r="M23" s="122"/>
      <c r="N23" s="128">
        <f ca="1">TODAY()</f>
        <v>43186</v>
      </c>
      <c r="O23" s="130"/>
      <c r="Q23" s="122" t="s">
        <v>122</v>
      </c>
      <c r="R23" s="122"/>
      <c r="S23" s="128">
        <f ca="1">TODAY()-1</f>
        <v>43185</v>
      </c>
      <c r="T23" s="130"/>
      <c r="V23" s="122" t="s">
        <v>122</v>
      </c>
      <c r="W23" s="122"/>
      <c r="X23" s="128">
        <f ca="1">TODAY()-1</f>
        <v>43185</v>
      </c>
      <c r="Y23" s="130"/>
    </row>
    <row r="24" spans="2:25" ht="11.25" x14ac:dyDescent="0.15">
      <c r="B24" s="122" t="s">
        <v>124</v>
      </c>
      <c r="C24" s="122"/>
      <c r="D24" s="123" t="s">
        <v>186</v>
      </c>
      <c r="E24" s="124"/>
      <c r="G24" s="122" t="s">
        <v>124</v>
      </c>
      <c r="H24" s="122"/>
      <c r="I24" s="123" t="s">
        <v>186</v>
      </c>
      <c r="J24" s="124"/>
      <c r="L24" s="122" t="s">
        <v>124</v>
      </c>
      <c r="M24" s="122"/>
      <c r="N24" s="123" t="s">
        <v>36</v>
      </c>
      <c r="O24" s="124"/>
      <c r="Q24" s="122" t="s">
        <v>124</v>
      </c>
      <c r="R24" s="122"/>
      <c r="S24" s="123" t="s">
        <v>36</v>
      </c>
      <c r="T24" s="124"/>
      <c r="V24" s="122" t="s">
        <v>124</v>
      </c>
      <c r="W24" s="122"/>
      <c r="X24" s="123" t="s">
        <v>36</v>
      </c>
      <c r="Y24" s="124"/>
    </row>
    <row r="25" spans="2:25" ht="11.25" x14ac:dyDescent="0.15">
      <c r="B25" s="122" t="s">
        <v>127</v>
      </c>
      <c r="C25" s="122"/>
      <c r="D25" s="123" t="s">
        <v>5</v>
      </c>
      <c r="E25" s="124"/>
      <c r="G25" s="122" t="s">
        <v>127</v>
      </c>
      <c r="H25" s="122"/>
      <c r="I25" s="123" t="s">
        <v>5</v>
      </c>
      <c r="J25" s="124"/>
      <c r="L25" s="122" t="s">
        <v>127</v>
      </c>
      <c r="M25" s="122"/>
      <c r="N25" s="123" t="s">
        <v>196</v>
      </c>
      <c r="O25" s="124"/>
      <c r="Q25" s="122" t="s">
        <v>127</v>
      </c>
      <c r="R25" s="122"/>
      <c r="S25" s="123" t="s">
        <v>187</v>
      </c>
      <c r="T25" s="124"/>
      <c r="V25" s="122" t="s">
        <v>127</v>
      </c>
      <c r="W25" s="122"/>
      <c r="X25" s="123" t="s">
        <v>187</v>
      </c>
      <c r="Y25" s="124"/>
    </row>
    <row r="26" spans="2:25" ht="11.25" x14ac:dyDescent="0.15">
      <c r="B26" s="122" t="s">
        <v>129</v>
      </c>
      <c r="C26" s="122"/>
      <c r="D26" s="123">
        <f>D31*D33</f>
        <v>388800</v>
      </c>
      <c r="E26" s="124"/>
      <c r="G26" s="122" t="s">
        <v>179</v>
      </c>
      <c r="H26" s="122"/>
      <c r="I26" s="123">
        <f>I31*I33</f>
        <v>271800</v>
      </c>
      <c r="J26" s="124"/>
      <c r="L26" s="122" t="s">
        <v>129</v>
      </c>
      <c r="M26" s="122"/>
      <c r="N26" s="123">
        <f>N31*N33</f>
        <v>275000</v>
      </c>
      <c r="O26" s="124"/>
      <c r="Q26" s="122" t="s">
        <v>129</v>
      </c>
      <c r="R26" s="122"/>
      <c r="S26" s="123">
        <f>S31*S33</f>
        <v>235799.99999999997</v>
      </c>
      <c r="T26" s="124"/>
      <c r="V26" s="122" t="s">
        <v>129</v>
      </c>
      <c r="W26" s="122"/>
      <c r="X26" s="123">
        <f>X31*X33</f>
        <v>235799.99999999997</v>
      </c>
      <c r="Y26" s="124"/>
    </row>
    <row r="27" spans="2:25" ht="11.25" x14ac:dyDescent="0.15">
      <c r="B27" s="122" t="s">
        <v>131</v>
      </c>
      <c r="C27" s="122"/>
      <c r="D27" s="123" t="s">
        <v>132</v>
      </c>
      <c r="E27" s="124"/>
      <c r="G27" s="122" t="s">
        <v>131</v>
      </c>
      <c r="H27" s="122"/>
      <c r="I27" s="123" t="s">
        <v>198</v>
      </c>
      <c r="J27" s="124"/>
      <c r="L27" s="122" t="s">
        <v>131</v>
      </c>
      <c r="M27" s="122"/>
      <c r="N27" s="123" t="s">
        <v>190</v>
      </c>
      <c r="O27" s="124"/>
      <c r="Q27" s="122" t="s">
        <v>131</v>
      </c>
      <c r="R27" s="122"/>
      <c r="S27" s="123" t="s">
        <v>191</v>
      </c>
      <c r="T27" s="124"/>
      <c r="V27" s="122" t="s">
        <v>131</v>
      </c>
      <c r="W27" s="122"/>
      <c r="X27" s="123" t="s">
        <v>190</v>
      </c>
      <c r="Y27" s="124"/>
    </row>
    <row r="28" spans="2:25" ht="11.25" x14ac:dyDescent="0.15">
      <c r="B28" s="122" t="s">
        <v>134</v>
      </c>
      <c r="C28" s="122"/>
      <c r="D28" s="128">
        <v>43182</v>
      </c>
      <c r="E28" s="124"/>
      <c r="G28" s="122" t="s">
        <v>134</v>
      </c>
      <c r="H28" s="122"/>
      <c r="I28" s="128">
        <v>43182</v>
      </c>
      <c r="J28" s="124"/>
      <c r="L28" s="122" t="s">
        <v>134</v>
      </c>
      <c r="M28" s="122"/>
      <c r="N28" s="128">
        <v>43219</v>
      </c>
      <c r="O28" s="124"/>
      <c r="Q28" s="122" t="s">
        <v>134</v>
      </c>
      <c r="R28" s="122"/>
      <c r="S28" s="128">
        <v>43201</v>
      </c>
      <c r="T28" s="124"/>
      <c r="V28" s="122" t="s">
        <v>134</v>
      </c>
      <c r="W28" s="122"/>
      <c r="X28" s="128">
        <v>43201</v>
      </c>
      <c r="Y28" s="124"/>
    </row>
    <row r="29" spans="2:25" ht="11.25" x14ac:dyDescent="0.15">
      <c r="B29" s="122" t="s">
        <v>136</v>
      </c>
      <c r="C29" s="122"/>
      <c r="D29" s="123">
        <v>3856</v>
      </c>
      <c r="E29" s="124"/>
      <c r="G29" s="122" t="s">
        <v>136</v>
      </c>
      <c r="H29" s="122"/>
      <c r="I29" s="123">
        <v>3856</v>
      </c>
      <c r="J29" s="124"/>
      <c r="L29" s="122" t="s">
        <v>136</v>
      </c>
      <c r="M29" s="122"/>
      <c r="N29" s="123">
        <v>3760</v>
      </c>
      <c r="O29" s="124"/>
      <c r="Q29" s="122" t="s">
        <v>136</v>
      </c>
      <c r="R29" s="122"/>
      <c r="S29" s="123">
        <v>524</v>
      </c>
      <c r="T29" s="124"/>
      <c r="V29" s="122" t="s">
        <v>136</v>
      </c>
      <c r="W29" s="122"/>
      <c r="X29" s="123">
        <v>524</v>
      </c>
      <c r="Y29" s="124"/>
    </row>
    <row r="30" spans="2:25" ht="11.25" x14ac:dyDescent="0.15">
      <c r="B30" s="122" t="s">
        <v>138</v>
      </c>
      <c r="C30" s="122"/>
      <c r="D30" s="123">
        <v>3800</v>
      </c>
      <c r="E30" s="124"/>
      <c r="G30" s="122" t="s">
        <v>138</v>
      </c>
      <c r="H30" s="122"/>
      <c r="I30" s="123">
        <v>3930</v>
      </c>
      <c r="J30" s="124"/>
      <c r="L30" s="122" t="s">
        <v>138</v>
      </c>
      <c r="M30" s="122"/>
      <c r="N30" s="123">
        <v>3700</v>
      </c>
      <c r="O30" s="124"/>
      <c r="Q30" s="122" t="s">
        <v>138</v>
      </c>
      <c r="R30" s="122"/>
      <c r="S30" s="123">
        <v>524</v>
      </c>
      <c r="T30" s="124"/>
      <c r="V30" s="122" t="s">
        <v>138</v>
      </c>
      <c r="W30" s="122"/>
      <c r="X30" s="123">
        <v>524</v>
      </c>
      <c r="Y30" s="124"/>
    </row>
    <row r="31" spans="2:25" ht="11.25" x14ac:dyDescent="0.15">
      <c r="B31" s="122" t="s">
        <v>140</v>
      </c>
      <c r="C31" s="122"/>
      <c r="D31" s="123">
        <v>38.880000000000003</v>
      </c>
      <c r="E31" s="124"/>
      <c r="G31" s="122" t="s">
        <v>199</v>
      </c>
      <c r="H31" s="122"/>
      <c r="I31" s="123">
        <v>27.18</v>
      </c>
      <c r="J31" s="124"/>
      <c r="L31" s="122" t="s">
        <v>140</v>
      </c>
      <c r="M31" s="122"/>
      <c r="N31" s="123">
        <v>55</v>
      </c>
      <c r="O31" s="124"/>
      <c r="Q31" s="122" t="s">
        <v>140</v>
      </c>
      <c r="R31" s="122"/>
      <c r="S31" s="123">
        <v>23.58</v>
      </c>
      <c r="T31" s="124"/>
      <c r="V31" s="122" t="s">
        <v>140</v>
      </c>
      <c r="W31" s="122"/>
      <c r="X31" s="123">
        <v>23.58</v>
      </c>
      <c r="Y31" s="124"/>
    </row>
    <row r="32" spans="2:25" ht="11.25" x14ac:dyDescent="0.15">
      <c r="B32" s="122" t="s">
        <v>142</v>
      </c>
      <c r="C32" s="122"/>
      <c r="D32" s="123" t="s">
        <v>197</v>
      </c>
      <c r="E32" s="124"/>
      <c r="G32" s="122" t="s">
        <v>200</v>
      </c>
      <c r="H32" s="122"/>
      <c r="I32" s="123" t="s">
        <v>197</v>
      </c>
      <c r="J32" s="124"/>
      <c r="L32" s="122" t="s">
        <v>142</v>
      </c>
      <c r="M32" s="122"/>
      <c r="N32" s="123" t="s">
        <v>195</v>
      </c>
      <c r="O32" s="124"/>
      <c r="Q32" s="122" t="s">
        <v>142</v>
      </c>
      <c r="R32" s="122"/>
      <c r="S32" s="123" t="s">
        <v>192</v>
      </c>
      <c r="T32" s="124"/>
      <c r="V32" s="122" t="s">
        <v>142</v>
      </c>
      <c r="W32" s="122"/>
      <c r="X32" s="123" t="s">
        <v>192</v>
      </c>
      <c r="Y32" s="124"/>
    </row>
    <row r="33" spans="2:25" ht="11.25" x14ac:dyDescent="0.15">
      <c r="B33" s="122" t="s">
        <v>145</v>
      </c>
      <c r="C33" s="122"/>
      <c r="D33" s="123">
        <v>10000</v>
      </c>
      <c r="E33" s="124"/>
      <c r="G33" s="122" t="s">
        <v>201</v>
      </c>
      <c r="H33" s="122"/>
      <c r="I33" s="123">
        <v>10000</v>
      </c>
      <c r="J33" s="124"/>
      <c r="L33" s="122" t="s">
        <v>145</v>
      </c>
      <c r="M33" s="122"/>
      <c r="N33" s="123">
        <v>5000</v>
      </c>
      <c r="O33" s="124"/>
      <c r="Q33" s="122" t="s">
        <v>145</v>
      </c>
      <c r="R33" s="122"/>
      <c r="S33" s="123">
        <v>10000</v>
      </c>
      <c r="T33" s="124"/>
      <c r="V33" s="122" t="s">
        <v>145</v>
      </c>
      <c r="W33" s="122"/>
      <c r="X33" s="123">
        <v>10000</v>
      </c>
      <c r="Y33" s="124"/>
    </row>
    <row r="34" spans="2:25" ht="12" thickBot="1" x14ac:dyDescent="0.2">
      <c r="B34" s="125" t="s">
        <v>147</v>
      </c>
      <c r="C34" s="125"/>
      <c r="D34" s="126" t="s">
        <v>148</v>
      </c>
      <c r="E34" s="127"/>
      <c r="G34" s="125" t="s">
        <v>147</v>
      </c>
      <c r="H34" s="125"/>
      <c r="I34" s="126" t="s">
        <v>148</v>
      </c>
      <c r="J34" s="127"/>
      <c r="L34" s="125" t="s">
        <v>147</v>
      </c>
      <c r="M34" s="125"/>
      <c r="N34" s="126" t="s">
        <v>148</v>
      </c>
      <c r="O34" s="127"/>
      <c r="Q34" s="125" t="s">
        <v>147</v>
      </c>
      <c r="R34" s="125"/>
      <c r="S34" s="126" t="s">
        <v>148</v>
      </c>
      <c r="T34" s="127"/>
      <c r="V34" s="125" t="s">
        <v>147</v>
      </c>
      <c r="W34" s="125"/>
      <c r="X34" s="126" t="s">
        <v>148</v>
      </c>
      <c r="Y34" s="127"/>
    </row>
    <row r="35" spans="2:25" ht="11.25" thickTop="1" x14ac:dyDescent="0.15"/>
    <row r="36" spans="2:25" ht="12" thickBot="1" x14ac:dyDescent="0.2">
      <c r="B36" s="129" t="s">
        <v>121</v>
      </c>
      <c r="C36" s="129"/>
      <c r="D36" s="129"/>
      <c r="E36" s="129"/>
      <c r="G36" s="129" t="s">
        <v>121</v>
      </c>
      <c r="H36" s="129"/>
      <c r="I36" s="129"/>
      <c r="J36" s="129"/>
      <c r="L36" s="129" t="s">
        <v>121</v>
      </c>
      <c r="M36" s="129"/>
      <c r="N36" s="129"/>
      <c r="O36" s="129"/>
    </row>
    <row r="37" spans="2:25" ht="12" thickTop="1" x14ac:dyDescent="0.15">
      <c r="B37" s="122" t="s">
        <v>122</v>
      </c>
      <c r="C37" s="122"/>
      <c r="D37" s="128">
        <f ca="1">TODAY()</f>
        <v>43186</v>
      </c>
      <c r="E37" s="130"/>
      <c r="G37" s="122" t="s">
        <v>122</v>
      </c>
      <c r="H37" s="122"/>
      <c r="I37" s="128">
        <f ca="1">TODAY()</f>
        <v>43186</v>
      </c>
      <c r="J37" s="130"/>
      <c r="L37" s="122" t="s">
        <v>122</v>
      </c>
      <c r="M37" s="122"/>
      <c r="N37" s="128">
        <f ca="1">TODAY()</f>
        <v>43186</v>
      </c>
      <c r="O37" s="130"/>
    </row>
    <row r="38" spans="2:25" ht="11.25" x14ac:dyDescent="0.15">
      <c r="B38" s="122" t="s">
        <v>124</v>
      </c>
      <c r="C38" s="122"/>
      <c r="D38" s="123" t="s">
        <v>213</v>
      </c>
      <c r="E38" s="124"/>
      <c r="G38" s="122" t="s">
        <v>124</v>
      </c>
      <c r="H38" s="122"/>
      <c r="I38" s="123" t="s">
        <v>4</v>
      </c>
      <c r="J38" s="124"/>
      <c r="L38" s="122" t="s">
        <v>124</v>
      </c>
      <c r="M38" s="122"/>
      <c r="N38" s="123" t="s">
        <v>36</v>
      </c>
      <c r="O38" s="124"/>
    </row>
    <row r="39" spans="2:25" ht="11.25" x14ac:dyDescent="0.15">
      <c r="B39" s="122" t="s">
        <v>127</v>
      </c>
      <c r="C39" s="122"/>
      <c r="D39" s="123" t="s">
        <v>186</v>
      </c>
      <c r="E39" s="124"/>
      <c r="G39" s="122" t="s">
        <v>127</v>
      </c>
      <c r="H39" s="122"/>
      <c r="I39" s="123" t="s">
        <v>186</v>
      </c>
      <c r="J39" s="124"/>
      <c r="L39" s="122" t="s">
        <v>127</v>
      </c>
      <c r="M39" s="122"/>
      <c r="N39" s="123" t="s">
        <v>4</v>
      </c>
      <c r="O39" s="124"/>
    </row>
    <row r="40" spans="2:25" ht="11.25" x14ac:dyDescent="0.15">
      <c r="B40" s="122" t="s">
        <v>179</v>
      </c>
      <c r="C40" s="122"/>
      <c r="D40" s="123">
        <f>D45*D47</f>
        <v>198000</v>
      </c>
      <c r="E40" s="124"/>
      <c r="G40" s="122" t="s">
        <v>179</v>
      </c>
      <c r="H40" s="122"/>
      <c r="I40" s="123">
        <f>I45*I47</f>
        <v>160000</v>
      </c>
      <c r="J40" s="124"/>
      <c r="L40" s="122" t="s">
        <v>129</v>
      </c>
      <c r="M40" s="122"/>
      <c r="N40" s="123">
        <f>N45*N47</f>
        <v>155690</v>
      </c>
      <c r="O40" s="124"/>
    </row>
    <row r="41" spans="2:25" ht="11.25" x14ac:dyDescent="0.15">
      <c r="B41" s="122" t="s">
        <v>131</v>
      </c>
      <c r="C41" s="122"/>
      <c r="D41" s="123" t="s">
        <v>191</v>
      </c>
      <c r="E41" s="124"/>
      <c r="G41" s="122" t="s">
        <v>131</v>
      </c>
      <c r="H41" s="122"/>
      <c r="I41" s="123" t="s">
        <v>190</v>
      </c>
      <c r="J41" s="124"/>
      <c r="L41" s="122" t="s">
        <v>131</v>
      </c>
      <c r="M41" s="122"/>
      <c r="N41" s="123" t="s">
        <v>132</v>
      </c>
      <c r="O41" s="124"/>
    </row>
    <row r="42" spans="2:25" ht="11.25" x14ac:dyDescent="0.15">
      <c r="B42" s="122" t="s">
        <v>134</v>
      </c>
      <c r="C42" s="122"/>
      <c r="D42" s="128">
        <v>43210</v>
      </c>
      <c r="E42" s="124"/>
      <c r="G42" s="122" t="s">
        <v>134</v>
      </c>
      <c r="H42" s="122"/>
      <c r="I42" s="128">
        <v>43273</v>
      </c>
      <c r="J42" s="124"/>
      <c r="L42" s="122" t="s">
        <v>134</v>
      </c>
      <c r="M42" s="122"/>
      <c r="N42" s="128">
        <v>43251</v>
      </c>
      <c r="O42" s="124"/>
    </row>
    <row r="43" spans="2:25" ht="11.25" x14ac:dyDescent="0.15">
      <c r="B43" s="122" t="s">
        <v>136</v>
      </c>
      <c r="C43" s="122"/>
      <c r="D43" s="123">
        <v>7600</v>
      </c>
      <c r="E43" s="124"/>
      <c r="G43" s="122" t="s">
        <v>136</v>
      </c>
      <c r="H43" s="122"/>
      <c r="I43" s="123">
        <v>14020</v>
      </c>
      <c r="J43" s="124"/>
      <c r="L43" s="122" t="s">
        <v>136</v>
      </c>
      <c r="M43" s="122"/>
      <c r="N43" s="123">
        <v>3208</v>
      </c>
      <c r="O43" s="124"/>
    </row>
    <row r="44" spans="2:25" ht="11.25" x14ac:dyDescent="0.15">
      <c r="B44" s="122" t="s">
        <v>138</v>
      </c>
      <c r="C44" s="122"/>
      <c r="D44" s="123">
        <v>7600</v>
      </c>
      <c r="E44" s="124"/>
      <c r="G44" s="122" t="s">
        <v>138</v>
      </c>
      <c r="H44" s="122"/>
      <c r="I44" s="123">
        <v>11500</v>
      </c>
      <c r="J44" s="124"/>
      <c r="L44" s="122" t="s">
        <v>138</v>
      </c>
      <c r="M44" s="122"/>
      <c r="N44" s="123">
        <v>3500</v>
      </c>
      <c r="O44" s="124"/>
    </row>
    <row r="45" spans="2:25" ht="11.25" x14ac:dyDescent="0.15">
      <c r="B45" s="122" t="s">
        <v>199</v>
      </c>
      <c r="C45" s="122"/>
      <c r="D45" s="123">
        <v>220</v>
      </c>
      <c r="E45" s="124"/>
      <c r="G45" s="122" t="s">
        <v>199</v>
      </c>
      <c r="H45" s="122"/>
      <c r="I45" s="123">
        <v>16</v>
      </c>
      <c r="J45" s="124"/>
      <c r="L45" s="122" t="s">
        <v>140</v>
      </c>
      <c r="M45" s="122"/>
      <c r="N45" s="123">
        <v>311.38</v>
      </c>
      <c r="O45" s="124"/>
    </row>
    <row r="46" spans="2:25" ht="11.25" x14ac:dyDescent="0.15">
      <c r="B46" s="122" t="s">
        <v>200</v>
      </c>
      <c r="C46" s="122"/>
      <c r="D46" s="123" t="s">
        <v>215</v>
      </c>
      <c r="E46" s="124"/>
      <c r="G46" s="122" t="s">
        <v>142</v>
      </c>
      <c r="H46" s="122"/>
      <c r="I46" s="123" t="s">
        <v>223</v>
      </c>
      <c r="J46" s="124"/>
      <c r="L46" s="122" t="s">
        <v>142</v>
      </c>
      <c r="M46" s="122"/>
      <c r="N46" s="123" t="s">
        <v>195</v>
      </c>
      <c r="O46" s="124"/>
    </row>
    <row r="47" spans="2:25" ht="11.25" x14ac:dyDescent="0.15">
      <c r="B47" s="122" t="s">
        <v>201</v>
      </c>
      <c r="C47" s="122"/>
      <c r="D47" s="123">
        <v>900</v>
      </c>
      <c r="E47" s="124"/>
      <c r="G47" s="122" t="s">
        <v>145</v>
      </c>
      <c r="H47" s="122"/>
      <c r="I47" s="123">
        <v>10000</v>
      </c>
      <c r="J47" s="124"/>
      <c r="L47" s="122" t="s">
        <v>145</v>
      </c>
      <c r="M47" s="122"/>
      <c r="N47" s="123">
        <v>500</v>
      </c>
      <c r="O47" s="124"/>
    </row>
    <row r="48" spans="2:25" ht="12" thickBot="1" x14ac:dyDescent="0.2">
      <c r="B48" s="125" t="s">
        <v>147</v>
      </c>
      <c r="C48" s="125"/>
      <c r="D48" s="126" t="s">
        <v>148</v>
      </c>
      <c r="E48" s="127"/>
      <c r="G48" s="125" t="s">
        <v>147</v>
      </c>
      <c r="H48" s="125"/>
      <c r="I48" s="126" t="s">
        <v>148</v>
      </c>
      <c r="J48" s="127"/>
      <c r="L48" s="125" t="s">
        <v>147</v>
      </c>
      <c r="M48" s="125"/>
      <c r="N48" s="126" t="s">
        <v>148</v>
      </c>
      <c r="O48" s="127"/>
    </row>
    <row r="49" ht="11.25" thickTop="1" x14ac:dyDescent="0.15"/>
  </sheetData>
  <mergeCells count="301"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4"/>
  <sheetViews>
    <sheetView tabSelected="1" topLeftCell="E4" zoomScaleNormal="100" workbookViewId="0">
      <selection activeCell="K16" sqref="K16:K17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9.125" style="6" customWidth="1"/>
    <col min="4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43" t="s">
        <v>37</v>
      </c>
      <c r="C1" s="143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194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34" ca="1" si="0">TODAY()</f>
        <v>43186</v>
      </c>
      <c r="F8" s="21">
        <f ca="1">E8+H8</f>
        <v>43266</v>
      </c>
      <c r="G8" s="19">
        <v>3800</v>
      </c>
      <c r="H8" s="19">
        <v>80</v>
      </c>
      <c r="I8" s="22">
        <f>H8/365</f>
        <v>0.21917808219178081</v>
      </c>
      <c r="J8" s="22">
        <v>0</v>
      </c>
      <c r="K8" s="23">
        <v>0.3</v>
      </c>
      <c r="L8" s="24">
        <f>_xll.dnetGBlackScholesNGreeks("price",$Q8,$P8,$G8,$I8,$C$3,$J8,$K8,$C$4)*R8</f>
        <v>-69.277802600948007</v>
      </c>
      <c r="M8" s="25"/>
      <c r="N8" s="24">
        <f>M8/10000*I8*P8</f>
        <v>0</v>
      </c>
      <c r="O8" s="24">
        <f>IF(L8&lt;=0,ABS(L8)+N8,L8-N8)</f>
        <v>69.277802600948007</v>
      </c>
      <c r="P8" s="20">
        <f>RTD("wdf.rtq",,D8,"LastPrice")</f>
        <v>3433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2.0179959976972913E-2</v>
      </c>
      <c r="U8" s="24">
        <f>_xll.dnetGBlackScholesNGreeks("delta",$Q8,$P8,$G8,$I8,$C$3,$J8,$K8,$C$4)*R8</f>
        <v>-0.25577719495686324</v>
      </c>
      <c r="V8" s="24">
        <f>_xll.dnetGBlackScholesNGreeks("vega",$Q8,$P8,$G8,$I8,$C$3,$J8,$K8,$C$4)*R8</f>
        <v>-5.1570349075561808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223</v>
      </c>
      <c r="E9" s="8">
        <f t="shared" ca="1" si="0"/>
        <v>43186</v>
      </c>
      <c r="F9" s="8">
        <f t="shared" ref="F9" ca="1" si="1">E9+H9</f>
        <v>43277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-14.145462238692403</v>
      </c>
      <c r="M9" s="15"/>
      <c r="N9" s="13">
        <f t="shared" ref="N9" si="2">M9/10000*I9*P9</f>
        <v>0</v>
      </c>
      <c r="O9" s="13">
        <f t="shared" ref="O9" si="3">IF(L9&lt;=0,ABS(L9)+N9,L9-N9)</f>
        <v>14.145462238692403</v>
      </c>
      <c r="P9" s="11">
        <f>RTD("wdf.rtq",,D9,"LastPrice")</f>
        <v>14055</v>
      </c>
      <c r="Q9" s="10" t="s">
        <v>85</v>
      </c>
      <c r="R9" s="10">
        <f t="shared" ref="R9" si="4">IF(S9="中金买入",1,-1)</f>
        <v>-1</v>
      </c>
      <c r="S9" s="10" t="s">
        <v>20</v>
      </c>
      <c r="T9" s="14">
        <f t="shared" ref="T9" si="5">O9/P9</f>
        <v>1.0064363030019498E-3</v>
      </c>
      <c r="U9" s="13">
        <f>_xll.dnetGBlackScholesNGreeks("delta",$Q9,$P9,$G9,$I9,$C$3,$J9,$K9,$C$4)*R9</f>
        <v>2.4536821095466621E-2</v>
      </c>
      <c r="V9" s="13">
        <f>_xll.dnetGBlackScholesNGreeks("vega",$Q9,$P9,$G9,$I9,$C$3,$J9,$K9,$C$4)*R9</f>
        <v>-4.0381907987535612</v>
      </c>
      <c r="X9" s="6">
        <f>2000*U9</f>
        <v>49.073642190933242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225</v>
      </c>
      <c r="E11" s="8">
        <f t="shared" ca="1" si="0"/>
        <v>43186</v>
      </c>
      <c r="F11" s="8">
        <f t="shared" ref="F11:F12" ca="1" si="6">E11+H11</f>
        <v>43201</v>
      </c>
      <c r="G11" s="10">
        <v>278.35000000000002</v>
      </c>
      <c r="H11" s="10">
        <v>15</v>
      </c>
      <c r="I11" s="12">
        <f>(H11-2)/365</f>
        <v>3.5616438356164383E-2</v>
      </c>
      <c r="J11" s="12">
        <v>0</v>
      </c>
      <c r="K11" s="9">
        <v>0.09</v>
      </c>
      <c r="L11" s="13">
        <f>_xll.dnetGBlackScholesNGreeks("price",$Q11,$P11,$G11,$I11,$C$3,$J11,$K11,$C$4)*R11</f>
        <v>0.87088776951398472</v>
      </c>
      <c r="M11" s="15"/>
      <c r="N11" s="13">
        <f t="shared" ref="N11:N12" si="7">M11/10000*I11*P11</f>
        <v>0</v>
      </c>
      <c r="O11" s="13">
        <f t="shared" ref="O11:O12" si="8">IF(L11&lt;=0,ABS(L11)+N11,L11-N11)</f>
        <v>0.87088776951398472</v>
      </c>
      <c r="P11" s="11">
        <f>RTD("wdf.rtq",,D11,"LastPrice")</f>
        <v>275.8</v>
      </c>
      <c r="Q11" s="10" t="s">
        <v>39</v>
      </c>
      <c r="R11" s="10">
        <f t="shared" ref="R11:R12" si="9">IF(S11="中金买入",1,-1)</f>
        <v>1</v>
      </c>
      <c r="S11" s="10" t="s">
        <v>151</v>
      </c>
      <c r="T11" s="14">
        <f t="shared" ref="T11:T12" si="10">O11/P11</f>
        <v>3.1576786421826856E-3</v>
      </c>
      <c r="U11" s="13">
        <f>_xll.dnetGBlackScholesNGreeks("delta",$Q11,$P11,$G11,$I11,$C$3,$J11,$K11,$C$4)*R11</f>
        <v>0.29668220602303563</v>
      </c>
      <c r="V11" s="13">
        <f>_xll.dnetGBlackScholesNGreeks("vega",$Q11,$P11,$G11,$I11,$C$3,$J11,$K11,$C$4)*R11</f>
        <v>0.17969308503964498</v>
      </c>
      <c r="X11" s="6">
        <f>2000*U11</f>
        <v>593.36441204607127</v>
      </c>
    </row>
    <row r="12" spans="1:25" ht="10.5" customHeight="1" x14ac:dyDescent="0.15">
      <c r="A12" s="34"/>
      <c r="B12" s="13" t="s">
        <v>172</v>
      </c>
      <c r="C12" s="10" t="s">
        <v>161</v>
      </c>
      <c r="D12" s="10" t="s">
        <v>225</v>
      </c>
      <c r="E12" s="8">
        <f t="shared" ca="1" si="0"/>
        <v>43186</v>
      </c>
      <c r="F12" s="8">
        <f t="shared" ca="1" si="6"/>
        <v>43201</v>
      </c>
      <c r="G12" s="10">
        <v>274.95</v>
      </c>
      <c r="H12" s="10">
        <v>15</v>
      </c>
      <c r="I12" s="12">
        <f>(H12-2)/365</f>
        <v>3.5616438356164383E-2</v>
      </c>
      <c r="J12" s="12">
        <v>0</v>
      </c>
      <c r="K12" s="9">
        <v>0.09</v>
      </c>
      <c r="L12" s="13">
        <f>_xll.dnetGBlackScholesNGreeks("price",$Q12,$P12,$G12,$I12,$C$3,$J12,$K12,$C$4)*R12</f>
        <v>1.4706164316273913</v>
      </c>
      <c r="M12" s="15"/>
      <c r="N12" s="13">
        <f t="shared" si="7"/>
        <v>0</v>
      </c>
      <c r="O12" s="13">
        <f t="shared" si="8"/>
        <v>1.4706164316273913</v>
      </c>
      <c r="P12" s="11">
        <f>RTD("wdf.rtq",,D12,"LastPrice")</f>
        <v>275.8</v>
      </c>
      <c r="Q12" s="10" t="s">
        <v>85</v>
      </c>
      <c r="R12" s="10">
        <f t="shared" si="9"/>
        <v>1</v>
      </c>
      <c r="S12" s="10" t="s">
        <v>151</v>
      </c>
      <c r="T12" s="14">
        <f t="shared" si="10"/>
        <v>5.3321843061181701E-3</v>
      </c>
      <c r="U12" s="13">
        <f>_xll.dnetGBlackScholesNGreeks("delta",$Q12,$P12,$G12,$I12,$C$3,$J12,$K12,$C$4)*R12</f>
        <v>-0.42426504883295024</v>
      </c>
      <c r="V12" s="13">
        <f>_xll.dnetGBlackScholesNGreeks("vega",$Q12,$P12,$G12,$I12,$C$3,$J12,$K12,$C$4)*R12</f>
        <v>0.20373897073452696</v>
      </c>
      <c r="X12" s="6">
        <f>2000*U12</f>
        <v>-848.53009766590048</v>
      </c>
    </row>
    <row r="14" spans="1:25" ht="10.5" customHeight="1" x14ac:dyDescent="0.15">
      <c r="A14" s="34"/>
      <c r="B14" s="13" t="s">
        <v>172</v>
      </c>
      <c r="C14" s="10" t="s">
        <v>161</v>
      </c>
      <c r="D14" s="10" t="s">
        <v>228</v>
      </c>
      <c r="E14" s="8">
        <f t="shared" ca="1" si="0"/>
        <v>43186</v>
      </c>
      <c r="F14" s="8">
        <f t="shared" ref="F14:F15" ca="1" si="11">E14+H14</f>
        <v>43266</v>
      </c>
      <c r="G14" s="10">
        <v>17950</v>
      </c>
      <c r="H14" s="10">
        <v>80</v>
      </c>
      <c r="I14" s="12">
        <f>(H14-2)/365</f>
        <v>0.21369863013698631</v>
      </c>
      <c r="J14" s="12">
        <v>0</v>
      </c>
      <c r="K14" s="9">
        <v>0.125</v>
      </c>
      <c r="L14" s="13">
        <f>_xll.dnetGBlackScholesNGreeks("price",$Q14,$P14,$G14,$I14,$C$3,$J14,$K14,$C$4)*R14</f>
        <v>242.29215200173985</v>
      </c>
      <c r="M14" s="15">
        <v>30</v>
      </c>
      <c r="N14" s="13">
        <f t="shared" ref="N14:N15" si="12">M14/10000*I14*P14</f>
        <v>11.773726027397261</v>
      </c>
      <c r="O14" s="13">
        <f t="shared" ref="O14:O15" si="13">IF(L14&lt;=0,ABS(L14)+N14,L14-N14)</f>
        <v>230.51842597434259</v>
      </c>
      <c r="P14" s="11">
        <f>RTD("wdf.rtq",,D14,"LastPrice")</f>
        <v>18365</v>
      </c>
      <c r="Q14" s="10" t="s">
        <v>85</v>
      </c>
      <c r="R14" s="10">
        <f t="shared" ref="R14:R15" si="14">IF(S14="中金买入",1,-1)</f>
        <v>1</v>
      </c>
      <c r="S14" s="10" t="s">
        <v>151</v>
      </c>
      <c r="T14" s="14">
        <f t="shared" ref="T14:T15" si="15">O14/P14</f>
        <v>1.2552051509629326E-2</v>
      </c>
      <c r="U14" s="13">
        <f>_xll.dnetGBlackScholesNGreeks("delta",$Q14,$P14,$G14,$I14,$C$3,$J14,$K14,$C$4)*R14</f>
        <v>-0.33419072810829675</v>
      </c>
      <c r="V14" s="13">
        <f>_xll.dnetGBlackScholesNGreeks("vega",$Q14,$P14,$G14,$I14,$C$3,$J14,$K14,$C$4)*R14</f>
        <v>30.804828901071232</v>
      </c>
      <c r="X14" s="6">
        <f>2000*U14</f>
        <v>-668.38145621659351</v>
      </c>
    </row>
    <row r="15" spans="1:25" ht="10.5" customHeight="1" x14ac:dyDescent="0.15">
      <c r="A15" s="34"/>
      <c r="B15" s="13" t="s">
        <v>172</v>
      </c>
      <c r="C15" s="10" t="s">
        <v>161</v>
      </c>
      <c r="D15" s="10" t="s">
        <v>226</v>
      </c>
      <c r="E15" s="8">
        <f t="shared" ca="1" si="0"/>
        <v>43186</v>
      </c>
      <c r="F15" s="8">
        <f t="shared" ca="1" si="11"/>
        <v>43266</v>
      </c>
      <c r="G15" s="10">
        <v>13500</v>
      </c>
      <c r="H15" s="10">
        <v>80</v>
      </c>
      <c r="I15" s="12">
        <f>(H15-2)/365</f>
        <v>0.21369863013698631</v>
      </c>
      <c r="J15" s="12">
        <v>0</v>
      </c>
      <c r="K15" s="9">
        <v>0.17</v>
      </c>
      <c r="L15" s="13">
        <f>_xll.dnetGBlackScholesNGreeks("price",$Q15,$P15,$G15,$I15,$C$3,$J15,$K15,$C$4)*R15</f>
        <v>231.51455622533194</v>
      </c>
      <c r="M15" s="15"/>
      <c r="N15" s="13">
        <f t="shared" si="12"/>
        <v>0</v>
      </c>
      <c r="O15" s="13">
        <f t="shared" si="13"/>
        <v>231.51455622533194</v>
      </c>
      <c r="P15" s="11">
        <f>RTD("wdf.rtq",,D15,"LastPrice")</f>
        <v>13980</v>
      </c>
      <c r="Q15" s="10" t="s">
        <v>85</v>
      </c>
      <c r="R15" s="10">
        <f t="shared" si="14"/>
        <v>1</v>
      </c>
      <c r="S15" s="10" t="s">
        <v>151</v>
      </c>
      <c r="T15" s="14">
        <f t="shared" si="15"/>
        <v>1.6560411747162513E-2</v>
      </c>
      <c r="U15" s="13">
        <f>_xll.dnetGBlackScholesNGreeks("delta",$Q15,$P15,$G15,$I15,$C$3,$J15,$K15,$C$4)*R15</f>
        <v>-0.31289804937841836</v>
      </c>
      <c r="V15" s="13">
        <f>_xll.dnetGBlackScholesNGreeks("vega",$Q15,$P15,$G15,$I15,$C$3,$J15,$K15,$C$4)*R15</f>
        <v>22.828692861635318</v>
      </c>
      <c r="X15" s="6">
        <f>2000*U15</f>
        <v>-625.79609875683673</v>
      </c>
    </row>
    <row r="16" spans="1:25" ht="10.5" customHeight="1" x14ac:dyDescent="0.15">
      <c r="A16" s="34"/>
      <c r="B16" s="13" t="s">
        <v>172</v>
      </c>
      <c r="C16" s="10" t="s">
        <v>161</v>
      </c>
      <c r="D16" s="10" t="s">
        <v>226</v>
      </c>
      <c r="E16" s="8">
        <f t="shared" ca="1" si="0"/>
        <v>43186</v>
      </c>
      <c r="F16" s="8">
        <f t="shared" ref="F16:F17" ca="1" si="16">E16+H16</f>
        <v>43266</v>
      </c>
      <c r="G16" s="10">
        <v>14300</v>
      </c>
      <c r="H16" s="10">
        <v>80</v>
      </c>
      <c r="I16" s="12">
        <f>(H16-2)/365</f>
        <v>0.21369863013698631</v>
      </c>
      <c r="J16" s="12">
        <v>0</v>
      </c>
      <c r="K16" s="9">
        <f>K15+0.02</f>
        <v>0.19</v>
      </c>
      <c r="L16" s="13">
        <f>_xll.dnetGBlackScholesNGreeks("price",$Q16,$P16,$G16,$I16,$C$3,$J16,$K16,$C$4)*R16</f>
        <v>-350.14812189741679</v>
      </c>
      <c r="M16" s="15">
        <v>50</v>
      </c>
      <c r="N16" s="13">
        <f t="shared" ref="N16:N17" si="17">M16/10000*I16*P16</f>
        <v>14.937534246575343</v>
      </c>
      <c r="O16" s="13">
        <f t="shared" ref="O16:O17" si="18">IF(L16&lt;=0,ABS(L16)+N16,L16-N16)</f>
        <v>365.08565614399214</v>
      </c>
      <c r="P16" s="11">
        <f>RTD("wdf.rtq",,D16,"LastPrice")</f>
        <v>13980</v>
      </c>
      <c r="Q16" s="10" t="s">
        <v>39</v>
      </c>
      <c r="R16" s="10">
        <f t="shared" ref="R16:R17" si="19">IF(S16="中金买入",1,-1)</f>
        <v>-1</v>
      </c>
      <c r="S16" s="10" t="s">
        <v>20</v>
      </c>
      <c r="T16" s="14">
        <f t="shared" ref="T16:T17" si="20">O16/P16</f>
        <v>2.6114853801430051E-2</v>
      </c>
      <c r="U16" s="13">
        <f>_xll.dnetGBlackScholesNGreeks("delta",$Q16,$P16,$G16,$I16,$C$3,$J16,$K16,$C$4)*R16</f>
        <v>-0.41359784740961913</v>
      </c>
      <c r="V16" s="13">
        <f>_xll.dnetGBlackScholesNGreeks("vega",$Q16,$P16,$G16,$I16,$C$3,$J16,$K16,$C$4)*R16</f>
        <v>-25.090002076252858</v>
      </c>
      <c r="X16" s="6">
        <f>2000*U16</f>
        <v>-827.19569481923827</v>
      </c>
    </row>
    <row r="17" spans="1:24" ht="10.5" customHeight="1" x14ac:dyDescent="0.15">
      <c r="A17" s="34"/>
      <c r="B17" s="13" t="s">
        <v>172</v>
      </c>
      <c r="C17" s="10" t="s">
        <v>161</v>
      </c>
      <c r="D17" s="10" t="s">
        <v>226</v>
      </c>
      <c r="E17" s="8">
        <f t="shared" ca="1" si="0"/>
        <v>43186</v>
      </c>
      <c r="F17" s="8">
        <f t="shared" ca="1" si="16"/>
        <v>43266</v>
      </c>
      <c r="G17" s="10">
        <v>13500</v>
      </c>
      <c r="H17" s="10">
        <v>80</v>
      </c>
      <c r="I17" s="12">
        <f>(H17-2)/365</f>
        <v>0.21369863013698631</v>
      </c>
      <c r="J17" s="12">
        <v>0</v>
      </c>
      <c r="K17" s="9">
        <v>0.17</v>
      </c>
      <c r="L17" s="13">
        <f>_xll.dnetGBlackScholesNGreeks("price",$Q17,$P17,$G17,$I17,$C$3,$J17,$K17,$C$4)*R17</f>
        <v>231.51455622533194</v>
      </c>
      <c r="M17" s="15"/>
      <c r="N17" s="13">
        <f t="shared" si="17"/>
        <v>0</v>
      </c>
      <c r="O17" s="13">
        <f t="shared" si="18"/>
        <v>231.51455622533194</v>
      </c>
      <c r="P17" s="11">
        <f>RTD("wdf.rtq",,D17,"LastPrice")</f>
        <v>13980</v>
      </c>
      <c r="Q17" s="10" t="s">
        <v>85</v>
      </c>
      <c r="R17" s="10">
        <f t="shared" si="19"/>
        <v>1</v>
      </c>
      <c r="S17" s="10" t="s">
        <v>151</v>
      </c>
      <c r="T17" s="14">
        <f t="shared" si="20"/>
        <v>1.6560411747162513E-2</v>
      </c>
      <c r="U17" s="13">
        <f>_xll.dnetGBlackScholesNGreeks("delta",$Q17,$P17,$G17,$I17,$C$3,$J17,$K17,$C$4)*R17</f>
        <v>-0.31289804937841836</v>
      </c>
      <c r="V17" s="13">
        <f>_xll.dnetGBlackScholesNGreeks("vega",$Q17,$P17,$G17,$I17,$C$3,$J17,$K17,$C$4)*R17</f>
        <v>22.828692861635318</v>
      </c>
      <c r="X17" s="6">
        <f>2000*U17</f>
        <v>-625.79609875683673</v>
      </c>
    </row>
    <row r="18" spans="1:24" ht="10.5" customHeight="1" x14ac:dyDescent="0.15">
      <c r="A18" s="34"/>
      <c r="B18" s="13" t="s">
        <v>172</v>
      </c>
      <c r="C18" s="10" t="s">
        <v>161</v>
      </c>
      <c r="D18" s="10" t="s">
        <v>226</v>
      </c>
      <c r="E18" s="8">
        <f t="shared" ca="1" si="0"/>
        <v>43186</v>
      </c>
      <c r="F18" s="8">
        <f t="shared" ref="F18" ca="1" si="21">E18+H18</f>
        <v>43266</v>
      </c>
      <c r="G18" s="10">
        <v>14300</v>
      </c>
      <c r="H18" s="10">
        <v>80</v>
      </c>
      <c r="I18" s="12">
        <f>(H18-2)/365</f>
        <v>0.21369863013698631</v>
      </c>
      <c r="J18" s="12">
        <v>0</v>
      </c>
      <c r="K18" s="9">
        <f>K17+0.02</f>
        <v>0.19</v>
      </c>
      <c r="L18" s="13">
        <f>_xll.dnetGBlackScholesNGreeks("price",$Q18,$P18,$G18,$I18,$C$3,$J18,$K18,$C$4)*R18</f>
        <v>-350.14812189741679</v>
      </c>
      <c r="M18" s="15">
        <v>50</v>
      </c>
      <c r="N18" s="13">
        <f t="shared" ref="N18" si="22">M18/10000*I18*P18</f>
        <v>14.937534246575343</v>
      </c>
      <c r="O18" s="13">
        <f t="shared" ref="O18" si="23">IF(L18&lt;=0,ABS(L18)+N18,L18-N18)</f>
        <v>365.08565614399214</v>
      </c>
      <c r="P18" s="11">
        <f>RTD("wdf.rtq",,D18,"LastPrice")</f>
        <v>13980</v>
      </c>
      <c r="Q18" s="10" t="s">
        <v>39</v>
      </c>
      <c r="R18" s="10">
        <f t="shared" ref="R18" si="24">IF(S18="中金买入",1,-1)</f>
        <v>-1</v>
      </c>
      <c r="S18" s="10" t="s">
        <v>20</v>
      </c>
      <c r="T18" s="14">
        <f t="shared" ref="T18" si="25">O18/P18</f>
        <v>2.6114853801430051E-2</v>
      </c>
      <c r="U18" s="13">
        <f>_xll.dnetGBlackScholesNGreeks("delta",$Q18,$P18,$G18,$I18,$C$3,$J18,$K18,$C$4)*R18</f>
        <v>-0.41359784740961913</v>
      </c>
      <c r="V18" s="13">
        <f>_xll.dnetGBlackScholesNGreeks("vega",$Q18,$P18,$G18,$I18,$C$3,$J18,$K18,$C$4)*R18</f>
        <v>-25.090002076252858</v>
      </c>
      <c r="X18" s="6">
        <f>2000*U18</f>
        <v>-827.19569481923827</v>
      </c>
    </row>
    <row r="19" spans="1:24" x14ac:dyDescent="0.15">
      <c r="N19" s="13">
        <f>ABS(L20)+N16</f>
        <v>107.82187089840254</v>
      </c>
    </row>
    <row r="20" spans="1:24" ht="10.5" customHeight="1" x14ac:dyDescent="0.15">
      <c r="A20" s="34"/>
      <c r="B20" s="13" t="s">
        <v>172</v>
      </c>
      <c r="C20" s="10" t="s">
        <v>161</v>
      </c>
      <c r="D20" s="10" t="s">
        <v>233</v>
      </c>
      <c r="E20" s="8">
        <f t="shared" ca="1" si="0"/>
        <v>43186</v>
      </c>
      <c r="F20" s="8">
        <f t="shared" ref="F20:F21" ca="1" si="26">E20+H20</f>
        <v>43400</v>
      </c>
      <c r="G20" s="10">
        <v>3000</v>
      </c>
      <c r="H20" s="10">
        <v>214</v>
      </c>
      <c r="I20" s="12">
        <f>(H20)/365</f>
        <v>0.58630136986301373</v>
      </c>
      <c r="J20" s="12">
        <v>0</v>
      </c>
      <c r="K20" s="9">
        <v>0.28999999999999998</v>
      </c>
      <c r="L20" s="13">
        <f>_xll.dnetGBlackScholesNGreeks("price",$Q20,$P20,$G20,$I20,$C$3,$J20,$K20,$C$4)*R20</f>
        <v>-92.884336651827198</v>
      </c>
      <c r="M20" s="15"/>
      <c r="N20" s="13">
        <f t="shared" ref="N20:N21" si="27">M20/10000*I20*P20</f>
        <v>0</v>
      </c>
      <c r="O20" s="13">
        <f t="shared" ref="O20:O21" si="28">IF(L20&lt;=0,ABS(L20)+N20,L20-N20)</f>
        <v>92.884336651827198</v>
      </c>
      <c r="P20" s="11">
        <f>RTD("wdf.rtq",,D20,"LastPrice")</f>
        <v>2590</v>
      </c>
      <c r="Q20" s="10" t="s">
        <v>39</v>
      </c>
      <c r="R20" s="10">
        <f t="shared" ref="R20:R21" si="29">IF(S20="中金买入",1,-1)</f>
        <v>-1</v>
      </c>
      <c r="S20" s="10" t="s">
        <v>20</v>
      </c>
      <c r="T20" s="14">
        <f t="shared" ref="T20:T21" si="30">O20/P20</f>
        <v>3.5862678243948724E-2</v>
      </c>
      <c r="U20" s="13">
        <f>_xll.dnetGBlackScholesNGreeks("delta",$Q20,$P20,$G20,$I20,$C$3,$J20,$K20,$C$4)*R20</f>
        <v>-0.28750485065529574</v>
      </c>
      <c r="V20" s="13">
        <f>_xll.dnetGBlackScholesNGreeks("vega",$Q20,$P20,$G20,$I20,$C$3,$J20,$K20,$C$4)*R20</f>
        <v>-6.7175084911280578</v>
      </c>
      <c r="X20" s="6">
        <f>2000*U20</f>
        <v>-575.00970131059148</v>
      </c>
    </row>
    <row r="21" spans="1:24" ht="10.5" customHeight="1" x14ac:dyDescent="0.15">
      <c r="A21" s="34"/>
      <c r="B21" s="13" t="s">
        <v>172</v>
      </c>
      <c r="C21" s="10" t="s">
        <v>161</v>
      </c>
      <c r="D21" s="10" t="s">
        <v>235</v>
      </c>
      <c r="E21" s="8">
        <f t="shared" ca="1" si="0"/>
        <v>43186</v>
      </c>
      <c r="F21" s="8">
        <f t="shared" ca="1" si="26"/>
        <v>43400</v>
      </c>
      <c r="G21" s="10">
        <v>2650</v>
      </c>
      <c r="H21" s="10">
        <v>214</v>
      </c>
      <c r="I21" s="12">
        <f>(H21)/365</f>
        <v>0.58630136986301373</v>
      </c>
      <c r="J21" s="12">
        <v>0</v>
      </c>
      <c r="K21" s="9">
        <v>0.28999999999999998</v>
      </c>
      <c r="L21" s="13">
        <f>_xll.dnetGBlackScholesNGreeks("price",$Q21,$P21,$G21,$I21,$C$3,$J21,$K21,$C$4)*R21</f>
        <v>-126.44092558921341</v>
      </c>
      <c r="M21" s="15"/>
      <c r="N21" s="13">
        <f t="shared" si="27"/>
        <v>0</v>
      </c>
      <c r="O21" s="13">
        <f t="shared" si="28"/>
        <v>126.44092558921341</v>
      </c>
      <c r="P21" s="11">
        <f>RTD("wdf.rtq",,D21,"LastPrice")</f>
        <v>2942</v>
      </c>
      <c r="Q21" s="10" t="s">
        <v>85</v>
      </c>
      <c r="R21" s="10">
        <f t="shared" si="29"/>
        <v>-1</v>
      </c>
      <c r="S21" s="10" t="s">
        <v>20</v>
      </c>
      <c r="T21" s="14">
        <f t="shared" si="30"/>
        <v>4.2977880893682326E-2</v>
      </c>
      <c r="U21" s="13">
        <f>_xll.dnetGBlackScholesNGreeks("delta",$Q21,$P21,$G21,$I21,$C$3,$J21,$K21,$C$4)*R21</f>
        <v>0.2770930227768531</v>
      </c>
      <c r="V21" s="13">
        <f>_xll.dnetGBlackScholesNGreeks("vega",$Q21,$P21,$G21,$I21,$C$3,$J21,$K21,$C$4)*R21</f>
        <v>-7.4984521448441228</v>
      </c>
      <c r="X21" s="6">
        <f>2000*U21</f>
        <v>554.18604555370621</v>
      </c>
    </row>
    <row r="23" spans="1:24" ht="10.5" customHeight="1" x14ac:dyDescent="0.15">
      <c r="A23" s="34"/>
      <c r="B23" s="13" t="s">
        <v>172</v>
      </c>
      <c r="C23" s="10" t="s">
        <v>161</v>
      </c>
      <c r="D23" s="10" t="s">
        <v>235</v>
      </c>
      <c r="E23" s="8">
        <f t="shared" ca="1" si="0"/>
        <v>43186</v>
      </c>
      <c r="F23" s="8">
        <f t="shared" ref="F23" ca="1" si="31">E23+H23</f>
        <v>43278</v>
      </c>
      <c r="G23" s="10">
        <v>100</v>
      </c>
      <c r="H23" s="10">
        <v>92</v>
      </c>
      <c r="I23" s="12">
        <f>(H23)/365</f>
        <v>0.25205479452054796</v>
      </c>
      <c r="J23" s="12">
        <v>-0.05</v>
      </c>
      <c r="K23" s="9">
        <v>0.315</v>
      </c>
      <c r="L23" s="13">
        <f>_xll.dnetGBlackScholesNGreeks("price",$Q23,$P23,$G23,$I23,$C$3,$J23,$K23,$C$4)*R23</f>
        <v>-5.6282837193732576</v>
      </c>
      <c r="M23" s="15"/>
      <c r="N23" s="13">
        <f t="shared" ref="N23" si="32">M23/10000*I23*P23</f>
        <v>0</v>
      </c>
      <c r="O23" s="13">
        <f t="shared" ref="O23" si="33">IF(L23&lt;=0,ABS(L23)+N23,L23-N23)</f>
        <v>5.6282837193732576</v>
      </c>
      <c r="P23" s="11">
        <v>100</v>
      </c>
      <c r="Q23" s="10" t="s">
        <v>39</v>
      </c>
      <c r="R23" s="10">
        <f t="shared" ref="R23" si="34">IF(S23="中金买入",1,-1)</f>
        <v>-1</v>
      </c>
      <c r="S23" s="10" t="s">
        <v>20</v>
      </c>
      <c r="T23" s="14">
        <f t="shared" ref="T23" si="35">O23/P23</f>
        <v>5.6282837193732574E-2</v>
      </c>
      <c r="U23" s="13">
        <f>_xll.dnetGBlackScholesNGreeks("delta",$Q23,$P23,$G23,$I23,$C$3,$J23,$K23,$C$4)*R23</f>
        <v>-0.491013370199056</v>
      </c>
      <c r="V23" s="13">
        <f>_xll.dnetGBlackScholesNGreeks("vega",$Q23,$P23,$G23,$I23,$C$3,$J23,$K23,$C$4)*R23</f>
        <v>-0.19678545564348582</v>
      </c>
      <c r="X23" s="6">
        <f>2000*U23</f>
        <v>-982.026740398112</v>
      </c>
    </row>
    <row r="24" spans="1:24" ht="9.75" customHeight="1" x14ac:dyDescent="0.15">
      <c r="A24" s="34"/>
      <c r="B24" s="13" t="s">
        <v>172</v>
      </c>
      <c r="C24" s="10" t="s">
        <v>161</v>
      </c>
      <c r="D24" s="10" t="s">
        <v>235</v>
      </c>
      <c r="E24" s="8">
        <f t="shared" ca="1" si="0"/>
        <v>43186</v>
      </c>
      <c r="F24" s="8">
        <f t="shared" ref="F24" ca="1" si="36">E24+H24</f>
        <v>43278</v>
      </c>
      <c r="G24" s="10">
        <v>115</v>
      </c>
      <c r="H24" s="10">
        <v>92</v>
      </c>
      <c r="I24" s="12">
        <f>(H24)/365</f>
        <v>0.25205479452054796</v>
      </c>
      <c r="J24" s="12">
        <v>-0.05</v>
      </c>
      <c r="K24" s="9">
        <f>K23-0.03</f>
        <v>0.28500000000000003</v>
      </c>
      <c r="L24" s="13">
        <f>_xll.dnetGBlackScholesNGreeks("price",$Q24,$P24,$G24,$I24,$C$3,$J24,$K24,$C$4)*R24</f>
        <v>-1.1135759431340162</v>
      </c>
      <c r="M24" s="15"/>
      <c r="N24" s="13">
        <f t="shared" ref="N24" si="37">M24/10000*I24*P24</f>
        <v>0</v>
      </c>
      <c r="O24" s="13">
        <f t="shared" ref="O24" si="38">IF(L24&lt;=0,ABS(L24)+N24,L24-N24)</f>
        <v>1.1135759431340162</v>
      </c>
      <c r="P24" s="11">
        <v>100</v>
      </c>
      <c r="Q24" s="10" t="s">
        <v>39</v>
      </c>
      <c r="R24" s="10">
        <f t="shared" ref="R24" si="39">IF(S24="中金买入",1,-1)</f>
        <v>-1</v>
      </c>
      <c r="S24" s="10" t="s">
        <v>20</v>
      </c>
      <c r="T24" s="14">
        <f t="shared" ref="T24" si="40">O24/P24</f>
        <v>1.1135759431340162E-2</v>
      </c>
      <c r="U24" s="13">
        <f>_xll.dnetGBlackScholesNGreeks("delta",$Q24,$P24,$G24,$I24,$C$3,$J24,$K24,$C$4)*R24</f>
        <v>-0.15747478228247402</v>
      </c>
      <c r="V24" s="13">
        <f>_xll.dnetGBlackScholesNGreeks("vega",$Q24,$P24,$G24,$I24,$C$3,$J24,$K24,$C$4)*R24</f>
        <v>-0.12010208344475082</v>
      </c>
      <c r="X24" s="6">
        <f>2000*U24</f>
        <v>-314.94956456494805</v>
      </c>
    </row>
    <row r="25" spans="1:24" ht="10.5" customHeight="1" x14ac:dyDescent="0.15">
      <c r="A25" s="34"/>
      <c r="B25" s="13" t="s">
        <v>172</v>
      </c>
      <c r="C25" s="10" t="s">
        <v>161</v>
      </c>
      <c r="D25" s="10" t="s">
        <v>235</v>
      </c>
      <c r="E25" s="8">
        <f t="shared" ca="1" si="0"/>
        <v>43186</v>
      </c>
      <c r="F25" s="8">
        <f t="shared" ref="F25" ca="1" si="41">E25+H25</f>
        <v>43278</v>
      </c>
      <c r="G25" s="10">
        <v>120</v>
      </c>
      <c r="H25" s="10">
        <v>92</v>
      </c>
      <c r="I25" s="12">
        <f>(H25)/365</f>
        <v>0.25205479452054796</v>
      </c>
      <c r="J25" s="12">
        <v>-0.05</v>
      </c>
      <c r="K25" s="9">
        <v>0.26</v>
      </c>
      <c r="L25" s="13">
        <f>_xll.dnetGBlackScholesNGreeks("price",$Q25,$P25,$G25,$I25,$C$3,$J25,$K25,$C$4)*R25</f>
        <v>-0.42006633204825139</v>
      </c>
      <c r="M25" s="15"/>
      <c r="N25" s="13">
        <f t="shared" ref="N25" si="42">M25/10000*I25*P25</f>
        <v>0</v>
      </c>
      <c r="O25" s="13">
        <f t="shared" ref="O25" si="43">IF(L25&lt;=0,ABS(L25)+N25,L25-N25)</f>
        <v>0.42006633204825139</v>
      </c>
      <c r="P25" s="11">
        <v>100</v>
      </c>
      <c r="Q25" s="10" t="s">
        <v>39</v>
      </c>
      <c r="R25" s="10">
        <f t="shared" ref="R25" si="44">IF(S25="中金买入",1,-1)</f>
        <v>-1</v>
      </c>
      <c r="S25" s="10" t="s">
        <v>20</v>
      </c>
      <c r="T25" s="14">
        <f t="shared" ref="T25" si="45">O25/P25</f>
        <v>4.2006633204825141E-3</v>
      </c>
      <c r="U25" s="13">
        <f>_xll.dnetGBlackScholesNGreeks("delta",$Q25,$P25,$G25,$I25,$C$3,$J25,$K25,$C$4)*R25</f>
        <v>-7.5301686357320818E-2</v>
      </c>
      <c r="V25" s="13">
        <f>_xll.dnetGBlackScholesNGreeks("vega",$Q25,$P25,$G25,$I25,$C$3,$J25,$K25,$C$4)*R25</f>
        <v>-7.0956016193899352E-2</v>
      </c>
      <c r="X25" s="6">
        <f>2000*U25</f>
        <v>-150.60337271464164</v>
      </c>
    </row>
    <row r="27" spans="1:24" ht="10.5" customHeight="1" x14ac:dyDescent="0.15">
      <c r="A27" s="34"/>
      <c r="B27" s="13" t="s">
        <v>172</v>
      </c>
      <c r="C27" s="10" t="s">
        <v>161</v>
      </c>
      <c r="D27" s="10" t="s">
        <v>235</v>
      </c>
      <c r="E27" s="8">
        <f t="shared" ca="1" si="0"/>
        <v>43186</v>
      </c>
      <c r="F27" s="8">
        <f t="shared" ref="F27:F28" ca="1" si="46">E27+H27</f>
        <v>43278</v>
      </c>
      <c r="G27" s="10">
        <v>100</v>
      </c>
      <c r="H27" s="10">
        <v>92</v>
      </c>
      <c r="I27" s="12">
        <f>(H27)/365</f>
        <v>0.25205479452054796</v>
      </c>
      <c r="J27" s="12">
        <v>0</v>
      </c>
      <c r="K27" s="9">
        <v>0.13500000000000001</v>
      </c>
      <c r="L27" s="13">
        <f>_xll.dnetGBlackScholesNGreeks("price",$Q27,$P27,$G27,$I27,$C$3,$J27,$K27,$C$4)*R27</f>
        <v>-2.6897931066414458</v>
      </c>
      <c r="M27" s="15"/>
      <c r="N27" s="13">
        <f t="shared" ref="N27:N28" si="47">M27/10000*I27*P27</f>
        <v>0</v>
      </c>
      <c r="O27" s="13">
        <f t="shared" ref="O27:O28" si="48">IF(L27&lt;=0,ABS(L27)+N27,L27-N27)</f>
        <v>2.6897931066414458</v>
      </c>
      <c r="P27" s="11">
        <v>100</v>
      </c>
      <c r="Q27" s="10" t="s">
        <v>39</v>
      </c>
      <c r="R27" s="10">
        <f t="shared" ref="R27:R28" si="49">IF(S27="中金买入",1,-1)</f>
        <v>-1</v>
      </c>
      <c r="S27" s="10" t="s">
        <v>20</v>
      </c>
      <c r="T27" s="14">
        <f t="shared" ref="T27:T28" si="50">O27/P27</f>
        <v>2.6897931066414457E-2</v>
      </c>
      <c r="U27" s="13">
        <f>_xll.dnetGBlackScholesNGreeks("delta",$Q27,$P27,$G27,$I27,$C$3,$J27,$K27,$C$4)*R27</f>
        <v>-0.51093474545496065</v>
      </c>
      <c r="V27" s="13">
        <f>_xll.dnetGBlackScholesNGreeks("vega",$Q27,$P27,$G27,$I27,$C$3,$J27,$K27,$C$4)*R27</f>
        <v>-0.19916746435709953</v>
      </c>
      <c r="X27" s="6">
        <f>2000*U27</f>
        <v>-1021.8694909099213</v>
      </c>
    </row>
    <row r="28" spans="1:24" ht="10.5" customHeight="1" x14ac:dyDescent="0.15">
      <c r="A28" s="34"/>
      <c r="B28" s="13" t="s">
        <v>172</v>
      </c>
      <c r="C28" s="10" t="s">
        <v>161</v>
      </c>
      <c r="D28" s="10" t="s">
        <v>235</v>
      </c>
      <c r="E28" s="8">
        <f t="shared" ca="1" si="0"/>
        <v>43186</v>
      </c>
      <c r="F28" s="8">
        <f t="shared" ca="1" si="46"/>
        <v>43278</v>
      </c>
      <c r="G28" s="10">
        <v>103.4</v>
      </c>
      <c r="H28" s="10">
        <v>92</v>
      </c>
      <c r="I28" s="12">
        <f>(H28)/365</f>
        <v>0.25205479452054796</v>
      </c>
      <c r="J28" s="12">
        <v>0</v>
      </c>
      <c r="K28" s="9">
        <v>0.125</v>
      </c>
      <c r="L28" s="13">
        <f>_xll.dnetGBlackScholesNGreeks("price",$Q28,$P28,$G28,$I28,$C$3,$J28,$K28,$C$4)*R28</f>
        <v>-1.1925663375866513</v>
      </c>
      <c r="M28" s="15"/>
      <c r="N28" s="13">
        <f t="shared" si="47"/>
        <v>0</v>
      </c>
      <c r="O28" s="13">
        <f t="shared" si="48"/>
        <v>1.1925663375866513</v>
      </c>
      <c r="P28" s="11">
        <v>100</v>
      </c>
      <c r="Q28" s="10" t="s">
        <v>39</v>
      </c>
      <c r="R28" s="10">
        <f t="shared" si="49"/>
        <v>-1</v>
      </c>
      <c r="S28" s="10" t="s">
        <v>20</v>
      </c>
      <c r="T28" s="14">
        <f t="shared" si="50"/>
        <v>1.1925663375866513E-2</v>
      </c>
      <c r="U28" s="13">
        <f>_xll.dnetGBlackScholesNGreeks("delta",$Q28,$P28,$G28,$I28,$C$3,$J28,$K28,$C$4)*R28</f>
        <v>-0.30649826673858627</v>
      </c>
      <c r="V28" s="13">
        <f>_xll.dnetGBlackScholesNGreeks("vega",$Q28,$P28,$G28,$I28,$C$3,$J28,$K28,$C$4)*R28</f>
        <v>-0.17559766764989426</v>
      </c>
      <c r="X28" s="6">
        <f>2000*U28</f>
        <v>-612.99653347717253</v>
      </c>
    </row>
    <row r="29" spans="1:24" x14ac:dyDescent="0.15">
      <c r="L29" s="120"/>
    </row>
    <row r="30" spans="1:24" ht="10.5" customHeight="1" x14ac:dyDescent="0.15">
      <c r="A30" s="34"/>
      <c r="B30" s="13" t="s">
        <v>172</v>
      </c>
      <c r="C30" s="10" t="s">
        <v>161</v>
      </c>
      <c r="D30" s="10" t="s">
        <v>236</v>
      </c>
      <c r="E30" s="8">
        <f t="shared" ca="1" si="0"/>
        <v>43186</v>
      </c>
      <c r="F30" s="8">
        <f t="shared" ref="F30:F31" ca="1" si="51">E30+H30</f>
        <v>43216</v>
      </c>
      <c r="G30" s="10">
        <v>98</v>
      </c>
      <c r="H30" s="10">
        <v>30</v>
      </c>
      <c r="I30" s="12">
        <f>(H30)/365</f>
        <v>8.2191780821917804E-2</v>
      </c>
      <c r="J30" s="12">
        <v>0</v>
      </c>
      <c r="K30" s="9">
        <v>0.13500000000000001</v>
      </c>
      <c r="L30" s="13">
        <f>_xll.dnetGBlackScholesNGreeks("price",$Q30,$P30,$G30,$I30,$C$3,$J30,$K30,$C$4)*R30</f>
        <v>-0.73090105154552276</v>
      </c>
      <c r="M30" s="15"/>
      <c r="N30" s="13">
        <f t="shared" ref="N30:N31" si="52">M30/10000*I30*P30</f>
        <v>0</v>
      </c>
      <c r="O30" s="13">
        <f t="shared" ref="O30:O31" si="53">IF(L30&lt;=0,ABS(L30)+N30,L30-N30)</f>
        <v>0.73090105154552276</v>
      </c>
      <c r="P30" s="11">
        <v>100</v>
      </c>
      <c r="Q30" s="10" t="s">
        <v>85</v>
      </c>
      <c r="R30" s="10">
        <f t="shared" ref="R30:R31" si="54">IF(S30="中金买入",1,-1)</f>
        <v>-1</v>
      </c>
      <c r="S30" s="10" t="s">
        <v>20</v>
      </c>
      <c r="T30" s="14">
        <f t="shared" ref="T30:T31" si="55">O30/P30</f>
        <v>7.3090105154552274E-3</v>
      </c>
      <c r="U30" s="13">
        <f>_xll.dnetGBlackScholesNGreeks("delta",$Q30,$P30,$G30,$I30,$C$3,$J30,$K30,$C$4)*R30</f>
        <v>0.29365340477358615</v>
      </c>
      <c r="V30" s="13">
        <f>_xll.dnetGBlackScholesNGreeks("vega",$Q30,$P30,$G30,$I30,$C$3,$J30,$K30,$C$4)*R30</f>
        <v>-9.8554994231839999E-2</v>
      </c>
      <c r="X30" s="6">
        <f>2000*U30</f>
        <v>587.30680954717229</v>
      </c>
    </row>
    <row r="31" spans="1:24" ht="10.5" customHeight="1" x14ac:dyDescent="0.15">
      <c r="A31" s="34"/>
      <c r="B31" s="13" t="s">
        <v>172</v>
      </c>
      <c r="C31" s="10" t="s">
        <v>161</v>
      </c>
      <c r="D31" s="10" t="s">
        <v>236</v>
      </c>
      <c r="E31" s="8">
        <f t="shared" ca="1" si="0"/>
        <v>43186</v>
      </c>
      <c r="F31" s="8">
        <f t="shared" ca="1" si="51"/>
        <v>43226</v>
      </c>
      <c r="G31" s="10">
        <v>102</v>
      </c>
      <c r="H31" s="10">
        <v>40</v>
      </c>
      <c r="I31" s="12">
        <f>(H31)/365</f>
        <v>0.1095890410958904</v>
      </c>
      <c r="J31" s="12">
        <v>0</v>
      </c>
      <c r="K31" s="9">
        <v>0.125</v>
      </c>
      <c r="L31" s="13">
        <f>_xll.dnetGBlackScholesNGreeks("price",$Q31,$P31,$G31,$I31,$C$3,$J31,$K31,$C$4)*R31</f>
        <v>0.85266473897004502</v>
      </c>
      <c r="M31" s="15"/>
      <c r="N31" s="13">
        <f t="shared" si="52"/>
        <v>0</v>
      </c>
      <c r="O31" s="13">
        <f t="shared" si="53"/>
        <v>0.85266473897004502</v>
      </c>
      <c r="P31" s="11">
        <v>100</v>
      </c>
      <c r="Q31" s="10" t="s">
        <v>39</v>
      </c>
      <c r="R31" s="10">
        <f t="shared" si="54"/>
        <v>1</v>
      </c>
      <c r="S31" s="10" t="s">
        <v>151</v>
      </c>
      <c r="T31" s="14">
        <f t="shared" si="55"/>
        <v>8.5266473897004508E-3</v>
      </c>
      <c r="U31" s="13">
        <f>_xll.dnetGBlackScholesNGreeks("delta",$Q31,$P31,$G31,$I31,$C$3,$J31,$K31,$C$4)*R31</f>
        <v>0.32281763136090547</v>
      </c>
      <c r="V31" s="13">
        <f>_xll.dnetGBlackScholesNGreeks("vega",$Q31,$P31,$G31,$I31,$C$3,$J31,$K31,$C$4)*R31</f>
        <v>0.11858333902710605</v>
      </c>
      <c r="X31" s="6">
        <f>2000*U31</f>
        <v>645.63526272181093</v>
      </c>
    </row>
    <row r="33" spans="1:24" ht="10.5" customHeight="1" x14ac:dyDescent="0.15">
      <c r="A33" s="34"/>
      <c r="B33" s="13" t="s">
        <v>172</v>
      </c>
      <c r="C33" s="10" t="s">
        <v>161</v>
      </c>
      <c r="D33" s="10" t="s">
        <v>236</v>
      </c>
      <c r="E33" s="8">
        <f t="shared" ca="1" si="0"/>
        <v>43186</v>
      </c>
      <c r="F33" s="8">
        <f t="shared" ref="F33:F34" ca="1" si="56">E33+H33</f>
        <v>43276</v>
      </c>
      <c r="G33" s="10">
        <v>98</v>
      </c>
      <c r="H33" s="10">
        <v>90</v>
      </c>
      <c r="I33" s="12">
        <f>(H33)/365</f>
        <v>0.24657534246575341</v>
      </c>
      <c r="J33" s="12">
        <v>0</v>
      </c>
      <c r="K33" s="9">
        <v>0.13500000000000001</v>
      </c>
      <c r="L33" s="13">
        <f>_xll.dnetGBlackScholesNGreeks("price",$Q33,$P33,$G33,$I33,$C$3,$J33,$K33,$C$4)*R33</f>
        <v>-1.7576836156372337</v>
      </c>
      <c r="M33" s="15"/>
      <c r="N33" s="13">
        <f t="shared" ref="N33:N34" si="57">M33/10000*I33*P33</f>
        <v>0</v>
      </c>
      <c r="O33" s="13">
        <f t="shared" ref="O33:O34" si="58">IF(L33&lt;=0,ABS(L33)+N33,L33-N33)</f>
        <v>1.7576836156372337</v>
      </c>
      <c r="P33" s="11">
        <v>100</v>
      </c>
      <c r="Q33" s="10" t="s">
        <v>85</v>
      </c>
      <c r="R33" s="10">
        <f t="shared" ref="R33:R34" si="59">IF(S33="中金买入",1,-1)</f>
        <v>-1</v>
      </c>
      <c r="S33" s="10" t="s">
        <v>20</v>
      </c>
      <c r="T33" s="14">
        <f t="shared" ref="T33:T34" si="60">O33/P33</f>
        <v>1.7576836156372337E-2</v>
      </c>
      <c r="U33" s="13">
        <f>_xll.dnetGBlackScholesNGreeks("delta",$Q33,$P33,$G33,$I33,$C$3,$J33,$K33,$C$4)*R33</f>
        <v>0.36704004592067463</v>
      </c>
      <c r="V33" s="13">
        <f>_xll.dnetGBlackScholesNGreeks("vega",$Q33,$P33,$G33,$I33,$C$3,$J33,$K33,$C$4)*R33</f>
        <v>-0.18633051859548289</v>
      </c>
      <c r="X33" s="6">
        <f>2000*U33</f>
        <v>734.08009184134926</v>
      </c>
    </row>
    <row r="34" spans="1:24" s="146" customFormat="1" ht="10.5" customHeight="1" x14ac:dyDescent="0.15">
      <c r="B34" s="147" t="s">
        <v>172</v>
      </c>
      <c r="C34" s="148" t="s">
        <v>161</v>
      </c>
      <c r="D34" s="148" t="s">
        <v>236</v>
      </c>
      <c r="E34" s="149">
        <f t="shared" ca="1" si="0"/>
        <v>43186</v>
      </c>
      <c r="F34" s="149">
        <f t="shared" ca="1" si="56"/>
        <v>43276</v>
      </c>
      <c r="G34" s="148">
        <v>102</v>
      </c>
      <c r="H34" s="148">
        <v>90</v>
      </c>
      <c r="I34" s="150">
        <f>(H34)/365</f>
        <v>0.24657534246575341</v>
      </c>
      <c r="J34" s="150">
        <v>0</v>
      </c>
      <c r="K34" s="151">
        <v>0.125</v>
      </c>
      <c r="L34" s="147">
        <f>_xll.dnetGBlackScholesNGreeks("price",$Q34,$P34,$G34,$I34,$C$3,$J34,$K34,$C$4)*R34*1.15</f>
        <v>1.8615703352559363</v>
      </c>
      <c r="M34" s="152"/>
      <c r="N34" s="147">
        <f t="shared" si="57"/>
        <v>0</v>
      </c>
      <c r="O34" s="147">
        <f t="shared" si="58"/>
        <v>1.8615703352559363</v>
      </c>
      <c r="P34" s="153">
        <v>100</v>
      </c>
      <c r="Q34" s="148" t="s">
        <v>39</v>
      </c>
      <c r="R34" s="148">
        <f t="shared" si="59"/>
        <v>1</v>
      </c>
      <c r="S34" s="148" t="s">
        <v>151</v>
      </c>
      <c r="T34" s="154">
        <f t="shared" si="60"/>
        <v>1.8615703352559364E-2</v>
      </c>
      <c r="U34" s="147">
        <f>_xll.dnetGBlackScholesNGreeks("delta",$Q34,$P34,$G34,$I34,$C$3,$J34,$K34,$C$4)*R34</f>
        <v>0.38477140097477047</v>
      </c>
      <c r="V34" s="147">
        <f>_xll.dnetGBlackScholesNGreeks("vega",$Q34,$P34,$G34,$I34,$C$3,$J34,$K34,$C$4)*R34</f>
        <v>0.18905760497383284</v>
      </c>
      <c r="X34" s="146">
        <f>2000*U34</f>
        <v>769.54280194954094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S11:S12 S14:S18 S20:S21 S23:S25 S27:S28 S30:S31 S33:S34</xm:sqref>
        </x14:dataValidation>
        <x14:dataValidation type="list" allowBlank="1" showInputMessage="1" showErrorMessage="1">
          <x14:formula1>
            <xm:f>configs!$C$1:$C$2</xm:f>
          </x14:formula1>
          <xm:sqref>Q8:Q9 Q11:Q12 Q14:Q18 Q20:Q21 Q23:Q25 Q27:Q28 Q30:Q31 Q33:Q34</xm:sqref>
        </x14:dataValidation>
        <x14:dataValidation type="list" allowBlank="1" showInputMessage="1">
          <x14:formula1>
            <xm:f>configs!$A$1:$A$36</xm:f>
          </x14:formula1>
          <xm:sqref>C8:C9 C11:C12 C14:C18 C20:C21 C23:C25 C27:C28 C30:C31 C33:C34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3"/>
  <sheetViews>
    <sheetView topLeftCell="A19" zoomScale="85" zoomScaleNormal="85" workbookViewId="0">
      <selection activeCell="M54" sqref="M54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4" t="s">
        <v>37</v>
      </c>
      <c r="C1" s="143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43186</v>
      </c>
      <c r="F8" s="46">
        <f ca="1">E8+H8</f>
        <v>43216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3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43186</v>
      </c>
      <c r="F9" s="54">
        <f ca="1">F8</f>
        <v>43216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43186</v>
      </c>
      <c r="F10" s="62">
        <f ca="1">F9</f>
        <v>43216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ht="14.25" thickTop="1" x14ac:dyDescent="0.15">
      <c r="A11" s="65"/>
      <c r="B11" s="43" t="s">
        <v>173</v>
      </c>
      <c r="C11" s="44" t="s">
        <v>160</v>
      </c>
      <c r="D11" s="44" t="s">
        <v>202</v>
      </c>
      <c r="E11" s="46">
        <f ca="1">TODAY()</f>
        <v>43186</v>
      </c>
      <c r="F11" s="46">
        <f ca="1">E11+H11</f>
        <v>43216</v>
      </c>
      <c r="G11" s="44">
        <v>3300</v>
      </c>
      <c r="H11" s="44">
        <v>30</v>
      </c>
      <c r="I11" s="47">
        <f>H11/365</f>
        <v>8.2191780821917804E-2</v>
      </c>
      <c r="J11" s="47">
        <v>0</v>
      </c>
      <c r="K11" s="48">
        <v>0.22500000000000001</v>
      </c>
      <c r="L11" s="43">
        <f>_xll.dnetGBlackScholesNGreeks("price",$Q11,$P11,$G11,$I11,$C$3,$J11,$K11,$C$4)*R11</f>
        <v>-124.63769018286962</v>
      </c>
      <c r="M11" s="49"/>
      <c r="N11" s="43"/>
      <c r="O11" s="43">
        <f t="shared" si="0"/>
        <v>124.63769018286962</v>
      </c>
      <c r="P11" s="117">
        <f>RTD("wdf.rtq",,D11,"LastPrice")</f>
        <v>3228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0.62059557502607277</v>
      </c>
      <c r="V11" s="43">
        <f>_xll.dnetGBlackScholesNGreeks("vega",$Q11,$P11,$G11,$I11,$C$3,$J11,$K11,$C$4)*R11</f>
        <v>-3.512885414032894</v>
      </c>
    </row>
    <row r="12" spans="1:22" ht="13.5" x14ac:dyDescent="0.15">
      <c r="A12" s="65"/>
      <c r="B12" s="51" t="s">
        <v>174</v>
      </c>
      <c r="C12" s="52" t="s">
        <v>160</v>
      </c>
      <c r="D12" s="52" t="str">
        <f t="shared" ref="D12:F13" si="1">D11</f>
        <v>rb1810</v>
      </c>
      <c r="E12" s="54">
        <f t="shared" ca="1" si="1"/>
        <v>43186</v>
      </c>
      <c r="F12" s="54">
        <f t="shared" ca="1" si="1"/>
        <v>43216</v>
      </c>
      <c r="G12" s="52">
        <v>4000</v>
      </c>
      <c r="H12" s="52">
        <f>H11</f>
        <v>30</v>
      </c>
      <c r="I12" s="55">
        <f>H12/365</f>
        <v>8.2191780821917804E-2</v>
      </c>
      <c r="J12" s="55">
        <f>J11</f>
        <v>0</v>
      </c>
      <c r="K12" s="56">
        <v>0.2</v>
      </c>
      <c r="L12" s="51">
        <f>_xll.dnetGBlackScholesNGreeks("price",$Q12,$P12,$G12,$I12,$C$3,$J12,$K12,$C$4)*R12</f>
        <v>4.5142486257524483E-3</v>
      </c>
      <c r="M12" s="57"/>
      <c r="N12" s="51"/>
      <c r="O12" s="51">
        <f t="shared" si="0"/>
        <v>4.5142486257524483E-3</v>
      </c>
      <c r="P12" s="95">
        <f>P11</f>
        <v>3228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1.0301141276924941E-4</v>
      </c>
      <c r="V12" s="51">
        <f>_xll.dnetGBlackScholesNGreeks("vega",$Q12,$P12,$G12,$I12,$C$3,$J12,$K12,$C$4)*R12</f>
        <v>4.0081418015991688E-3</v>
      </c>
    </row>
    <row r="13" spans="1:22" ht="14.25" thickBot="1" x14ac:dyDescent="0.2">
      <c r="A13" s="65"/>
      <c r="B13" s="59" t="s">
        <v>175</v>
      </c>
      <c r="C13" s="60" t="s">
        <v>160</v>
      </c>
      <c r="D13" s="60" t="str">
        <f t="shared" si="1"/>
        <v>rb1810</v>
      </c>
      <c r="E13" s="62">
        <f t="shared" ca="1" si="1"/>
        <v>43186</v>
      </c>
      <c r="F13" s="62">
        <f t="shared" ca="1" si="1"/>
        <v>43216</v>
      </c>
      <c r="G13" s="60" t="str">
        <f>G11 &amp; "|" &amp; G12</f>
        <v>3300|4000</v>
      </c>
      <c r="H13" s="60">
        <f>H12</f>
        <v>30</v>
      </c>
      <c r="I13" s="63">
        <f>I12</f>
        <v>8.2191780821917804E-2</v>
      </c>
      <c r="J13" s="63"/>
      <c r="K13" s="60"/>
      <c r="L13" s="59">
        <f>L12+L11</f>
        <v>-124.63317593424387</v>
      </c>
      <c r="M13" s="60"/>
      <c r="N13" s="59">
        <f>M13/10000*I13*P13</f>
        <v>0</v>
      </c>
      <c r="O13" s="59">
        <f t="shared" si="0"/>
        <v>124.63317593424387</v>
      </c>
      <c r="P13" s="118">
        <f>P12</f>
        <v>3228</v>
      </c>
      <c r="Q13" s="60"/>
      <c r="R13" s="60"/>
      <c r="S13" s="56" t="s">
        <v>151</v>
      </c>
      <c r="T13" s="64">
        <f>O13/P13</f>
        <v>3.86100297194064E-2</v>
      </c>
      <c r="U13" s="64">
        <f>U12+U11</f>
        <v>0.62069858643884201</v>
      </c>
      <c r="V13" s="64">
        <f>V12+V11</f>
        <v>-3.5088772722312949</v>
      </c>
    </row>
    <row r="14" spans="1:22" ht="14.25" thickTop="1" x14ac:dyDescent="0.15">
      <c r="A14" s="65"/>
      <c r="B14" s="43" t="s">
        <v>173</v>
      </c>
      <c r="C14" s="44" t="s">
        <v>160</v>
      </c>
      <c r="D14" s="44" t="s">
        <v>202</v>
      </c>
      <c r="E14" s="46">
        <f ca="1">TODAY()</f>
        <v>43186</v>
      </c>
      <c r="F14" s="46">
        <f ca="1">E14+H14</f>
        <v>43216</v>
      </c>
      <c r="G14" s="44">
        <v>3400</v>
      </c>
      <c r="H14" s="44">
        <v>30</v>
      </c>
      <c r="I14" s="47">
        <f>H14/365</f>
        <v>8.2191780821917804E-2</v>
      </c>
      <c r="J14" s="47">
        <v>0</v>
      </c>
      <c r="K14" s="48">
        <v>0.22500000000000001</v>
      </c>
      <c r="L14" s="43">
        <f>_xll.dnetGBlackScholesNGreeks("price",$Q14,$P14,$G14,$I14,$C$3,$J14,$K14,$C$4)*R14</f>
        <v>-197.14036438090397</v>
      </c>
      <c r="M14" s="49"/>
      <c r="N14" s="43"/>
      <c r="O14" s="43">
        <f t="shared" ref="O14:O28" si="2">IF(L14&lt;=0,ABS(L14)+N14,L14-N14)</f>
        <v>197.14036438090397</v>
      </c>
      <c r="P14" s="117">
        <f>RTD("wdf.rtq",,D14,"LastPrice")</f>
        <v>3228</v>
      </c>
      <c r="Q14" s="44" t="s">
        <v>85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0.77881735840037436</v>
      </c>
      <c r="V14" s="43">
        <f>_xll.dnetGBlackScholesNGreeks("vega",$Q14,$P14,$G14,$I14,$C$3,$J14,$K14,$C$4)*R14</f>
        <v>-2.7335852963515208</v>
      </c>
    </row>
    <row r="15" spans="1:22" ht="13.5" x14ac:dyDescent="0.15">
      <c r="A15" s="65"/>
      <c r="B15" s="51" t="s">
        <v>174</v>
      </c>
      <c r="C15" s="52" t="s">
        <v>160</v>
      </c>
      <c r="D15" s="52" t="str">
        <f t="shared" ref="D15:F16" si="3">D14</f>
        <v>rb1810</v>
      </c>
      <c r="E15" s="54">
        <f t="shared" ca="1" si="3"/>
        <v>43186</v>
      </c>
      <c r="F15" s="54">
        <f t="shared" ca="1" si="3"/>
        <v>43216</v>
      </c>
      <c r="G15" s="52">
        <v>4000</v>
      </c>
      <c r="H15" s="52">
        <f>H14</f>
        <v>30</v>
      </c>
      <c r="I15" s="55">
        <f>H15/365</f>
        <v>8.2191780821917804E-2</v>
      </c>
      <c r="J15" s="55">
        <f>J14</f>
        <v>0</v>
      </c>
      <c r="K15" s="56">
        <v>0.2</v>
      </c>
      <c r="L15" s="51">
        <f>_xll.dnetGBlackScholesNGreeks("price",$Q15,$P15,$G15,$I15,$C$3,$J15,$K15,$C$4)*R15</f>
        <v>4.5142486257524483E-3</v>
      </c>
      <c r="M15" s="57"/>
      <c r="N15" s="51"/>
      <c r="O15" s="51">
        <f t="shared" si="2"/>
        <v>4.5142486257524483E-3</v>
      </c>
      <c r="P15" s="95">
        <f>P14</f>
        <v>3228</v>
      </c>
      <c r="Q15" s="52" t="s">
        <v>39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1.0301141276924941E-4</v>
      </c>
      <c r="V15" s="51">
        <f>_xll.dnetGBlackScholesNGreeks("vega",$Q15,$P15,$G15,$I15,$C$3,$J15,$K15,$C$4)*R15</f>
        <v>4.0081418015991688E-3</v>
      </c>
    </row>
    <row r="16" spans="1:22" ht="14.25" thickBot="1" x14ac:dyDescent="0.2">
      <c r="A16" s="65"/>
      <c r="B16" s="59" t="s">
        <v>175</v>
      </c>
      <c r="C16" s="60" t="s">
        <v>160</v>
      </c>
      <c r="D16" s="60" t="str">
        <f t="shared" si="3"/>
        <v>rb1810</v>
      </c>
      <c r="E16" s="62">
        <f t="shared" ca="1" si="3"/>
        <v>43186</v>
      </c>
      <c r="F16" s="62">
        <f t="shared" ca="1" si="3"/>
        <v>43216</v>
      </c>
      <c r="G16" s="60" t="str">
        <f>G14 &amp; "|" &amp; G15</f>
        <v>3400|4000</v>
      </c>
      <c r="H16" s="60">
        <f>H15</f>
        <v>30</v>
      </c>
      <c r="I16" s="63">
        <f>I15</f>
        <v>8.2191780821917804E-2</v>
      </c>
      <c r="J16" s="63"/>
      <c r="K16" s="60"/>
      <c r="L16" s="59">
        <f>L15+L14</f>
        <v>-197.13585013227822</v>
      </c>
      <c r="M16" s="60"/>
      <c r="N16" s="59">
        <f>M16/10000*I16*P16</f>
        <v>0</v>
      </c>
      <c r="O16" s="59">
        <f t="shared" si="2"/>
        <v>197.13585013227822</v>
      </c>
      <c r="P16" s="118">
        <f>P15</f>
        <v>3228</v>
      </c>
      <c r="Q16" s="60"/>
      <c r="R16" s="60"/>
      <c r="S16" s="56" t="s">
        <v>151</v>
      </c>
      <c r="T16" s="64">
        <f>O16/P16</f>
        <v>6.1070585542837119E-2</v>
      </c>
      <c r="U16" s="64">
        <f>U15+U14</f>
        <v>0.77892036981314361</v>
      </c>
      <c r="V16" s="64">
        <f>V15+V14</f>
        <v>-2.7295771545499217</v>
      </c>
    </row>
    <row r="17" spans="1:22" ht="14.25" thickTop="1" x14ac:dyDescent="0.15">
      <c r="A17" s="65"/>
      <c r="B17" s="43" t="s">
        <v>173</v>
      </c>
      <c r="C17" s="44" t="s">
        <v>160</v>
      </c>
      <c r="D17" s="44" t="s">
        <v>202</v>
      </c>
      <c r="E17" s="46">
        <f ca="1">TODAY()</f>
        <v>43186</v>
      </c>
      <c r="F17" s="46">
        <f ca="1">E17+H17</f>
        <v>43216</v>
      </c>
      <c r="G17" s="44">
        <v>3500</v>
      </c>
      <c r="H17" s="44">
        <v>30</v>
      </c>
      <c r="I17" s="47">
        <f>H17/365</f>
        <v>8.2191780821917804E-2</v>
      </c>
      <c r="J17" s="47">
        <v>0</v>
      </c>
      <c r="K17" s="48">
        <v>0.22500000000000001</v>
      </c>
      <c r="L17" s="43">
        <f>_xll.dnetGBlackScholesNGreeks("price",$Q17,$P17,$G17,$I17,$C$3,$J17,$K17,$C$4)*R17</f>
        <v>-282.40477236917695</v>
      </c>
      <c r="M17" s="49"/>
      <c r="N17" s="43"/>
      <c r="O17" s="43">
        <f t="shared" si="2"/>
        <v>282.40477236917695</v>
      </c>
      <c r="P17" s="117">
        <f>RTD("wdf.rtq",,D17,"LastPrice")</f>
        <v>3228</v>
      </c>
      <c r="Q17" s="44" t="s">
        <v>85</v>
      </c>
      <c r="R17" s="44">
        <f>IF(S17="中金买入",1,-1)</f>
        <v>-1</v>
      </c>
      <c r="S17" s="48" t="s">
        <v>20</v>
      </c>
      <c r="T17" s="50"/>
      <c r="U17" s="43">
        <f>_xll.dnetGBlackScholesNGreeks("delta",$Q17,$P17,$G17,$I17,$C$3,$J17,$K17,$C$4)*R17</f>
        <v>0.88766828639563755</v>
      </c>
      <c r="V17" s="43">
        <f>_xll.dnetGBlackScholesNGreeks("vega",$Q17,$P17,$G17,$I17,$C$3,$J17,$K17,$C$4)*R17</f>
        <v>-1.7458593670905884</v>
      </c>
    </row>
    <row r="18" spans="1:22" ht="13.5" x14ac:dyDescent="0.15">
      <c r="A18" s="65"/>
      <c r="B18" s="51" t="s">
        <v>174</v>
      </c>
      <c r="C18" s="52" t="s">
        <v>160</v>
      </c>
      <c r="D18" s="52" t="str">
        <f t="shared" ref="D18:F19" si="4">D17</f>
        <v>rb1810</v>
      </c>
      <c r="E18" s="54">
        <f t="shared" ca="1" si="4"/>
        <v>43186</v>
      </c>
      <c r="F18" s="54">
        <f t="shared" ca="1" si="4"/>
        <v>43216</v>
      </c>
      <c r="G18" s="52">
        <v>4000</v>
      </c>
      <c r="H18" s="52">
        <f>H17</f>
        <v>30</v>
      </c>
      <c r="I18" s="55">
        <f>H18/365</f>
        <v>8.2191780821917804E-2</v>
      </c>
      <c r="J18" s="55">
        <f>J17</f>
        <v>0</v>
      </c>
      <c r="K18" s="56">
        <v>0.2</v>
      </c>
      <c r="L18" s="51">
        <f>_xll.dnetGBlackScholesNGreeks("price",$Q18,$P18,$G18,$I18,$C$3,$J18,$K18,$C$4)*R18</f>
        <v>4.5142486257524483E-3</v>
      </c>
      <c r="M18" s="57"/>
      <c r="N18" s="51"/>
      <c r="O18" s="51">
        <f t="shared" si="2"/>
        <v>4.5142486257524483E-3</v>
      </c>
      <c r="P18" s="95">
        <f>P17</f>
        <v>3228</v>
      </c>
      <c r="Q18" s="52" t="s">
        <v>39</v>
      </c>
      <c r="R18" s="52">
        <f>IF(S18="中金买入",1,-1)</f>
        <v>1</v>
      </c>
      <c r="S18" s="56" t="s">
        <v>151</v>
      </c>
      <c r="T18" s="58"/>
      <c r="U18" s="51">
        <f>_xll.dnetGBlackScholesNGreeks("delta",$Q18,$P18,$G18,$I18,$C$3,$J18,$K18,$C$4)*R18</f>
        <v>1.0301141276924941E-4</v>
      </c>
      <c r="V18" s="51">
        <f>_xll.dnetGBlackScholesNGreeks("vega",$Q18,$P18,$G18,$I18,$C$3,$J18,$K18,$C$4)*R18</f>
        <v>4.0081418015991688E-3</v>
      </c>
    </row>
    <row r="19" spans="1:22" ht="14.25" thickBot="1" x14ac:dyDescent="0.2">
      <c r="A19" s="65"/>
      <c r="B19" s="59" t="s">
        <v>175</v>
      </c>
      <c r="C19" s="60" t="s">
        <v>160</v>
      </c>
      <c r="D19" s="60" t="str">
        <f t="shared" si="4"/>
        <v>rb1810</v>
      </c>
      <c r="E19" s="62">
        <f t="shared" ca="1" si="4"/>
        <v>43186</v>
      </c>
      <c r="F19" s="62">
        <f t="shared" ca="1" si="4"/>
        <v>43216</v>
      </c>
      <c r="G19" s="60" t="str">
        <f>G17 &amp; "|" &amp; G18</f>
        <v>3500|4000</v>
      </c>
      <c r="H19" s="60">
        <f>H18</f>
        <v>30</v>
      </c>
      <c r="I19" s="63">
        <f>I18</f>
        <v>8.2191780821917804E-2</v>
      </c>
      <c r="J19" s="63"/>
      <c r="K19" s="60"/>
      <c r="L19" s="59">
        <f>L18+L17</f>
        <v>-282.4002581205512</v>
      </c>
      <c r="M19" s="60"/>
      <c r="N19" s="59">
        <f>M19/10000*I19*P19</f>
        <v>0</v>
      </c>
      <c r="O19" s="59">
        <f t="shared" si="2"/>
        <v>282.4002581205512</v>
      </c>
      <c r="P19" s="118">
        <f>P18</f>
        <v>3228</v>
      </c>
      <c r="Q19" s="60"/>
      <c r="R19" s="60"/>
      <c r="S19" s="56" t="s">
        <v>151</v>
      </c>
      <c r="T19" s="64">
        <f>O19/P19</f>
        <v>8.7484590495833708E-2</v>
      </c>
      <c r="U19" s="64">
        <f>U18+U17</f>
        <v>0.8877712978084068</v>
      </c>
      <c r="V19" s="64">
        <f>V18+V17</f>
        <v>-1.7418512252889893</v>
      </c>
    </row>
    <row r="20" spans="1:22" s="98" customFormat="1" ht="14.25" thickTop="1" x14ac:dyDescent="0.15">
      <c r="A20" s="97"/>
      <c r="B20" s="43" t="s">
        <v>173</v>
      </c>
      <c r="C20" s="44" t="s">
        <v>160</v>
      </c>
      <c r="D20" s="44" t="s">
        <v>202</v>
      </c>
      <c r="E20" s="46">
        <f ca="1">TODAY()</f>
        <v>43186</v>
      </c>
      <c r="F20" s="46">
        <f ca="1">E20+H20</f>
        <v>43276</v>
      </c>
      <c r="G20" s="44">
        <v>3300</v>
      </c>
      <c r="H20" s="44">
        <v>90</v>
      </c>
      <c r="I20" s="47">
        <f>H20/365</f>
        <v>0.24657534246575341</v>
      </c>
      <c r="J20" s="47">
        <v>0</v>
      </c>
      <c r="K20" s="48">
        <v>0.22500000000000001</v>
      </c>
      <c r="L20" s="43">
        <f>_xll.dnetGBlackScholesNGreeks("price",$Q20,$P20,$G20,$I20,$C$3,$J20,$K20,$C$4)*R20</f>
        <v>-183.32489821425634</v>
      </c>
      <c r="M20" s="49"/>
      <c r="N20" s="43"/>
      <c r="O20" s="43">
        <f t="shared" si="2"/>
        <v>183.32489821425634</v>
      </c>
      <c r="P20" s="117">
        <f>RTD("wdf.rtq",,D20,"LastPrice")</f>
        <v>3228</v>
      </c>
      <c r="Q20" s="44" t="s">
        <v>85</v>
      </c>
      <c r="R20" s="44">
        <f>IF(S20="中金买入",1,-1)</f>
        <v>-1</v>
      </c>
      <c r="S20" s="48" t="s">
        <v>20</v>
      </c>
      <c r="T20" s="50"/>
      <c r="U20" s="43">
        <f>_xll.dnetGBlackScholesNGreeks("delta",$Q20,$P20,$G20,$I20,$C$3,$J20,$K20,$C$4)*R20</f>
        <v>0.55355750267835901</v>
      </c>
      <c r="V20" s="43">
        <f>_xll.dnetGBlackScholesNGreeks("vega",$Q20,$P20,$G20,$I20,$C$3,$J20,$K20,$C$4)*R20</f>
        <v>-6.299513029104105</v>
      </c>
    </row>
    <row r="21" spans="1:22" s="96" customFormat="1" ht="13.5" x14ac:dyDescent="0.15">
      <c r="A21" s="99"/>
      <c r="B21" s="51" t="s">
        <v>174</v>
      </c>
      <c r="C21" s="52" t="s">
        <v>160</v>
      </c>
      <c r="D21" s="52" t="str">
        <f t="shared" ref="D21:F22" si="5">D20</f>
        <v>rb1810</v>
      </c>
      <c r="E21" s="54">
        <f t="shared" ca="1" si="5"/>
        <v>43186</v>
      </c>
      <c r="F21" s="54">
        <f t="shared" ca="1" si="5"/>
        <v>43276</v>
      </c>
      <c r="G21" s="52">
        <v>4000</v>
      </c>
      <c r="H21" s="52">
        <f>H20</f>
        <v>90</v>
      </c>
      <c r="I21" s="55">
        <f>H21/365</f>
        <v>0.24657534246575341</v>
      </c>
      <c r="J21" s="55">
        <f>J20</f>
        <v>0</v>
      </c>
      <c r="K21" s="56">
        <v>0.2</v>
      </c>
      <c r="L21" s="51">
        <f>_xll.dnetGBlackScholesNGreeks("price",$Q21,$P21,$G21,$I21,$C$3,$J21,$K21,$C$4)*R21</f>
        <v>1.9459718701456765</v>
      </c>
      <c r="M21" s="57"/>
      <c r="N21" s="51"/>
      <c r="O21" s="51">
        <f t="shared" si="2"/>
        <v>1.9459718701456765</v>
      </c>
      <c r="P21" s="95">
        <f>P20</f>
        <v>3228</v>
      </c>
      <c r="Q21" s="52" t="s">
        <v>39</v>
      </c>
      <c r="R21" s="52">
        <f>IF(S21="中金买入",1,-1)</f>
        <v>1</v>
      </c>
      <c r="S21" s="56" t="s">
        <v>151</v>
      </c>
      <c r="T21" s="58"/>
      <c r="U21" s="51">
        <f>_xll.dnetGBlackScholesNGreeks("delta",$Q21,$P21,$G21,$I21,$C$3,$J21,$K21,$C$4)*R21</f>
        <v>1.7364898446103894E-2</v>
      </c>
      <c r="V21" s="51">
        <f>_xll.dnetGBlackScholesNGreeks("vega",$Q21,$P21,$G21,$I21,$C$3,$J21,$K21,$C$4)*R21</f>
        <v>0.68987309644745665</v>
      </c>
    </row>
    <row r="22" spans="1:22" s="96" customFormat="1" ht="14.25" thickBot="1" x14ac:dyDescent="0.2">
      <c r="A22" s="99"/>
      <c r="B22" s="59" t="s">
        <v>175</v>
      </c>
      <c r="C22" s="60" t="s">
        <v>160</v>
      </c>
      <c r="D22" s="60" t="str">
        <f t="shared" si="5"/>
        <v>rb1810</v>
      </c>
      <c r="E22" s="62">
        <f t="shared" ca="1" si="5"/>
        <v>43186</v>
      </c>
      <c r="F22" s="62">
        <f t="shared" ca="1" si="5"/>
        <v>43276</v>
      </c>
      <c r="G22" s="60" t="str">
        <f>G20 &amp; "|" &amp; G21</f>
        <v>3300|4000</v>
      </c>
      <c r="H22" s="60">
        <f>H21</f>
        <v>90</v>
      </c>
      <c r="I22" s="63">
        <f>I21</f>
        <v>0.24657534246575341</v>
      </c>
      <c r="J22" s="63"/>
      <c r="K22" s="60"/>
      <c r="L22" s="59">
        <f>L21+L20</f>
        <v>-181.37892634411065</v>
      </c>
      <c r="M22" s="60"/>
      <c r="N22" s="59">
        <f>M22/10000*I22*P22</f>
        <v>0</v>
      </c>
      <c r="O22" s="59">
        <f t="shared" si="2"/>
        <v>181.37892634411065</v>
      </c>
      <c r="P22" s="118">
        <f>P21</f>
        <v>3228</v>
      </c>
      <c r="Q22" s="60"/>
      <c r="R22" s="60"/>
      <c r="S22" s="56" t="s">
        <v>151</v>
      </c>
      <c r="T22" s="64">
        <f>O22/P22</f>
        <v>5.6189258470914077E-2</v>
      </c>
      <c r="U22" s="64">
        <f>U21+U20</f>
        <v>0.57092240112446291</v>
      </c>
      <c r="V22" s="64">
        <f>V21+V20</f>
        <v>-5.6096399326566484</v>
      </c>
    </row>
    <row r="23" spans="1:22" s="96" customFormat="1" ht="14.25" thickTop="1" x14ac:dyDescent="0.15">
      <c r="A23" s="99"/>
      <c r="B23" s="43" t="s">
        <v>173</v>
      </c>
      <c r="C23" s="44" t="s">
        <v>160</v>
      </c>
      <c r="D23" s="44" t="s">
        <v>202</v>
      </c>
      <c r="E23" s="46">
        <f ca="1">TODAY()</f>
        <v>43186</v>
      </c>
      <c r="F23" s="46">
        <f ca="1">E23+H23</f>
        <v>43276</v>
      </c>
      <c r="G23" s="44">
        <v>3400</v>
      </c>
      <c r="H23" s="44">
        <v>90</v>
      </c>
      <c r="I23" s="47">
        <f>H23/365</f>
        <v>0.24657534246575341</v>
      </c>
      <c r="J23" s="47">
        <v>0</v>
      </c>
      <c r="K23" s="48">
        <v>0.22500000000000001</v>
      </c>
      <c r="L23" s="43">
        <f>_xll.dnetGBlackScholesNGreeks("price",$Q23,$P23,$G23,$I23,$C$3,$J23,$K23,$C$4)*R23</f>
        <v>-248.04567668939171</v>
      </c>
      <c r="M23" s="49"/>
      <c r="N23" s="43"/>
      <c r="O23" s="43">
        <f t="shared" si="2"/>
        <v>248.04567668939171</v>
      </c>
      <c r="P23" s="117">
        <f>RTD("wdf.rtq",,D23,"LastPrice")</f>
        <v>3228</v>
      </c>
      <c r="Q23" s="44" t="s">
        <v>85</v>
      </c>
      <c r="R23" s="44">
        <f>IF(S23="中金买入",1,-1)</f>
        <v>-1</v>
      </c>
      <c r="S23" s="48" t="s">
        <v>20</v>
      </c>
      <c r="T23" s="50"/>
      <c r="U23" s="43">
        <f>_xll.dnetGBlackScholesNGreeks("delta",$Q23,$P23,$G23,$I23,$C$3,$J23,$K23,$C$4)*R23</f>
        <v>0.65540787622921926</v>
      </c>
      <c r="V23" s="43">
        <f>_xll.dnetGBlackScholesNGreeks("vega",$Q23,$P23,$G23,$I23,$C$3,$J23,$K23,$C$4)*R23</f>
        <v>-5.8520108188372433</v>
      </c>
    </row>
    <row r="24" spans="1:22" s="96" customFormat="1" ht="13.5" x14ac:dyDescent="0.15">
      <c r="A24" s="99"/>
      <c r="B24" s="51" t="s">
        <v>174</v>
      </c>
      <c r="C24" s="52" t="s">
        <v>160</v>
      </c>
      <c r="D24" s="52" t="str">
        <f t="shared" ref="D24:F25" si="6">D23</f>
        <v>rb1810</v>
      </c>
      <c r="E24" s="54">
        <f t="shared" ca="1" si="6"/>
        <v>43186</v>
      </c>
      <c r="F24" s="54">
        <f t="shared" ca="1" si="6"/>
        <v>43276</v>
      </c>
      <c r="G24" s="52">
        <v>4000</v>
      </c>
      <c r="H24" s="52">
        <f>H23</f>
        <v>90</v>
      </c>
      <c r="I24" s="55">
        <f>H24/365</f>
        <v>0.24657534246575341</v>
      </c>
      <c r="J24" s="55">
        <f>J23</f>
        <v>0</v>
      </c>
      <c r="K24" s="56">
        <v>0.2</v>
      </c>
      <c r="L24" s="51">
        <f>_xll.dnetGBlackScholesNGreeks("price",$Q24,$P24,$G24,$I24,$C$3,$J24,$K24,$C$4)*R24</f>
        <v>1.9459718701456765</v>
      </c>
      <c r="M24" s="57"/>
      <c r="N24" s="51"/>
      <c r="O24" s="51">
        <f t="shared" si="2"/>
        <v>1.9459718701456765</v>
      </c>
      <c r="P24" s="95">
        <f>P23</f>
        <v>3228</v>
      </c>
      <c r="Q24" s="52" t="s">
        <v>39</v>
      </c>
      <c r="R24" s="52">
        <f>IF(S24="中金买入",1,-1)</f>
        <v>1</v>
      </c>
      <c r="S24" s="56" t="s">
        <v>151</v>
      </c>
      <c r="T24" s="58"/>
      <c r="U24" s="51">
        <f>_xll.dnetGBlackScholesNGreeks("delta",$Q24,$P24,$G24,$I24,$C$3,$J24,$K24,$C$4)*R24</f>
        <v>1.7364898446103894E-2</v>
      </c>
      <c r="V24" s="51">
        <f>_xll.dnetGBlackScholesNGreeks("vega",$Q24,$P24,$G24,$I24,$C$3,$J24,$K24,$C$4)*R24</f>
        <v>0.68987309644745665</v>
      </c>
    </row>
    <row r="25" spans="1:22" s="96" customFormat="1" ht="14.25" thickBot="1" x14ac:dyDescent="0.2">
      <c r="A25" s="99"/>
      <c r="B25" s="59" t="s">
        <v>175</v>
      </c>
      <c r="C25" s="60" t="s">
        <v>160</v>
      </c>
      <c r="D25" s="60" t="str">
        <f t="shared" si="6"/>
        <v>rb1810</v>
      </c>
      <c r="E25" s="62">
        <f t="shared" ca="1" si="6"/>
        <v>43186</v>
      </c>
      <c r="F25" s="62">
        <f t="shared" ca="1" si="6"/>
        <v>43276</v>
      </c>
      <c r="G25" s="60" t="str">
        <f>G23 &amp; "|" &amp; G24</f>
        <v>3400|4000</v>
      </c>
      <c r="H25" s="60">
        <f>H24</f>
        <v>90</v>
      </c>
      <c r="I25" s="63">
        <f>I24</f>
        <v>0.24657534246575341</v>
      </c>
      <c r="J25" s="63"/>
      <c r="K25" s="60"/>
      <c r="L25" s="59">
        <f>L24+L23</f>
        <v>-246.09970481924603</v>
      </c>
      <c r="M25" s="60"/>
      <c r="N25" s="59">
        <f>M25/10000*I25*P25</f>
        <v>0</v>
      </c>
      <c r="O25" s="59">
        <f t="shared" si="2"/>
        <v>246.09970481924603</v>
      </c>
      <c r="P25" s="118">
        <f>P24</f>
        <v>3228</v>
      </c>
      <c r="Q25" s="60"/>
      <c r="R25" s="60"/>
      <c r="S25" s="56" t="s">
        <v>151</v>
      </c>
      <c r="T25" s="64">
        <f>O25/P25</f>
        <v>7.6239065929134459E-2</v>
      </c>
      <c r="U25" s="64">
        <f>U24+U23</f>
        <v>0.67277277467532315</v>
      </c>
      <c r="V25" s="64">
        <f>V24+V23</f>
        <v>-5.1621377223897866</v>
      </c>
    </row>
    <row r="26" spans="1:22" s="96" customFormat="1" ht="14.25" thickTop="1" x14ac:dyDescent="0.15">
      <c r="A26" s="99"/>
      <c r="B26" s="43" t="s">
        <v>173</v>
      </c>
      <c r="C26" s="44" t="s">
        <v>160</v>
      </c>
      <c r="D26" s="44" t="s">
        <v>202</v>
      </c>
      <c r="E26" s="46">
        <f ca="1">TODAY()</f>
        <v>43186</v>
      </c>
      <c r="F26" s="46">
        <f ca="1">E26+H26</f>
        <v>43370</v>
      </c>
      <c r="G26" s="44">
        <v>3600</v>
      </c>
      <c r="H26" s="44">
        <v>184</v>
      </c>
      <c r="I26" s="47">
        <f>H26/365</f>
        <v>0.50410958904109593</v>
      </c>
      <c r="J26" s="47">
        <v>0</v>
      </c>
      <c r="K26" s="48">
        <v>0.155</v>
      </c>
      <c r="L26" s="43">
        <f>_xll.dnetGBlackScholesNGreeks("price",$Q26,$P26,$G26,$I26,$C$3,$J26,$K26,$C$4)*R26</f>
        <v>399.70916002715239</v>
      </c>
      <c r="M26" s="49"/>
      <c r="N26" s="43"/>
      <c r="O26" s="43">
        <f t="shared" si="2"/>
        <v>399.70916002715239</v>
      </c>
      <c r="P26" s="117">
        <f>RTD("wdf.rtq",,D26,"LastPrice")</f>
        <v>3228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-0.81710157101042569</v>
      </c>
      <c r="V26" s="43">
        <f>_xll.dnetGBlackScholesNGreeks("vega",$Q26,$P26,$G26,$I26,$C$3,$J26,$K26,$C$4)*R26</f>
        <v>5.8325270148852724</v>
      </c>
    </row>
    <row r="27" spans="1:22" s="96" customFormat="1" ht="13.5" x14ac:dyDescent="0.15">
      <c r="A27" s="99"/>
      <c r="B27" s="51" t="s">
        <v>174</v>
      </c>
      <c r="C27" s="52" t="s">
        <v>160</v>
      </c>
      <c r="D27" s="52" t="str">
        <f t="shared" ref="D27:F28" si="7">D26</f>
        <v>rb1810</v>
      </c>
      <c r="E27" s="54">
        <f t="shared" ca="1" si="7"/>
        <v>43186</v>
      </c>
      <c r="F27" s="54">
        <f t="shared" ca="1" si="7"/>
        <v>43370</v>
      </c>
      <c r="G27" s="52">
        <v>4000</v>
      </c>
      <c r="H27" s="52">
        <f>H26</f>
        <v>184</v>
      </c>
      <c r="I27" s="55">
        <f>H27/365</f>
        <v>0.50410958904109593</v>
      </c>
      <c r="J27" s="55">
        <f>J26</f>
        <v>0</v>
      </c>
      <c r="K27" s="56">
        <v>0.18</v>
      </c>
      <c r="L27" s="51">
        <f>_xll.dnetGBlackScholesNGreeks("price",$Q27,$P27,$G27,$I27,$C$3,$J27,$K27,$C$4)*R27</f>
        <v>-8.7600311311416306</v>
      </c>
      <c r="M27" s="57"/>
      <c r="N27" s="51"/>
      <c r="O27" s="51">
        <f t="shared" si="2"/>
        <v>8.7600311311416306</v>
      </c>
      <c r="P27" s="95">
        <f>P26</f>
        <v>3228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-5.2734543267263234E-2</v>
      </c>
      <c r="V27" s="51">
        <f>_xll.dnetGBlackScholesNGreeks("vega",$Q27,$P27,$G27,$I27,$C$3,$J27,$K27,$C$4)*R27</f>
        <v>-2.4602205413970211</v>
      </c>
    </row>
    <row r="28" spans="1:22" s="96" customFormat="1" ht="14.25" thickBot="1" x14ac:dyDescent="0.2">
      <c r="A28" s="99"/>
      <c r="B28" s="59" t="s">
        <v>175</v>
      </c>
      <c r="C28" s="60" t="s">
        <v>160</v>
      </c>
      <c r="D28" s="60" t="str">
        <f t="shared" si="7"/>
        <v>rb1810</v>
      </c>
      <c r="E28" s="62">
        <f t="shared" ca="1" si="7"/>
        <v>43186</v>
      </c>
      <c r="F28" s="62">
        <f t="shared" ca="1" si="7"/>
        <v>43370</v>
      </c>
      <c r="G28" s="60" t="str">
        <f>G26 &amp; "|" &amp; G27</f>
        <v>3600|4000</v>
      </c>
      <c r="H28" s="60">
        <f>H27</f>
        <v>184</v>
      </c>
      <c r="I28" s="63">
        <f>I27</f>
        <v>0.50410958904109593</v>
      </c>
      <c r="J28" s="63"/>
      <c r="K28" s="60"/>
      <c r="L28" s="59">
        <f>L27+L26</f>
        <v>390.94912889601073</v>
      </c>
      <c r="M28" s="60"/>
      <c r="N28" s="59">
        <f>M28/10000*I28*P28</f>
        <v>0</v>
      </c>
      <c r="O28" s="59">
        <f t="shared" si="2"/>
        <v>390.94912889601073</v>
      </c>
      <c r="P28" s="118">
        <f>P27</f>
        <v>3228</v>
      </c>
      <c r="Q28" s="60"/>
      <c r="R28" s="60"/>
      <c r="S28" s="56" t="s">
        <v>151</v>
      </c>
      <c r="T28" s="64">
        <f>O28/P28</f>
        <v>0.12111187388352253</v>
      </c>
      <c r="U28" s="64">
        <f>U27+U26</f>
        <v>-0.86983611427768892</v>
      </c>
      <c r="V28" s="64">
        <f>V27+V26</f>
        <v>3.3723064734882513</v>
      </c>
    </row>
    <row r="29" spans="1:22" s="98" customFormat="1" ht="14.25" thickTop="1" x14ac:dyDescent="0.15">
      <c r="A29" s="97"/>
      <c r="B29" s="43" t="s">
        <v>173</v>
      </c>
      <c r="C29" s="44" t="s">
        <v>160</v>
      </c>
      <c r="D29" s="44" t="s">
        <v>207</v>
      </c>
      <c r="E29" s="46">
        <f ca="1">TODAY()</f>
        <v>43186</v>
      </c>
      <c r="F29" s="46">
        <f ca="1">E29+H29</f>
        <v>43216</v>
      </c>
      <c r="G29" s="44">
        <v>92</v>
      </c>
      <c r="H29" s="44">
        <v>30</v>
      </c>
      <c r="I29" s="47">
        <f>H29/365</f>
        <v>8.2191780821917804E-2</v>
      </c>
      <c r="J29" s="47">
        <v>0</v>
      </c>
      <c r="K29" s="48">
        <v>0.24</v>
      </c>
      <c r="L29" s="43">
        <f>_xll.dnetGBlackScholesNGreeks("price",$Q29,$P29,$G29,$I29,$C$3,$J29,$K29,$C$4)*R29</f>
        <v>-0.36061626839030225</v>
      </c>
      <c r="M29" s="49"/>
      <c r="N29" s="43"/>
      <c r="O29" s="43">
        <f t="shared" ref="O29:O34" si="8">IF(L29&lt;=0,ABS(L29)+N29,L29-N29)</f>
        <v>0.36061626839030225</v>
      </c>
      <c r="P29" s="117">
        <v>100</v>
      </c>
      <c r="Q29" s="44" t="s">
        <v>85</v>
      </c>
      <c r="R29" s="44">
        <f>IF(S29="中金买入",1,-1)</f>
        <v>-1</v>
      </c>
      <c r="S29" s="48" t="s">
        <v>20</v>
      </c>
      <c r="T29" s="50"/>
      <c r="U29" s="43">
        <f>_xll.dnetGBlackScholesNGreeks("delta",$Q29,$P29,$G29,$I29,$C$3,$J29,$K29,$C$4)*R29</f>
        <v>0.10616326771595297</v>
      </c>
      <c r="V29" s="43">
        <f>_xll.dnetGBlackScholesNGreeks("vega",$Q29,$P29,$G29,$I29,$C$3,$J29,$K29,$C$4)*R29</f>
        <v>-5.2489438908342123E-2</v>
      </c>
    </row>
    <row r="30" spans="1:22" s="96" customFormat="1" ht="13.5" x14ac:dyDescent="0.15">
      <c r="A30" s="99"/>
      <c r="B30" s="51" t="s">
        <v>174</v>
      </c>
      <c r="C30" s="52" t="s">
        <v>160</v>
      </c>
      <c r="D30" s="52" t="str">
        <f t="shared" ref="D30:F30" si="9">D29</f>
        <v>i1809</v>
      </c>
      <c r="E30" s="54">
        <f t="shared" ca="1" si="9"/>
        <v>43186</v>
      </c>
      <c r="F30" s="54">
        <f t="shared" ca="1" si="9"/>
        <v>43216</v>
      </c>
      <c r="G30" s="52">
        <v>105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0.21</v>
      </c>
      <c r="L30" s="51">
        <f>_xll.dnetGBlackScholesNGreeks("price",$Q30,$P30,$G30,$I30,$C$3,$J30,$K30,$C$4)*R30</f>
        <v>0.72669566514838735</v>
      </c>
      <c r="M30" s="57"/>
      <c r="N30" s="51"/>
      <c r="O30" s="51">
        <f t="shared" si="8"/>
        <v>0.72669566514838735</v>
      </c>
      <c r="P30" s="95">
        <f>P29</f>
        <v>100</v>
      </c>
      <c r="Q30" s="52" t="s">
        <v>39</v>
      </c>
      <c r="R30" s="52">
        <f>IF(S30="中金买入",1,-1)</f>
        <v>1</v>
      </c>
      <c r="S30" s="56" t="s">
        <v>151</v>
      </c>
      <c r="T30" s="58"/>
      <c r="U30" s="51">
        <f>_xll.dnetGBlackScholesNGreeks("delta",$Q30,$P30,$G30,$I30,$C$3,$J30,$K30,$C$4)*R30</f>
        <v>0.21725094276838774</v>
      </c>
      <c r="V30" s="51">
        <f>_xll.dnetGBlackScholesNGreeks("vega",$Q30,$P30,$G30,$I30,$C$3,$J30,$K30,$C$4)*R30</f>
        <v>8.4167489640684323E-2</v>
      </c>
    </row>
    <row r="31" spans="1:22" s="96" customFormat="1" ht="14.25" thickBot="1" x14ac:dyDescent="0.2">
      <c r="A31" s="99"/>
      <c r="B31" s="59" t="s">
        <v>175</v>
      </c>
      <c r="C31" s="60" t="s">
        <v>160</v>
      </c>
      <c r="D31" s="60" t="str">
        <f t="shared" ref="D31:F31" si="10">D30</f>
        <v>i1809</v>
      </c>
      <c r="E31" s="62">
        <f t="shared" ca="1" si="10"/>
        <v>43186</v>
      </c>
      <c r="F31" s="62">
        <f t="shared" ca="1" si="10"/>
        <v>43216</v>
      </c>
      <c r="G31" s="60" t="str">
        <f>G29 &amp; "|" &amp; G30</f>
        <v>92|105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0.3660793967580851</v>
      </c>
      <c r="M31" s="60">
        <v>50</v>
      </c>
      <c r="N31" s="59">
        <f>M31/10000*I31*P31</f>
        <v>4.1095890410958902E-2</v>
      </c>
      <c r="O31" s="59">
        <f t="shared" si="8"/>
        <v>0.32498350634712619</v>
      </c>
      <c r="P31" s="118">
        <f>P30</f>
        <v>100</v>
      </c>
      <c r="Q31" s="60"/>
      <c r="R31" s="60"/>
      <c r="S31" s="56" t="s">
        <v>151</v>
      </c>
      <c r="T31" s="64">
        <f>O31/P31</f>
        <v>3.2498350634712621E-3</v>
      </c>
      <c r="U31" s="64">
        <f>U30+U29</f>
        <v>0.32341421048434071</v>
      </c>
      <c r="V31" s="64">
        <f>V30+V29</f>
        <v>3.16780507323422E-2</v>
      </c>
    </row>
    <row r="32" spans="1:22" s="96" customFormat="1" ht="14.25" thickTop="1" x14ac:dyDescent="0.15">
      <c r="A32" s="99"/>
      <c r="B32" s="43" t="s">
        <v>173</v>
      </c>
      <c r="C32" s="44" t="s">
        <v>160</v>
      </c>
      <c r="D32" s="44" t="s">
        <v>207</v>
      </c>
      <c r="E32" s="46">
        <f ca="1">TODAY()</f>
        <v>43186</v>
      </c>
      <c r="F32" s="46">
        <f ca="1">E32+H32</f>
        <v>43216</v>
      </c>
      <c r="G32" s="44">
        <v>95</v>
      </c>
      <c r="H32" s="44">
        <v>30</v>
      </c>
      <c r="I32" s="47">
        <f>H32/365</f>
        <v>8.2191780821917804E-2</v>
      </c>
      <c r="J32" s="47">
        <v>0</v>
      </c>
      <c r="K32" s="48">
        <v>0.24</v>
      </c>
      <c r="L32" s="43">
        <f>_xll.dnetGBlackScholesNGreeks("price",$Q32,$P32,$G32,$I32,$C$3,$J32,$K32,$C$4)*R32</f>
        <v>-0.88478777957798371</v>
      </c>
      <c r="M32" s="49"/>
      <c r="N32" s="43"/>
      <c r="O32" s="43">
        <f t="shared" si="8"/>
        <v>0.88478777957798371</v>
      </c>
      <c r="P32" s="117">
        <v>100</v>
      </c>
      <c r="Q32" s="44" t="s">
        <v>85</v>
      </c>
      <c r="R32" s="44">
        <f>IF(S32="中金买入",1,-1)</f>
        <v>-1</v>
      </c>
      <c r="S32" s="48" t="s">
        <v>20</v>
      </c>
      <c r="T32" s="50"/>
      <c r="U32" s="43">
        <f>_xll.dnetGBlackScholesNGreeks("delta",$Q32,$P32,$G32,$I32,$C$3,$J32,$K32,$C$4)*R32</f>
        <v>0.21737278669018423</v>
      </c>
      <c r="V32" s="43">
        <f>_xll.dnetGBlackScholesNGreeks("vega",$Q32,$P32,$G32,$I32,$C$3,$J32,$K32,$C$4)*R32</f>
        <v>-8.421063147348562E-2</v>
      </c>
    </row>
    <row r="33" spans="1:22" s="96" customFormat="1" ht="13.5" x14ac:dyDescent="0.15">
      <c r="A33" s="99"/>
      <c r="B33" s="51" t="s">
        <v>174</v>
      </c>
      <c r="C33" s="52" t="s">
        <v>160</v>
      </c>
      <c r="D33" s="52" t="str">
        <f t="shared" ref="D33:F33" si="11">D32</f>
        <v>i1809</v>
      </c>
      <c r="E33" s="54">
        <f t="shared" ca="1" si="11"/>
        <v>43186</v>
      </c>
      <c r="F33" s="54">
        <f t="shared" ca="1" si="11"/>
        <v>43216</v>
      </c>
      <c r="G33" s="52">
        <v>102.5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0.21</v>
      </c>
      <c r="L33" s="51">
        <f>_xll.dnetGBlackScholesNGreeks("price",$Q33,$P33,$G33,$I33,$C$3,$J33,$K33,$C$4)*R33</f>
        <v>1.3808360714662911</v>
      </c>
      <c r="M33" s="57"/>
      <c r="N33" s="51"/>
      <c r="O33" s="51">
        <f t="shared" si="8"/>
        <v>1.3808360714662911</v>
      </c>
      <c r="P33" s="95">
        <f>P32</f>
        <v>100</v>
      </c>
      <c r="Q33" s="52" t="s">
        <v>39</v>
      </c>
      <c r="R33" s="52">
        <f>IF(S33="中金买入",1,-1)</f>
        <v>1</v>
      </c>
      <c r="S33" s="56" t="s">
        <v>151</v>
      </c>
      <c r="T33" s="58"/>
      <c r="U33" s="51">
        <f>_xll.dnetGBlackScholesNGreeks("delta",$Q33,$P33,$G33,$I33,$C$3,$J33,$K33,$C$4)*R33</f>
        <v>0.351380281727387</v>
      </c>
      <c r="V33" s="51">
        <f>_xll.dnetGBlackScholesNGreeks("vega",$Q33,$P33,$G33,$I33,$C$3,$J33,$K33,$C$4)*R33</f>
        <v>0.1062109636871611</v>
      </c>
    </row>
    <row r="34" spans="1:22" s="96" customFormat="1" ht="14.25" thickBot="1" x14ac:dyDescent="0.2">
      <c r="A34" s="99"/>
      <c r="B34" s="59" t="s">
        <v>175</v>
      </c>
      <c r="C34" s="60" t="s">
        <v>160</v>
      </c>
      <c r="D34" s="60" t="str">
        <f t="shared" ref="D34:F34" si="12">D33</f>
        <v>i1809</v>
      </c>
      <c r="E34" s="62">
        <f t="shared" ca="1" si="12"/>
        <v>43186</v>
      </c>
      <c r="F34" s="62">
        <f t="shared" ca="1" si="12"/>
        <v>43216</v>
      </c>
      <c r="G34" s="60" t="str">
        <f>G32 &amp; "|" &amp; G33</f>
        <v>95|102.5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0.49604829188830735</v>
      </c>
      <c r="M34" s="60">
        <v>50</v>
      </c>
      <c r="N34" s="59">
        <f>M34/10000*I34*P34</f>
        <v>4.1095890410958902E-2</v>
      </c>
      <c r="O34" s="59">
        <f t="shared" si="8"/>
        <v>0.45495240147734844</v>
      </c>
      <c r="P34" s="118">
        <f>P33</f>
        <v>100</v>
      </c>
      <c r="Q34" s="60"/>
      <c r="R34" s="60"/>
      <c r="S34" s="56" t="s">
        <v>151</v>
      </c>
      <c r="T34" s="64">
        <f>O34/P34</f>
        <v>4.5495240147734846E-3</v>
      </c>
      <c r="U34" s="64">
        <f>U33+U32</f>
        <v>0.56875306841757123</v>
      </c>
      <c r="V34" s="64">
        <f>V33+V32</f>
        <v>2.2000332213675478E-2</v>
      </c>
    </row>
    <row r="35" spans="1:22" s="96" customFormat="1" ht="14.25" thickTop="1" x14ac:dyDescent="0.15">
      <c r="A35" s="100"/>
      <c r="B35" s="43" t="s">
        <v>173</v>
      </c>
      <c r="C35" s="44" t="s">
        <v>160</v>
      </c>
      <c r="D35" s="44" t="s">
        <v>202</v>
      </c>
      <c r="E35" s="46">
        <f ca="1">TODAY()</f>
        <v>43186</v>
      </c>
      <c r="F35" s="46">
        <f ca="1">E35+H35</f>
        <v>43276</v>
      </c>
      <c r="G35" s="44">
        <v>3350</v>
      </c>
      <c r="H35" s="44">
        <v>90</v>
      </c>
      <c r="I35" s="47">
        <f>H35/365</f>
        <v>0.24657534246575341</v>
      </c>
      <c r="J35" s="47">
        <v>0</v>
      </c>
      <c r="K35" s="48">
        <v>0.17</v>
      </c>
      <c r="L35" s="43">
        <f>_xll.dnetGBlackScholesNGreeks("price",$Q35,$P35,$G35,$I35,$C$3,$J35,$K35,$C$4)*R35</f>
        <v>181.3503552453717</v>
      </c>
      <c r="M35" s="49"/>
      <c r="N35" s="43"/>
      <c r="O35" s="43">
        <f t="shared" ref="O35:O37" si="13">IF(L35&lt;=0,ABS(L35)+N35,L35-N35)</f>
        <v>181.3503552453717</v>
      </c>
      <c r="P35" s="117">
        <f>RTD("wdf.rtq",,D35,"LastPrice")</f>
        <v>3228</v>
      </c>
      <c r="Q35" s="44" t="s">
        <v>85</v>
      </c>
      <c r="R35" s="44">
        <f>IF(S35="中金买入",1,-1)</f>
        <v>1</v>
      </c>
      <c r="S35" s="48" t="s">
        <v>151</v>
      </c>
      <c r="T35" s="50"/>
      <c r="U35" s="43">
        <f>_xll.dnetGBlackScholesNGreeks("delta",$Q35,$P35,$G35,$I35,$C$3,$J35,$K35,$C$4)*R35</f>
        <v>-0.65119092726035888</v>
      </c>
      <c r="V35" s="43">
        <f>_xll.dnetGBlackScholesNGreeks("vega",$Q35,$P35,$G35,$I35,$C$3,$J35,$K35,$C$4)*R35</f>
        <v>5.8785685554780684</v>
      </c>
    </row>
    <row r="36" spans="1:22" s="96" customFormat="1" ht="13.5" x14ac:dyDescent="0.15">
      <c r="A36" s="100"/>
      <c r="B36" s="51" t="s">
        <v>174</v>
      </c>
      <c r="C36" s="52" t="s">
        <v>160</v>
      </c>
      <c r="D36" s="52" t="str">
        <f>D35</f>
        <v>rb1810</v>
      </c>
      <c r="E36" s="54">
        <f t="shared" ref="E36:F36" ca="1" si="14">E35</f>
        <v>43186</v>
      </c>
      <c r="F36" s="54">
        <f t="shared" ca="1" si="14"/>
        <v>43276</v>
      </c>
      <c r="G36" s="52">
        <v>3600</v>
      </c>
      <c r="H36" s="52">
        <v>90</v>
      </c>
      <c r="I36" s="55">
        <f>H36/365</f>
        <v>0.24657534246575341</v>
      </c>
      <c r="J36" s="55">
        <f>J35</f>
        <v>0</v>
      </c>
      <c r="K36" s="56">
        <v>0.19500000000000001</v>
      </c>
      <c r="L36" s="51">
        <f>_xll.dnetGBlackScholesNGreeks("price",$Q36,$P36,$G36,$I36,$C$3,$J36,$K36,$C$4)*R36</f>
        <v>-21.369833125276955</v>
      </c>
      <c r="M36" s="57"/>
      <c r="N36" s="51"/>
      <c r="O36" s="51">
        <f t="shared" si="13"/>
        <v>21.369833125276955</v>
      </c>
      <c r="P36" s="95">
        <f>P35</f>
        <v>3228</v>
      </c>
      <c r="Q36" s="52" t="s">
        <v>39</v>
      </c>
      <c r="R36" s="52">
        <f>IF(S36="中金买入",1,-1)</f>
        <v>-1</v>
      </c>
      <c r="S36" s="56" t="s">
        <v>20</v>
      </c>
      <c r="T36" s="58"/>
      <c r="U36" s="51">
        <f>_xll.dnetGBlackScholesNGreeks("delta",$Q36,$P36,$G36,$I36,$C$3,$J36,$K36,$C$4)*R36</f>
        <v>-0.13982456680707855</v>
      </c>
      <c r="V36" s="51">
        <f>_xll.dnetGBlackScholesNGreeks("vega",$Q36,$P36,$G36,$I36,$C$3,$J36,$K36,$C$4)*R36</f>
        <v>-3.5555884193700535</v>
      </c>
    </row>
    <row r="37" spans="1:22" s="102" customFormat="1" ht="14.25" thickBot="1" x14ac:dyDescent="0.2">
      <c r="A37" s="101"/>
      <c r="B37" s="59" t="s">
        <v>175</v>
      </c>
      <c r="C37" s="60" t="s">
        <v>160</v>
      </c>
      <c r="D37" s="60" t="str">
        <f>D36</f>
        <v>rb1810</v>
      </c>
      <c r="E37" s="62">
        <f t="shared" ref="E37:F37" ca="1" si="15">E36</f>
        <v>43186</v>
      </c>
      <c r="F37" s="62">
        <f t="shared" ca="1" si="15"/>
        <v>43276</v>
      </c>
      <c r="G37" s="60" t="str">
        <f>G35 &amp; "|" &amp; G36</f>
        <v>3350|3600</v>
      </c>
      <c r="H37" s="60">
        <f>H36</f>
        <v>90</v>
      </c>
      <c r="I37" s="63">
        <f>I36</f>
        <v>0.24657534246575341</v>
      </c>
      <c r="J37" s="63"/>
      <c r="K37" s="60"/>
      <c r="L37" s="59">
        <f>L36+L35</f>
        <v>159.98052212009475</v>
      </c>
      <c r="M37" s="60"/>
      <c r="N37" s="59">
        <f>M37/10000*I37*P37</f>
        <v>0</v>
      </c>
      <c r="O37" s="59">
        <f t="shared" si="13"/>
        <v>159.98052212009475</v>
      </c>
      <c r="P37" s="118">
        <f>P36</f>
        <v>3228</v>
      </c>
      <c r="Q37" s="60"/>
      <c r="R37" s="60"/>
      <c r="S37" s="56" t="s">
        <v>151</v>
      </c>
      <c r="T37" s="64">
        <f>O37/P37</f>
        <v>4.9560260879831085E-2</v>
      </c>
      <c r="U37" s="64">
        <f>U36+U35</f>
        <v>-0.79101549406743743</v>
      </c>
      <c r="V37" s="64">
        <f>V36+V35</f>
        <v>2.3229801361080149</v>
      </c>
    </row>
    <row r="38" spans="1:22" s="96" customFormat="1" ht="14.25" thickTop="1" x14ac:dyDescent="0.15">
      <c r="A38" s="100"/>
      <c r="B38" s="43" t="s">
        <v>173</v>
      </c>
      <c r="C38" s="44" t="s">
        <v>160</v>
      </c>
      <c r="D38" s="44" t="s">
        <v>195</v>
      </c>
      <c r="E38" s="46">
        <f ca="1">TODAY()</f>
        <v>43186</v>
      </c>
      <c r="F38" s="46">
        <f ca="1">E38+H38</f>
        <v>43366</v>
      </c>
      <c r="G38" s="44">
        <v>3350</v>
      </c>
      <c r="H38" s="44">
        <v>180</v>
      </c>
      <c r="I38" s="47">
        <f>H38/365</f>
        <v>0.49315068493150682</v>
      </c>
      <c r="J38" s="47">
        <v>0</v>
      </c>
      <c r="K38" s="48">
        <v>0.17</v>
      </c>
      <c r="L38" s="43">
        <f>_xll.dnetGBlackScholesNGreeks("price",$Q38,$P38,$G38,$I38,$C$3,$J38,$K38,$C$4)*R38</f>
        <v>222.83032751351038</v>
      </c>
      <c r="M38" s="49"/>
      <c r="N38" s="43"/>
      <c r="O38" s="43">
        <f t="shared" ref="O38:O40" si="16">IF(L38&lt;=0,ABS(L38)+N38,L38-N38)</f>
        <v>222.83032751351038</v>
      </c>
      <c r="P38" s="117">
        <f>RTD("wdf.rtq",,D38,"LastPrice")</f>
        <v>3228</v>
      </c>
      <c r="Q38" s="44" t="s">
        <v>85</v>
      </c>
      <c r="R38" s="44">
        <f>IF(S38="中金买入",1,-1)</f>
        <v>1</v>
      </c>
      <c r="S38" s="48" t="s">
        <v>151</v>
      </c>
      <c r="T38" s="50"/>
      <c r="U38" s="43">
        <f>_xll.dnetGBlackScholesNGreeks("delta",$Q38,$P38,$G38,$I38,$C$3,$J38,$K38,$C$4)*R38</f>
        <v>-0.59323458893913994</v>
      </c>
      <c r="V38" s="43">
        <f>_xll.dnetGBlackScholesNGreeks("vega",$Q38,$P38,$G38,$I38,$C$3,$J38,$K38,$C$4)*R38</f>
        <v>8.6754466576473988</v>
      </c>
    </row>
    <row r="39" spans="1:22" s="96" customFormat="1" ht="13.5" x14ac:dyDescent="0.15">
      <c r="A39" s="100"/>
      <c r="B39" s="51" t="s">
        <v>174</v>
      </c>
      <c r="C39" s="52" t="s">
        <v>160</v>
      </c>
      <c r="D39" s="52" t="str">
        <f>D38</f>
        <v>rb1810</v>
      </c>
      <c r="E39" s="54">
        <f t="shared" ref="E39:F39" ca="1" si="17">E38</f>
        <v>43186</v>
      </c>
      <c r="F39" s="54">
        <f t="shared" ca="1" si="17"/>
        <v>43366</v>
      </c>
      <c r="G39" s="52">
        <v>3600</v>
      </c>
      <c r="H39" s="52">
        <v>180</v>
      </c>
      <c r="I39" s="55">
        <f>H39/365</f>
        <v>0.49315068493150682</v>
      </c>
      <c r="J39" s="55">
        <f>J38</f>
        <v>0</v>
      </c>
      <c r="K39" s="56">
        <v>0.19500000000000001</v>
      </c>
      <c r="L39" s="51">
        <f>_xll.dnetGBlackScholesNGreeks("price",$Q39,$P39,$G39,$I39,$C$3,$J39,$K39,$C$4)*R39</f>
        <v>-55.830017402673661</v>
      </c>
      <c r="M39" s="57"/>
      <c r="N39" s="51"/>
      <c r="O39" s="51">
        <f t="shared" si="16"/>
        <v>55.830017402673661</v>
      </c>
      <c r="P39" s="95">
        <f>P38</f>
        <v>3228</v>
      </c>
      <c r="Q39" s="52" t="s">
        <v>39</v>
      </c>
      <c r="R39" s="52">
        <f>IF(S39="中金买入",1,-1)</f>
        <v>-1</v>
      </c>
      <c r="S39" s="56" t="s">
        <v>20</v>
      </c>
      <c r="T39" s="58"/>
      <c r="U39" s="51">
        <f>_xll.dnetGBlackScholesNGreeks("delta",$Q39,$P39,$G39,$I39,$C$3,$J39,$K39,$C$4)*R39</f>
        <v>-0.23100792155901217</v>
      </c>
      <c r="V39" s="51">
        <f>_xll.dnetGBlackScholesNGreeks("vega",$Q39,$P39,$G39,$I39,$C$3,$J39,$K39,$C$4)*R39</f>
        <v>-6.8654313511421492</v>
      </c>
    </row>
    <row r="40" spans="1:22" s="102" customFormat="1" ht="14.25" thickBot="1" x14ac:dyDescent="0.2">
      <c r="A40" s="101"/>
      <c r="B40" s="59" t="s">
        <v>175</v>
      </c>
      <c r="C40" s="60" t="s">
        <v>160</v>
      </c>
      <c r="D40" s="60" t="str">
        <f t="shared" ref="D40:F40" si="18">D39</f>
        <v>rb1810</v>
      </c>
      <c r="E40" s="62">
        <f t="shared" ca="1" si="18"/>
        <v>43186</v>
      </c>
      <c r="F40" s="62">
        <f t="shared" ca="1" si="18"/>
        <v>43366</v>
      </c>
      <c r="G40" s="60" t="str">
        <f>G38 &amp; "|" &amp; G39</f>
        <v>3350|3600</v>
      </c>
      <c r="H40" s="60">
        <f>H39</f>
        <v>180</v>
      </c>
      <c r="I40" s="63">
        <f>I39</f>
        <v>0.49315068493150682</v>
      </c>
      <c r="J40" s="63"/>
      <c r="K40" s="60"/>
      <c r="L40" s="59">
        <f>L39+L38</f>
        <v>167.00031011083672</v>
      </c>
      <c r="M40" s="60">
        <v>50</v>
      </c>
      <c r="N40" s="59">
        <f>M40/10000*I40*P40</f>
        <v>7.9594520547945207</v>
      </c>
      <c r="O40" s="59">
        <f t="shared" si="16"/>
        <v>159.0408580560422</v>
      </c>
      <c r="P40" s="118">
        <f>P39</f>
        <v>3228</v>
      </c>
      <c r="Q40" s="60"/>
      <c r="R40" s="60"/>
      <c r="S40" s="56" t="s">
        <v>151</v>
      </c>
      <c r="T40" s="64">
        <f>O40/P40</f>
        <v>4.926916296655582E-2</v>
      </c>
      <c r="U40" s="64">
        <f>U39+U38</f>
        <v>-0.82424251049815211</v>
      </c>
      <c r="V40" s="64">
        <f>V39+V38</f>
        <v>1.8100153065052496</v>
      </c>
    </row>
    <row r="41" spans="1:22" s="96" customFormat="1" ht="14.25" thickTop="1" x14ac:dyDescent="0.15">
      <c r="A41" s="100"/>
      <c r="B41" s="43" t="s">
        <v>173</v>
      </c>
      <c r="C41" s="44" t="s">
        <v>160</v>
      </c>
      <c r="D41" s="44" t="s">
        <v>226</v>
      </c>
      <c r="E41" s="46">
        <f ca="1">TODAY()</f>
        <v>43186</v>
      </c>
      <c r="F41" s="46">
        <f ca="1">E41+H41</f>
        <v>43266</v>
      </c>
      <c r="G41" s="44">
        <v>13500</v>
      </c>
      <c r="H41" s="44">
        <v>80</v>
      </c>
      <c r="I41" s="47">
        <f>H41/365</f>
        <v>0.21917808219178081</v>
      </c>
      <c r="J41" s="47">
        <v>0</v>
      </c>
      <c r="K41" s="48">
        <v>0.17</v>
      </c>
      <c r="L41" s="43">
        <f>_xll.dnetGBlackScholesNGreeks("price",$Q41,$P41,$G41,$I41,$C$3,$J41,$K41,$C$4)*R41</f>
        <v>236.44033076572396</v>
      </c>
      <c r="M41" s="49"/>
      <c r="N41" s="43"/>
      <c r="O41" s="43">
        <f t="shared" ref="O41:O43" si="19">IF(L41&lt;=0,ABS(L41)+N41,L41-N41)</f>
        <v>236.44033076572396</v>
      </c>
      <c r="P41" s="117">
        <f>RTD("wdf.rtq",,D41,"LastPrice")</f>
        <v>13980</v>
      </c>
      <c r="Q41" s="44" t="s">
        <v>85</v>
      </c>
      <c r="R41" s="44">
        <f>IF(S41="中金买入",1,-1)</f>
        <v>1</v>
      </c>
      <c r="S41" s="48" t="s">
        <v>151</v>
      </c>
      <c r="T41" s="50"/>
      <c r="U41" s="43">
        <f>_xll.dnetGBlackScholesNGreeks("delta",$Q41,$P41,$G41,$I41,$C$3,$J41,$K41,$C$4)*R41</f>
        <v>-0.31466500631722738</v>
      </c>
      <c r="V41" s="43">
        <f>_xll.dnetGBlackScholesNGreeks("vega",$Q41,$P41,$G41,$I41,$C$3,$J41,$K41,$C$4)*R41</f>
        <v>23.173880102463954</v>
      </c>
    </row>
    <row r="42" spans="1:22" s="96" customFormat="1" ht="13.5" x14ac:dyDescent="0.15">
      <c r="A42" s="100"/>
      <c r="B42" s="51" t="s">
        <v>174</v>
      </c>
      <c r="C42" s="52" t="s">
        <v>160</v>
      </c>
      <c r="D42" s="52" t="s">
        <v>229</v>
      </c>
      <c r="E42" s="54">
        <f t="shared" ref="E42:F42" ca="1" si="20">E41</f>
        <v>43186</v>
      </c>
      <c r="F42" s="54">
        <f t="shared" ca="1" si="20"/>
        <v>43266</v>
      </c>
      <c r="G42" s="52">
        <v>14300</v>
      </c>
      <c r="H42" s="52">
        <f>H41</f>
        <v>80</v>
      </c>
      <c r="I42" s="55">
        <f>H42/365</f>
        <v>0.21917808219178081</v>
      </c>
      <c r="J42" s="55">
        <f>J41</f>
        <v>0</v>
      </c>
      <c r="K42" s="56">
        <f>K41+0.02</f>
        <v>0.19</v>
      </c>
      <c r="L42" s="51">
        <f>_xll.dnetGBlackScholesNGreeks("price",$Q42,$P42,$G42,$I42,$C$3,$J42,$K42,$C$4)*R42</f>
        <v>-356.18508563489468</v>
      </c>
      <c r="M42" s="57"/>
      <c r="N42" s="51"/>
      <c r="O42" s="51">
        <f t="shared" si="19"/>
        <v>356.18508563489468</v>
      </c>
      <c r="P42" s="95">
        <f>P41</f>
        <v>13980</v>
      </c>
      <c r="Q42" s="52" t="s">
        <v>39</v>
      </c>
      <c r="R42" s="52">
        <f>IF(S42="中金买入",1,-1)</f>
        <v>-1</v>
      </c>
      <c r="S42" s="56" t="s">
        <v>20</v>
      </c>
      <c r="T42" s="58"/>
      <c r="U42" s="51">
        <f>_xll.dnetGBlackScholesNGreeks("delta",$Q42,$P42,$G42,$I42,$C$3,$J42,$K42,$C$4)*R42</f>
        <v>-0.41502866292830731</v>
      </c>
      <c r="V42" s="51">
        <f>_xll.dnetGBlackScholesNGreeks("vega",$Q42,$P42,$G42,$I42,$C$3,$J42,$K42,$C$4)*R42</f>
        <v>-25.427369650408309</v>
      </c>
    </row>
    <row r="43" spans="1:22" s="102" customFormat="1" ht="14.25" thickBot="1" x14ac:dyDescent="0.2">
      <c r="A43" s="101"/>
      <c r="B43" s="59" t="s">
        <v>175</v>
      </c>
      <c r="C43" s="60" t="s">
        <v>160</v>
      </c>
      <c r="D43" s="60" t="str">
        <f t="shared" ref="D43:F43" si="21">D42</f>
        <v>al1807</v>
      </c>
      <c r="E43" s="62">
        <f t="shared" ca="1" si="21"/>
        <v>43186</v>
      </c>
      <c r="F43" s="62">
        <f t="shared" ca="1" si="21"/>
        <v>43266</v>
      </c>
      <c r="G43" s="60" t="str">
        <f>G41 &amp; "|" &amp; G42</f>
        <v>13500|14300</v>
      </c>
      <c r="H43" s="60">
        <f>H42</f>
        <v>80</v>
      </c>
      <c r="I43" s="63">
        <f>I42</f>
        <v>0.21917808219178081</v>
      </c>
      <c r="J43" s="63"/>
      <c r="K43" s="60"/>
      <c r="L43" s="59">
        <f>L42+L41</f>
        <v>-119.74475486917072</v>
      </c>
      <c r="M43" s="60">
        <v>50</v>
      </c>
      <c r="N43" s="59">
        <f>M43/10000*I43*P43</f>
        <v>15.320547945205478</v>
      </c>
      <c r="O43" s="59">
        <f t="shared" si="19"/>
        <v>135.0653028143762</v>
      </c>
      <c r="P43" s="118">
        <f>P42</f>
        <v>13980</v>
      </c>
      <c r="Q43" s="60"/>
      <c r="R43" s="60"/>
      <c r="S43" s="56" t="s">
        <v>151</v>
      </c>
      <c r="T43" s="64">
        <f>O43/P43</f>
        <v>9.6613235203416442E-3</v>
      </c>
      <c r="U43" s="64">
        <f>U42+U41</f>
        <v>-0.72969366924553469</v>
      </c>
      <c r="V43" s="64">
        <f>V42+V41</f>
        <v>-2.2534895479443549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C8:C43</xm:sqref>
        </x14:dataValidation>
        <x14:dataValidation type="list" allowBlank="1" showInputMessage="1" showErrorMessage="1">
          <x14:formula1>
            <xm:f>configs!$C$1:$C$2</xm:f>
          </x14:formula1>
          <xm:sqref>Q8:Q43</xm:sqref>
        </x14:dataValidation>
        <x14:dataValidation type="list" allowBlank="1" showInputMessage="1" showErrorMessage="1">
          <x14:formula1>
            <xm:f>configs!$B$1:$B$2</xm:f>
          </x14:formula1>
          <xm:sqref>S8:S43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A12" sqref="A12:XFD1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3" t="s">
        <v>38</v>
      </c>
      <c r="C1" s="143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3433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43186</v>
      </c>
      <c r="N8" s="21">
        <f ca="1">M8+O8</f>
        <v>43216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-8.6493957544321898</v>
      </c>
      <c r="T8" s="25">
        <v>80</v>
      </c>
      <c r="U8" s="24">
        <f>T8/10000*P8*H8</f>
        <v>2.2573150684931509</v>
      </c>
      <c r="V8" s="24">
        <f>IF(S8&lt;=0,ABS(S8)+U8,S8-U8)</f>
        <v>10.906710822925341</v>
      </c>
      <c r="W8" s="26">
        <f>V8/H8</f>
        <v>3.1770203387490067E-3</v>
      </c>
      <c r="X8" s="24">
        <f>_xll.dnetStandardBarrierNGreeks("delta",G8,H8,I8,K8,L8*H8,P8,$C$3,Q8,R8,$C$4)</f>
        <v>5.5740303723350593E-2</v>
      </c>
      <c r="Y8" s="24">
        <f>_xll.dnetStandardBarrierNGreeks("vega",G8,H8,I8,K8,L8*H8,P8,$C$3,Q8,R8,$C$4)</f>
        <v>0.76693692758542165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43186</v>
      </c>
      <c r="N9" s="8">
        <f ca="1">M9+O9</f>
        <v>43366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3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3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7" workbookViewId="0">
      <selection activeCell="I24" sqref="I2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6">
        <v>43087</v>
      </c>
      <c r="B1" s="67"/>
      <c r="C1" s="68" t="s">
        <v>49</v>
      </c>
      <c r="D1" s="67"/>
      <c r="E1" s="68" t="s">
        <v>50</v>
      </c>
      <c r="F1" s="69"/>
    </row>
    <row r="2" spans="1:6" ht="15.75" thickBot="1" x14ac:dyDescent="0.2">
      <c r="A2" s="70" t="s">
        <v>51</v>
      </c>
      <c r="B2" s="71" t="s">
        <v>52</v>
      </c>
      <c r="C2" s="72" t="s">
        <v>53</v>
      </c>
      <c r="D2" s="72" t="s">
        <v>54</v>
      </c>
      <c r="E2" s="72" t="s">
        <v>55</v>
      </c>
      <c r="F2" s="73" t="s">
        <v>56</v>
      </c>
    </row>
    <row r="3" spans="1:6" ht="15.75" thickBot="1" x14ac:dyDescent="0.2">
      <c r="A3" s="74" t="s">
        <v>57</v>
      </c>
      <c r="B3" s="75" t="s">
        <v>58</v>
      </c>
      <c r="C3" s="76">
        <v>0.20499999999999999</v>
      </c>
      <c r="D3" s="76">
        <v>0.25</v>
      </c>
      <c r="E3" s="76">
        <v>0.21</v>
      </c>
      <c r="F3" s="78">
        <v>0.25</v>
      </c>
    </row>
    <row r="4" spans="1:6" ht="15.75" thickBot="1" x14ac:dyDescent="0.2">
      <c r="A4" s="70" t="s">
        <v>59</v>
      </c>
      <c r="B4" s="71" t="s">
        <v>60</v>
      </c>
      <c r="C4" s="79">
        <v>0.13750000000000001</v>
      </c>
      <c r="D4" s="79">
        <v>0.1825</v>
      </c>
      <c r="E4" s="79">
        <v>0.14499999999999999</v>
      </c>
      <c r="F4" s="80">
        <v>0.185</v>
      </c>
    </row>
    <row r="5" spans="1:6" ht="15.75" thickBot="1" x14ac:dyDescent="0.2">
      <c r="A5" s="74" t="s">
        <v>61</v>
      </c>
      <c r="B5" s="75" t="s">
        <v>62</v>
      </c>
      <c r="C5" s="77"/>
      <c r="D5" s="77"/>
      <c r="E5" s="77"/>
      <c r="F5" s="81"/>
    </row>
    <row r="6" spans="1:6" ht="15.75" thickBot="1" x14ac:dyDescent="0.2">
      <c r="A6" s="70" t="s">
        <v>63</v>
      </c>
      <c r="B6" s="71" t="s">
        <v>64</v>
      </c>
      <c r="C6" s="82">
        <v>0.29499999999999998</v>
      </c>
      <c r="D6" s="82">
        <v>0.35499999999999998</v>
      </c>
      <c r="E6" s="82">
        <v>0.26500000000000001</v>
      </c>
      <c r="F6" s="83">
        <v>0.315</v>
      </c>
    </row>
    <row r="7" spans="1:6" ht="15.75" thickBot="1" x14ac:dyDescent="0.2">
      <c r="A7" s="74" t="s">
        <v>65</v>
      </c>
      <c r="B7" s="75" t="s">
        <v>66</v>
      </c>
      <c r="C7" s="76">
        <v>0.15</v>
      </c>
      <c r="D7" s="76">
        <v>0.19</v>
      </c>
      <c r="E7" s="76">
        <v>0.155</v>
      </c>
      <c r="F7" s="78">
        <v>0.19</v>
      </c>
    </row>
    <row r="8" spans="1:6" ht="15.75" thickBot="1" x14ac:dyDescent="0.2">
      <c r="A8" s="70" t="s">
        <v>67</v>
      </c>
      <c r="B8" s="71" t="s">
        <v>68</v>
      </c>
      <c r="C8" s="82">
        <v>0.32</v>
      </c>
      <c r="D8" s="82">
        <v>0.44</v>
      </c>
      <c r="E8" s="82">
        <v>0.32</v>
      </c>
      <c r="F8" s="83">
        <v>0.42</v>
      </c>
    </row>
    <row r="9" spans="1:6" ht="15.75" thickBot="1" x14ac:dyDescent="0.2">
      <c r="A9" s="74" t="s">
        <v>69</v>
      </c>
      <c r="B9" s="75" t="s">
        <v>70</v>
      </c>
      <c r="C9" s="76">
        <v>0.32</v>
      </c>
      <c r="D9" s="76">
        <v>0.44</v>
      </c>
      <c r="E9" s="76">
        <v>0.32</v>
      </c>
      <c r="F9" s="78">
        <v>0.42</v>
      </c>
    </row>
    <row r="10" spans="1:6" ht="15.75" thickBot="1" x14ac:dyDescent="0.2">
      <c r="A10" s="70" t="s">
        <v>71</v>
      </c>
      <c r="B10" s="71" t="s">
        <v>72</v>
      </c>
      <c r="C10" s="82">
        <v>0.24</v>
      </c>
      <c r="D10" s="82">
        <v>0.32</v>
      </c>
      <c r="E10" s="82">
        <v>0.27</v>
      </c>
      <c r="F10" s="83">
        <v>0.34</v>
      </c>
    </row>
    <row r="11" spans="1:6" ht="15.75" thickBot="1" x14ac:dyDescent="0.2">
      <c r="A11" s="74" t="s">
        <v>73</v>
      </c>
      <c r="B11" s="75" t="s">
        <v>74</v>
      </c>
      <c r="C11" s="76">
        <v>0.32250000000000001</v>
      </c>
      <c r="D11" s="76">
        <v>0.39750000000000002</v>
      </c>
      <c r="E11" s="76">
        <v>0.32500000000000001</v>
      </c>
      <c r="F11" s="78">
        <v>0.39500000000000002</v>
      </c>
    </row>
    <row r="12" spans="1:6" ht="15.75" thickBot="1" x14ac:dyDescent="0.2">
      <c r="A12" s="70" t="s">
        <v>75</v>
      </c>
      <c r="B12" s="71" t="s">
        <v>76</v>
      </c>
      <c r="C12" s="82">
        <v>0.215</v>
      </c>
      <c r="D12" s="82">
        <v>0.28499999999999998</v>
      </c>
      <c r="E12" s="82">
        <v>0.23499999999999999</v>
      </c>
      <c r="F12" s="83">
        <v>0.30499999999999999</v>
      </c>
    </row>
    <row r="13" spans="1:6" ht="15.75" thickBot="1" x14ac:dyDescent="0.2">
      <c r="A13" s="74" t="s">
        <v>77</v>
      </c>
      <c r="B13" s="75" t="s">
        <v>78</v>
      </c>
      <c r="C13" s="76">
        <v>9.2499999999999999E-2</v>
      </c>
      <c r="D13" s="76">
        <v>0.1225</v>
      </c>
      <c r="E13" s="76">
        <v>0.1</v>
      </c>
      <c r="F13" s="78">
        <v>0.13</v>
      </c>
    </row>
    <row r="14" spans="1:6" ht="15.75" thickBot="1" x14ac:dyDescent="0.2">
      <c r="A14" s="70" t="s">
        <v>79</v>
      </c>
      <c r="B14" s="71" t="s">
        <v>80</v>
      </c>
      <c r="C14" s="79">
        <v>0.11</v>
      </c>
      <c r="D14" s="79">
        <v>0.17</v>
      </c>
      <c r="E14" s="79">
        <v>0.14499999999999999</v>
      </c>
      <c r="F14" s="80">
        <v>0.19500000000000001</v>
      </c>
    </row>
    <row r="15" spans="1:6" ht="15.75" thickBot="1" x14ac:dyDescent="0.2">
      <c r="A15" s="74" t="s">
        <v>81</v>
      </c>
      <c r="B15" s="75" t="s">
        <v>82</v>
      </c>
      <c r="C15" s="77"/>
      <c r="D15" s="77"/>
      <c r="E15" s="77"/>
      <c r="F15" s="81"/>
    </row>
    <row r="16" spans="1:6" ht="15.75" thickBot="1" x14ac:dyDescent="0.2">
      <c r="A16" s="70" t="s">
        <v>83</v>
      </c>
      <c r="B16" s="71" t="s">
        <v>84</v>
      </c>
      <c r="C16" s="82">
        <v>0.13</v>
      </c>
      <c r="D16" s="82">
        <v>0.19</v>
      </c>
      <c r="E16" s="82">
        <v>0.185</v>
      </c>
      <c r="F16" s="83">
        <v>0.23499999999999999</v>
      </c>
    </row>
    <row r="17" spans="1:6" ht="15.75" thickBot="1" x14ac:dyDescent="0.2">
      <c r="A17" s="74" t="s">
        <v>85</v>
      </c>
      <c r="B17" s="75" t="s">
        <v>86</v>
      </c>
      <c r="C17" s="84">
        <v>0.14749999999999999</v>
      </c>
      <c r="D17" s="84">
        <v>0.19750000000000001</v>
      </c>
      <c r="E17" s="84">
        <v>0.16</v>
      </c>
      <c r="F17" s="85">
        <v>0.21</v>
      </c>
    </row>
    <row r="18" spans="1:6" ht="15.75" thickBot="1" x14ac:dyDescent="0.2">
      <c r="A18" s="70" t="s">
        <v>87</v>
      </c>
      <c r="B18" s="71" t="s">
        <v>88</v>
      </c>
      <c r="C18" s="86"/>
      <c r="D18" s="86"/>
      <c r="E18" s="86"/>
      <c r="F18" s="87"/>
    </row>
    <row r="19" spans="1:6" ht="15.75" thickBot="1" x14ac:dyDescent="0.2">
      <c r="A19" s="74" t="s">
        <v>89</v>
      </c>
      <c r="B19" s="75" t="s">
        <v>90</v>
      </c>
      <c r="C19" s="77"/>
      <c r="D19" s="77"/>
      <c r="E19" s="77"/>
      <c r="F19" s="81"/>
    </row>
    <row r="20" spans="1:6" ht="15.75" thickBot="1" x14ac:dyDescent="0.2">
      <c r="A20" s="70" t="s">
        <v>91</v>
      </c>
      <c r="B20" s="71" t="s">
        <v>92</v>
      </c>
      <c r="C20" s="79">
        <v>0.09</v>
      </c>
      <c r="D20" s="79">
        <v>0.17</v>
      </c>
      <c r="E20" s="79">
        <v>0.11</v>
      </c>
      <c r="F20" s="80">
        <v>0.19</v>
      </c>
    </row>
    <row r="21" spans="1:6" ht="15.75" thickBot="1" x14ac:dyDescent="0.2">
      <c r="A21" s="74" t="s">
        <v>93</v>
      </c>
      <c r="B21" s="75" t="s">
        <v>94</v>
      </c>
      <c r="C21" s="77"/>
      <c r="D21" s="77"/>
      <c r="E21" s="77"/>
      <c r="F21" s="81"/>
    </row>
    <row r="22" spans="1:6" ht="15.75" thickBot="1" x14ac:dyDescent="0.2">
      <c r="A22" s="70" t="s">
        <v>95</v>
      </c>
      <c r="B22" s="71" t="s">
        <v>96</v>
      </c>
      <c r="C22" s="82">
        <v>0.12</v>
      </c>
      <c r="D22" s="82">
        <v>0.16</v>
      </c>
      <c r="E22" s="82">
        <v>0.13500000000000001</v>
      </c>
      <c r="F22" s="83">
        <v>0.17</v>
      </c>
    </row>
    <row r="23" spans="1:6" ht="15.75" thickBot="1" x14ac:dyDescent="0.2">
      <c r="A23" s="74" t="s">
        <v>97</v>
      </c>
      <c r="B23" s="75" t="s">
        <v>98</v>
      </c>
      <c r="C23" s="76">
        <v>0.12</v>
      </c>
      <c r="D23" s="76">
        <v>0.16</v>
      </c>
      <c r="E23" s="76">
        <v>0.13500000000000001</v>
      </c>
      <c r="F23" s="78">
        <v>0.17499999999999999</v>
      </c>
    </row>
    <row r="24" spans="1:6" ht="15.75" thickBot="1" x14ac:dyDescent="0.2">
      <c r="A24" s="70" t="s">
        <v>39</v>
      </c>
      <c r="B24" s="71" t="s">
        <v>99</v>
      </c>
      <c r="C24" s="82">
        <v>7.7499999999999999E-2</v>
      </c>
      <c r="D24" s="82">
        <v>0.1225</v>
      </c>
      <c r="E24" s="82">
        <v>8.5000000000000006E-2</v>
      </c>
      <c r="F24" s="83">
        <v>0.125</v>
      </c>
    </row>
    <row r="25" spans="1:6" ht="15.75" thickBot="1" x14ac:dyDescent="0.2">
      <c r="A25" s="74" t="s">
        <v>100</v>
      </c>
      <c r="B25" s="75" t="s">
        <v>101</v>
      </c>
      <c r="C25" s="76">
        <v>0.1</v>
      </c>
      <c r="D25" s="76">
        <v>0.15</v>
      </c>
      <c r="E25" s="76">
        <v>0.105</v>
      </c>
      <c r="F25" s="78">
        <v>0.155</v>
      </c>
    </row>
    <row r="26" spans="1:6" ht="15.75" thickBot="1" x14ac:dyDescent="0.2">
      <c r="A26" s="70" t="s">
        <v>102</v>
      </c>
      <c r="B26" s="71" t="s">
        <v>103</v>
      </c>
      <c r="C26" s="79">
        <v>0.2</v>
      </c>
      <c r="D26" s="79">
        <v>0.28000000000000003</v>
      </c>
      <c r="E26" s="79">
        <v>0.2</v>
      </c>
      <c r="F26" s="80">
        <v>0.27</v>
      </c>
    </row>
    <row r="27" spans="1:6" ht="15.75" thickBot="1" x14ac:dyDescent="0.2">
      <c r="A27" s="74" t="s">
        <v>104</v>
      </c>
      <c r="B27" s="75" t="s">
        <v>105</v>
      </c>
      <c r="C27" s="88"/>
      <c r="D27" s="88"/>
      <c r="E27" s="88"/>
      <c r="F27" s="89"/>
    </row>
    <row r="28" spans="1:6" ht="15.75" thickBot="1" x14ac:dyDescent="0.2">
      <c r="A28" s="70" t="s">
        <v>106</v>
      </c>
      <c r="B28" s="71" t="s">
        <v>107</v>
      </c>
      <c r="C28" s="90"/>
      <c r="D28" s="90"/>
      <c r="E28" s="90"/>
      <c r="F28" s="91"/>
    </row>
    <row r="29" spans="1:6" ht="15.75" thickBot="1" x14ac:dyDescent="0.2">
      <c r="A29" s="74" t="s">
        <v>108</v>
      </c>
      <c r="B29" s="75" t="s">
        <v>109</v>
      </c>
      <c r="C29" s="76">
        <v>0.23250000000000001</v>
      </c>
      <c r="D29" s="76">
        <v>0.28749999999999998</v>
      </c>
      <c r="E29" s="76">
        <v>0.22</v>
      </c>
      <c r="F29" s="78">
        <v>0.27</v>
      </c>
    </row>
    <row r="30" spans="1:6" ht="15.75" thickBot="1" x14ac:dyDescent="0.2">
      <c r="A30" s="70" t="s">
        <v>110</v>
      </c>
      <c r="B30" s="71" t="s">
        <v>111</v>
      </c>
      <c r="C30" s="79">
        <v>0.19</v>
      </c>
      <c r="D30" s="79">
        <v>0.23</v>
      </c>
      <c r="E30" s="79">
        <v>0.2</v>
      </c>
      <c r="F30" s="80">
        <v>0.24</v>
      </c>
    </row>
    <row r="31" spans="1:6" ht="15.75" thickBot="1" x14ac:dyDescent="0.2">
      <c r="A31" s="74" t="s">
        <v>112</v>
      </c>
      <c r="B31" s="75" t="s">
        <v>113</v>
      </c>
      <c r="C31" s="77"/>
      <c r="D31" s="77"/>
      <c r="E31" s="77"/>
      <c r="F31" s="81"/>
    </row>
    <row r="32" spans="1:6" ht="15.75" thickBot="1" x14ac:dyDescent="0.2">
      <c r="A32" s="70" t="s">
        <v>114</v>
      </c>
      <c r="B32" s="71" t="s">
        <v>115</v>
      </c>
      <c r="C32" s="82">
        <v>0.3</v>
      </c>
      <c r="D32" s="82">
        <v>0.4</v>
      </c>
      <c r="E32" s="82">
        <v>0.30499999999999999</v>
      </c>
      <c r="F32" s="83">
        <v>0.39500000000000002</v>
      </c>
    </row>
    <row r="33" spans="1:6" ht="15.75" thickBot="1" x14ac:dyDescent="0.2">
      <c r="A33" s="74" t="s">
        <v>116</v>
      </c>
      <c r="B33" s="75" t="s">
        <v>117</v>
      </c>
      <c r="C33" s="76">
        <v>0.1225</v>
      </c>
      <c r="D33" s="76">
        <v>0.16250000000000001</v>
      </c>
      <c r="E33" s="76">
        <v>0.13</v>
      </c>
      <c r="F33" s="78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5" t="s">
        <v>37</v>
      </c>
      <c r="C1" s="145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3433</v>
      </c>
      <c r="I8" s="19">
        <v>3800</v>
      </c>
      <c r="J8" s="21">
        <f ca="1">TODAY()</f>
        <v>43186</v>
      </c>
      <c r="K8" s="21">
        <f ca="1">J8+L8</f>
        <v>43216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18.442947478311623</v>
      </c>
      <c r="P8" s="25">
        <v>80</v>
      </c>
      <c r="Q8" s="24">
        <f>P8/10000*M8*H8*(-E8)</f>
        <v>2.2573150684931509</v>
      </c>
      <c r="R8" s="24">
        <f>O8+Q8</f>
        <v>20.700262546804773</v>
      </c>
      <c r="S8" s="26">
        <f>R8/H8</f>
        <v>6.0297880998557447E-3</v>
      </c>
      <c r="T8" s="24">
        <f>_xll.dnetGBlackScholesNGreeks("delta",$G8,$H8,$I8,$M8,$C$3,$C$4,$N8,$C$4)</f>
        <v>0.1294804922537196</v>
      </c>
      <c r="U8" s="24">
        <f>_xll.dnetGBlackScholesNGreeks("vega",$G8,$H8,$I8,$M8,$C$3,$C$4,$N8)</f>
        <v>2.0748984902755012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43186</v>
      </c>
      <c r="K9" s="8">
        <f ca="1">J9+L9</f>
        <v>43216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43186</v>
      </c>
      <c r="K10" s="8">
        <f ca="1">J10+L10</f>
        <v>43216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2018-03-27T07:37:26Z</dcterms:modified>
</cp:coreProperties>
</file>