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40" i="2" l="1"/>
  <c r="I15" i="1" l="1"/>
  <c r="I14" i="1"/>
  <c r="R18" i="1"/>
  <c r="I18" i="1"/>
  <c r="E18" i="1"/>
  <c r="F18" i="1" s="1"/>
  <c r="R17" i="1"/>
  <c r="I17" i="1"/>
  <c r="E17" i="1"/>
  <c r="F17" i="1" s="1"/>
  <c r="P18" i="1"/>
  <c r="P17" i="1"/>
  <c r="U17" i="1"/>
  <c r="V18" i="1"/>
  <c r="X17" i="1" l="1"/>
  <c r="L18" i="1"/>
  <c r="V17" i="1"/>
  <c r="U18" i="1"/>
  <c r="L17" i="1"/>
  <c r="O17" i="1" l="1"/>
  <c r="T17" i="1" s="1"/>
  <c r="O18" i="1"/>
  <c r="T18" i="1" s="1"/>
  <c r="X18" i="1"/>
  <c r="R15" i="1" l="1"/>
  <c r="E15" i="1"/>
  <c r="F15" i="1" s="1"/>
  <c r="R14" i="1"/>
  <c r="E14" i="1"/>
  <c r="F14" i="1" s="1"/>
  <c r="V15" i="1"/>
  <c r="L14" i="1"/>
  <c r="N14" i="1" l="1"/>
  <c r="O14" i="1" s="1"/>
  <c r="T14" i="1" s="1"/>
  <c r="N15" i="1"/>
  <c r="K42" i="9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U15" i="1"/>
  <c r="U14" i="1"/>
  <c r="V14" i="1"/>
  <c r="L15" i="1"/>
  <c r="P41" i="9"/>
  <c r="U41" i="9"/>
  <c r="X15" i="1" l="1"/>
  <c r="O15" i="1"/>
  <c r="T15" i="1" s="1"/>
  <c r="X14" i="1"/>
  <c r="I42" i="9"/>
  <c r="I43" i="9" s="1"/>
  <c r="P42" i="9"/>
  <c r="E42" i="9"/>
  <c r="E43" i="9" s="1"/>
  <c r="V41" i="9"/>
  <c r="U42" i="9"/>
  <c r="V42" i="9"/>
  <c r="L42" i="9"/>
  <c r="L41" i="9"/>
  <c r="V43" i="9" l="1"/>
  <c r="O42" i="9"/>
  <c r="L43" i="9"/>
  <c r="U43" i="9"/>
  <c r="O41" i="9"/>
  <c r="P43" i="9"/>
  <c r="N43" i="9" s="1"/>
  <c r="O43" i="9" l="1"/>
  <c r="T43" i="9" s="1"/>
  <c r="I12" i="1" l="1"/>
  <c r="I11" i="1"/>
  <c r="R12" i="1"/>
  <c r="E12" i="1"/>
  <c r="F12" i="1" s="1"/>
  <c r="R11" i="1"/>
  <c r="E11" i="1"/>
  <c r="F11" i="1" s="1"/>
  <c r="P11" i="1"/>
  <c r="P12" i="1"/>
  <c r="L12" i="1"/>
  <c r="V11" i="1"/>
  <c r="N12" i="1" l="1"/>
  <c r="O12" i="1" s="1"/>
  <c r="T12" i="1" s="1"/>
  <c r="N11" i="1"/>
  <c r="V12" i="1"/>
  <c r="L11" i="1"/>
  <c r="U11" i="1"/>
  <c r="U12" i="1"/>
  <c r="X12" i="1" l="1"/>
  <c r="O11" i="1"/>
  <c r="T11" i="1" s="1"/>
  <c r="X11" i="1"/>
  <c r="I9" i="1"/>
  <c r="R9" i="1"/>
  <c r="E9" i="1"/>
  <c r="F9" i="1" s="1"/>
  <c r="P9" i="1"/>
  <c r="L9" i="1"/>
  <c r="N9" i="1" l="1"/>
  <c r="O9" i="1" s="1"/>
  <c r="T9" i="1" s="1"/>
  <c r="D36" i="9"/>
  <c r="D37" i="9" s="1"/>
  <c r="P38" i="9"/>
  <c r="V9" i="1"/>
  <c r="U9" i="1"/>
  <c r="X9" i="1" l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V38" i="9"/>
  <c r="P35" i="9"/>
  <c r="E39" i="9" l="1"/>
  <c r="E40" i="9" s="1"/>
  <c r="I39" i="9"/>
  <c r="I40" i="9" s="1"/>
  <c r="P36" i="9"/>
  <c r="P37" i="9" s="1"/>
  <c r="E36" i="9"/>
  <c r="E37" i="9" s="1"/>
  <c r="I36" i="9"/>
  <c r="L35" i="9"/>
  <c r="U39" i="9"/>
  <c r="L38" i="9"/>
  <c r="L36" i="9"/>
  <c r="U36" i="9"/>
  <c r="U35" i="9"/>
  <c r="V35" i="9"/>
  <c r="U38" i="9"/>
  <c r="L39" i="9"/>
  <c r="V39" i="9"/>
  <c r="V36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L29" i="9"/>
  <c r="U32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U33" i="9"/>
  <c r="V29" i="9"/>
  <c r="V32" i="9"/>
  <c r="V33" i="9"/>
  <c r="U29" i="9"/>
  <c r="L32" i="9"/>
  <c r="V30" i="9"/>
  <c r="L30" i="9"/>
  <c r="L33" i="9"/>
  <c r="U30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7" i="9"/>
  <c r="P20" i="9"/>
  <c r="P26" i="9"/>
  <c r="P23" i="9"/>
  <c r="P11" i="9"/>
  <c r="P14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L23" i="9"/>
  <c r="V12" i="9"/>
  <c r="L12" i="9"/>
  <c r="V18" i="9"/>
  <c r="U24" i="9"/>
  <c r="U27" i="9"/>
  <c r="V14" i="9"/>
  <c r="V24" i="9"/>
  <c r="U26" i="9"/>
  <c r="U12" i="9"/>
  <c r="U21" i="9"/>
  <c r="L17" i="9"/>
  <c r="V17" i="9"/>
  <c r="L14" i="9"/>
  <c r="L11" i="9"/>
  <c r="U20" i="9"/>
  <c r="L18" i="9"/>
  <c r="L24" i="9"/>
  <c r="V23" i="9"/>
  <c r="V26" i="9"/>
  <c r="V15" i="9"/>
  <c r="U11" i="9"/>
  <c r="L15" i="9"/>
  <c r="U18" i="9"/>
  <c r="V27" i="9"/>
  <c r="L27" i="9"/>
  <c r="L20" i="9"/>
  <c r="L21" i="9"/>
  <c r="U15" i="9"/>
  <c r="L26" i="9"/>
  <c r="V20" i="9"/>
  <c r="V21" i="9"/>
  <c r="U23" i="9"/>
  <c r="U17" i="9"/>
  <c r="U14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V9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O9" i="7"/>
  <c r="H8" i="8"/>
  <c r="H8" i="7"/>
  <c r="U9" i="7"/>
  <c r="K9" i="8"/>
  <c r="O10" i="7"/>
  <c r="U10" i="7"/>
  <c r="T9" i="7"/>
  <c r="U8" i="8" l="1"/>
  <c r="Q9" i="7"/>
  <c r="R9" i="7" s="1"/>
  <c r="S9" i="7" s="1"/>
  <c r="Q10" i="7"/>
  <c r="R10" i="7" s="1"/>
  <c r="S10" i="7" s="1"/>
  <c r="Q8" i="7"/>
  <c r="X9" i="8"/>
  <c r="O8" i="7"/>
  <c r="Y9" i="8"/>
  <c r="U8" i="7"/>
  <c r="T8" i="7"/>
  <c r="K8" i="8"/>
  <c r="S9" i="8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P8" i="1"/>
  <c r="N8" i="1" l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<sst xmlns="http://schemas.openxmlformats.org/spreadsheetml/2006/main" count="1175" uniqueCount="238">
  <si>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</si>
  <si>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</si>
  <si>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</si>
  <si>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</si>
  <si>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</si>
  <si>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</si>
  <si>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</si>
  <si>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</si>
  <si>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</si>
  <si>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</si>
  <si>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</si>
  <si>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</si>
  <si>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</si>
  <si>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</si>
  <si>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</si>
  <si>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</si>
  <si>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</si>
  <si>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</si>
  <si>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</si>
  <si>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</si>
  <si>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</si>
  <si>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</si>
  <si>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</si>
  <si>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</si>
  <si>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</si>
  <si>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</si>
  <si>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</si>
  <si>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</si>
  <si>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</si>
  <si>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</si>
  <si>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</si>
  <si>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</si>
  <si>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</si>
  <si>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</si>
  <si>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</si>
  <si>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</si>
  <si>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</si>
  <si>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</si>
  <si>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</si>
  <si>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</si>
  <si>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</si>
  <si>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</si>
  <si>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</si>
  <si>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</si>
  <si>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</si>
  <si>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</si>
  <si>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</si>
  <si>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</si>
  <si>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</si>
  <si>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</si>
  <si>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</si>
  <si>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</si>
  <si>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</si>
  <si>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</si>
  <si>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</si>
  <si>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</si>
  <si>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</si>
  <si>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</si>
  <si>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</si>
  <si>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</si>
  <si>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</si>
  <si>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</si>
  <si>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</si>
  <si>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</si>
  <si>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</si>
  <si>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</si>
  <si>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</si>
  <si>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</si>
  <si>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</si>
  <si>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</si>
  <si>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</si>
  <si>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</si>
  <si>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</si>
  <si>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</si>
  <si>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</si>
  <si>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</si>
  <si>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</si>
  <si>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</si>
  <si>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</si>
  <si>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</si>
  <si>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</si>
  <si>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</si>
  <si>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</si>
  <si>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</si>
  <si>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</si>
  <si>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</si>
  <si>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</si>
  <si>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</si>
  <si>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</si>
  <si>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</si>
  <si>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</si>
  <si>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</si>
  <si>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</si>
  <si>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</si>
  <si>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</si>
  <si>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</si>
  <si>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</si>
  <si>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</si>
  <si>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</si>
  <si>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</si>
  <si>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</si>
  <si>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</si>
  <si>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</si>
  <si>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</si>
  <si>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</si>
  <si>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</si>
  <si>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</si>
  <si>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</si>
  <si>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</si>
  <si>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</si>
  <si>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</si>
  <si>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</si>
  <si>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</si>
  <si>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</si>
  <si>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</si>
  <si>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</si>
  <si>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</si>
  <si>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</si>
  <si>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</si>
  <si>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</si>
  <si>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</si>
  <si>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</si>
  <si>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</si>
  <si>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</si>
  <si>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</si>
  <si>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</si>
  <si>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</si>
  <si>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</si>
  <si>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</si>
  <si>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</si>
  <si>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</si>
  <si>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</si>
  <si>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</si>
  <si>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</si>
  <si>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</si>
  <si>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</si>
  <si>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</si>
  <si>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</si>
  <si>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</si>
  <si>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</si>
  <si>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</si>
  <si>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</si>
  <si>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</si>
  <si>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</si>
  <si>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</si>
  <si>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</si>
  <si>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</si>
  <si>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</si>
  <si>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</si>
  <si>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</si>
  <si>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</si>
  <si>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</si>
  <si>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</si>
  <si>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</si>
  <si>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</si>
  <si>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</si>
  <si>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</si>
  <si>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</si>
  <si>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</si>
  <si>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</si>
  <si>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</si>
  <si>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</si>
  <si>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</si>
  <si>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</si>
  <si>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</si>
  <si>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</si>
  <si>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</si>
  <si>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</si>
  <si>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</si>
  <si>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</si>
  <si>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</si>
  <si>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</si>
  <si>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</si>
  <si>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</si>
  <si>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</si>
  <si>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</si>
  <si>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</si>
  <si>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</si>
  <si>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</si>
  <si>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</si>
  <si>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</si>
  <si>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</si>
  <si>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</si>
  <si>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</si>
  <si>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</si>
  <si>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</si>
  <si>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</si>
  <si>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</si>
  <si>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</si>
  <si>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</si>
  <si>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</si>
  <si>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</si>
  <si>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</si>
  <si>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</si>
  <si>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</si>
  <si>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</si>
  <si>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</si>
  <si>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</si>
  <si>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</si>
  <si>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</si>
  <si>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</si>
  <si>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</si>
  <si>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</si>
  <si>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</si>
  <si>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</si>
  <si>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</si>
  <si>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</si>
  <si>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</si>
  <si>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</si>
  <si>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</si>
  <si>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</si>
  <si>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</si>
  <si>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</si>
  <si>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</si>
  <si>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sm805</t>
    <phoneticPr fontId="1" type="noConversion"/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</si>
  <si>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</si>
  <si>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</si>
  <si>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</si>
  <si>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</si>
  <si>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</si>
  <si>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</si>
  <si>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</si>
  <si>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</si>
  <si>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</si>
  <si>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au1806</t>
    <phoneticPr fontId="1" type="noConversion"/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</si>
  <si>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</si>
  <si>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</si>
  <si>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</si>
  <si>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</si>
  <si>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</si>
  <si>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</si>
  <si>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</si>
  <si>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c</t>
    <phoneticPr fontId="1" type="noConversion"/>
  </si>
  <si>
    <t>cu1806</t>
    <phoneticPr fontId="1" type="noConversion"/>
  </si>
  <si>
    <t>中友信德</t>
    <phoneticPr fontId="1" type="noConversion"/>
  </si>
  <si>
    <t>中金公司</t>
    <phoneticPr fontId="1" type="noConversion"/>
  </si>
  <si>
    <t>看跌期权</t>
    <phoneticPr fontId="1" type="noConversion"/>
  </si>
  <si>
    <t>jm1805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</si>
</sst>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0.00000000000000_ "/>
  </numFmts>
  <fonts count="3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5" fillId="6" borderId="0" xfId="0" applyNumberFormat="1" applyFont="1" applyFill="1"/>
    <xf numFmtId="0" fontId="33" fillId="6" borderId="0" xfId="0" applyFont="1" applyFill="1"/>
    <xf numFmtId="2" fontId="33" fillId="9" borderId="2" xfId="0" applyNumberFormat="1" applyFont="1" applyFill="1" applyBorder="1"/>
    <xf numFmtId="0" fontId="33" fillId="9" borderId="2" xfId="0" applyFont="1" applyFill="1" applyBorder="1"/>
    <xf numFmtId="14" fontId="33" fillId="5" borderId="2" xfId="0" applyNumberFormat="1" applyFont="1" applyFill="1" applyBorder="1"/>
    <xf numFmtId="177" fontId="33" fillId="9" borderId="2" xfId="0" applyNumberFormat="1" applyFont="1" applyFill="1" applyBorder="1"/>
    <xf numFmtId="0" fontId="33" fillId="4" borderId="2" xfId="0" applyFont="1" applyFill="1" applyBorder="1"/>
    <xf numFmtId="0" fontId="33" fillId="8" borderId="2" xfId="0" applyFont="1" applyFill="1" applyBorder="1"/>
    <xf numFmtId="178" fontId="33" fillId="9" borderId="2" xfId="0" applyNumberFormat="1" applyFont="1" applyFill="1" applyBorder="1"/>
    <xf numFmtId="10" fontId="33" fillId="9" borderId="2" xfId="1" applyNumberFormat="1" applyFont="1" applyFill="1" applyBorder="1" applyAlignment="1"/>
    <xf numFmtId="43" fontId="5" fillId="6" borderId="0" xfId="2" applyFont="1" applyFill="1" applyAlignment="1"/>
    <xf numFmtId="43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49430</v>
        <stp/>
        <stp>cu1806</stp>
        <stp>LastPrice</stp>
        <tr r="P17" s="1"/>
        <tr r="P18" s="1"/>
      </tp>
      <tp t="e">
        <v>#N/A</v>
        <stp/>
        <stp>au1806</stp>
        <stp>LastPrice</stp>
        <tr r="P12" s="1"/>
        <tr r="P11" s="1"/>
      </tp>
      <tp t="e">
        <v>#N/A</v>
        <stp/>
        <stp>al1807</stp>
        <stp>LastPrice</stp>
        <tr r="P41" s="9"/>
      </tp>
      <tp t="e">
        <v>#N/A</v>
        <stp/>
        <stp>al1808</stp>
        <stp>LastPrice</stp>
        <tr r="P9" s="1"/>
      </tp>
      <tp t="e">
        <v>#N/A</v>
        <stp/>
        <stp>rb1810</stp>
        <stp>LastPrice</stp>
        <tr r="P14" s="9"/>
        <tr r="P11" s="9"/>
        <tr r="P23" s="9"/>
        <tr r="P26" s="9"/>
        <tr r="P20" s="9"/>
        <tr r="P17" s="9"/>
        <tr r="P35" s="9"/>
        <tr r="P38" s="9"/>
      </tp>
      <tp t="e">
        <v>#N/A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76"/>
  <sheetViews>
    <sheetView topLeftCell="A43" zoomScaleNormal="100" workbookViewId="0">
      <selection activeCell="C75" sqref="C75:R7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32" t="s">
        <v>158</v>
      </c>
      <c r="C1" s="132"/>
      <c r="D1" s="132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215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217</v>
      </c>
      <c r="Q44" s="114"/>
      <c r="R44" s="114" t="s">
        <v>216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218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217</v>
      </c>
      <c r="Q50" s="114"/>
      <c r="R50" s="114" t="s">
        <v>216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219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219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219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219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219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219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220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220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220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221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223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223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226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228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229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230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231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2" t="s">
        <v>158</v>
      </c>
      <c r="C1" s="132"/>
      <c r="D1" s="13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4" activePane="bottomLeft" state="frozen"/>
      <selection pane="bottomLeft" activeCell="H35" sqref="G35:J48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48" t="s">
        <v>118</v>
      </c>
      <c r="C1" s="148"/>
    </row>
    <row r="2" spans="2:20" ht="11.25" thickTop="1" x14ac:dyDescent="0.15"/>
    <row r="3" spans="2:20" ht="11.25" thickBot="1" x14ac:dyDescent="0.2">
      <c r="B3" s="149" t="s">
        <v>119</v>
      </c>
      <c r="C3" s="149"/>
      <c r="D3" s="149"/>
      <c r="E3" s="149"/>
      <c r="G3" s="153" t="s">
        <v>120</v>
      </c>
      <c r="H3" s="153"/>
      <c r="I3" s="153"/>
      <c r="J3" s="153"/>
      <c r="L3" s="149" t="s">
        <v>165</v>
      </c>
      <c r="M3" s="149"/>
      <c r="N3" s="149"/>
      <c r="O3" s="149"/>
      <c r="Q3" s="153" t="s">
        <v>166</v>
      </c>
      <c r="R3" s="153"/>
      <c r="S3" s="153"/>
      <c r="T3" s="153"/>
    </row>
    <row r="4" spans="2:20" ht="12" thickTop="1" thickBot="1" x14ac:dyDescent="0.2">
      <c r="B4" s="150" t="s">
        <v>121</v>
      </c>
      <c r="C4" s="150"/>
      <c r="D4" s="150"/>
      <c r="E4" s="150"/>
      <c r="G4" s="150" t="s">
        <v>34</v>
      </c>
      <c r="H4" s="150"/>
      <c r="I4" s="150"/>
      <c r="J4" s="150"/>
      <c r="L4" s="150" t="s">
        <v>121</v>
      </c>
      <c r="M4" s="150"/>
      <c r="N4" s="150"/>
      <c r="O4" s="150"/>
      <c r="Q4" s="150" t="s">
        <v>34</v>
      </c>
      <c r="R4" s="150"/>
      <c r="S4" s="150"/>
      <c r="T4" s="150"/>
    </row>
    <row r="5" spans="2:20" ht="15" customHeight="1" thickTop="1" x14ac:dyDescent="0.15">
      <c r="B5" s="147" t="s">
        <v>122</v>
      </c>
      <c r="C5" s="147"/>
      <c r="D5" s="151"/>
      <c r="E5" s="152"/>
      <c r="G5" s="147" t="s">
        <v>123</v>
      </c>
      <c r="H5" s="147"/>
      <c r="I5" s="107"/>
      <c r="J5" s="108"/>
      <c r="L5" s="105" t="s">
        <v>122</v>
      </c>
      <c r="M5" s="106"/>
      <c r="N5" s="107"/>
      <c r="O5" s="108"/>
      <c r="Q5" s="147" t="s">
        <v>123</v>
      </c>
      <c r="R5" s="147"/>
      <c r="S5" s="107"/>
      <c r="T5" s="108"/>
    </row>
    <row r="6" spans="2:20" x14ac:dyDescent="0.15">
      <c r="B6" s="147" t="s">
        <v>124</v>
      </c>
      <c r="C6" s="147"/>
      <c r="D6" s="145" t="s">
        <v>125</v>
      </c>
      <c r="E6" s="146"/>
      <c r="G6" s="147" t="s">
        <v>126</v>
      </c>
      <c r="H6" s="147"/>
      <c r="I6" s="145"/>
      <c r="J6" s="146"/>
      <c r="L6" s="147" t="s">
        <v>124</v>
      </c>
      <c r="M6" s="147"/>
      <c r="N6" s="145" t="s">
        <v>125</v>
      </c>
      <c r="O6" s="146"/>
      <c r="Q6" s="147" t="s">
        <v>126</v>
      </c>
      <c r="R6" s="147"/>
      <c r="S6" s="145"/>
      <c r="T6" s="146"/>
    </row>
    <row r="7" spans="2:20" ht="2.25" customHeight="1" x14ac:dyDescent="0.15">
      <c r="B7" s="147" t="s">
        <v>127</v>
      </c>
      <c r="C7" s="147"/>
      <c r="D7" s="145" t="s">
        <v>125</v>
      </c>
      <c r="E7" s="146"/>
      <c r="G7" s="147" t="s">
        <v>128</v>
      </c>
      <c r="H7" s="147"/>
      <c r="I7" s="145"/>
      <c r="J7" s="146"/>
      <c r="L7" s="147" t="s">
        <v>127</v>
      </c>
      <c r="M7" s="147"/>
      <c r="N7" s="145" t="s">
        <v>125</v>
      </c>
      <c r="O7" s="146"/>
      <c r="Q7" s="147" t="s">
        <v>128</v>
      </c>
      <c r="R7" s="147"/>
      <c r="S7" s="145"/>
      <c r="T7" s="146"/>
    </row>
    <row r="8" spans="2:20" hidden="1" x14ac:dyDescent="0.15">
      <c r="B8" s="147" t="s">
        <v>129</v>
      </c>
      <c r="C8" s="147"/>
      <c r="D8" s="145">
        <f>D13*D15</f>
        <v>305000</v>
      </c>
      <c r="E8" s="146"/>
      <c r="G8" s="147" t="s">
        <v>130</v>
      </c>
      <c r="H8" s="147"/>
      <c r="I8" s="145"/>
      <c r="J8" s="146"/>
      <c r="L8" s="147" t="s">
        <v>129</v>
      </c>
      <c r="M8" s="147"/>
      <c r="N8" s="145">
        <f>N14*N16</f>
        <v>305000</v>
      </c>
      <c r="O8" s="146"/>
      <c r="Q8" s="147" t="s">
        <v>130</v>
      </c>
      <c r="R8" s="147"/>
      <c r="S8" s="145"/>
      <c r="T8" s="146"/>
    </row>
    <row r="9" spans="2:20" hidden="1" x14ac:dyDescent="0.15">
      <c r="B9" s="147" t="s">
        <v>131</v>
      </c>
      <c r="C9" s="147"/>
      <c r="D9" s="145" t="s">
        <v>132</v>
      </c>
      <c r="E9" s="146"/>
      <c r="G9" s="147" t="s">
        <v>133</v>
      </c>
      <c r="H9" s="147"/>
      <c r="I9" s="145"/>
      <c r="J9" s="146"/>
      <c r="L9" s="147" t="s">
        <v>131</v>
      </c>
      <c r="M9" s="147"/>
      <c r="N9" s="145" t="s">
        <v>132</v>
      </c>
      <c r="O9" s="146"/>
      <c r="Q9" s="147" t="s">
        <v>133</v>
      </c>
      <c r="R9" s="147"/>
      <c r="S9" s="145"/>
      <c r="T9" s="146"/>
    </row>
    <row r="10" spans="2:20" hidden="1" x14ac:dyDescent="0.15">
      <c r="B10" s="147" t="s">
        <v>134</v>
      </c>
      <c r="C10" s="147"/>
      <c r="D10" s="145">
        <v>43084</v>
      </c>
      <c r="E10" s="146"/>
      <c r="G10" s="109" t="s">
        <v>135</v>
      </c>
      <c r="H10" s="109"/>
      <c r="I10" s="145"/>
      <c r="J10" s="146"/>
      <c r="L10" s="147" t="s">
        <v>134</v>
      </c>
      <c r="M10" s="147"/>
      <c r="N10" s="145">
        <v>43084</v>
      </c>
      <c r="O10" s="146"/>
      <c r="Q10" s="109" t="s">
        <v>135</v>
      </c>
      <c r="R10" s="109"/>
      <c r="S10" s="145"/>
      <c r="T10" s="146"/>
    </row>
    <row r="11" spans="2:20" hidden="1" x14ac:dyDescent="0.15">
      <c r="B11" s="147" t="s">
        <v>136</v>
      </c>
      <c r="C11" s="147"/>
      <c r="D11" s="145">
        <v>3935</v>
      </c>
      <c r="E11" s="146"/>
      <c r="G11" s="147" t="s">
        <v>137</v>
      </c>
      <c r="H11" s="147"/>
      <c r="I11" s="145"/>
      <c r="J11" s="146"/>
      <c r="L11" s="147" t="s">
        <v>136</v>
      </c>
      <c r="M11" s="147"/>
      <c r="N11" s="145">
        <v>3935</v>
      </c>
      <c r="O11" s="146"/>
      <c r="Q11" s="147" t="s">
        <v>137</v>
      </c>
      <c r="R11" s="147"/>
      <c r="S11" s="145"/>
      <c r="T11" s="146"/>
    </row>
    <row r="12" spans="2:20" hidden="1" x14ac:dyDescent="0.15">
      <c r="B12" s="147" t="s">
        <v>138</v>
      </c>
      <c r="C12" s="147"/>
      <c r="D12" s="145">
        <v>3800</v>
      </c>
      <c r="E12" s="146"/>
      <c r="G12" s="147" t="s">
        <v>139</v>
      </c>
      <c r="H12" s="147"/>
      <c r="I12" s="145"/>
      <c r="J12" s="146"/>
      <c r="L12" s="147" t="s">
        <v>163</v>
      </c>
      <c r="M12" s="147"/>
      <c r="N12" s="145">
        <v>3800</v>
      </c>
      <c r="O12" s="146"/>
      <c r="Q12" s="147" t="s">
        <v>167</v>
      </c>
      <c r="R12" s="147"/>
      <c r="S12" s="145"/>
      <c r="T12" s="146"/>
    </row>
    <row r="13" spans="2:20" hidden="1" x14ac:dyDescent="0.15">
      <c r="B13" s="147" t="s">
        <v>140</v>
      </c>
      <c r="C13" s="147"/>
      <c r="D13" s="145">
        <v>61</v>
      </c>
      <c r="E13" s="146"/>
      <c r="G13" s="147" t="s">
        <v>141</v>
      </c>
      <c r="H13" s="147"/>
      <c r="I13" s="145"/>
      <c r="J13" s="146"/>
      <c r="L13" s="147" t="s">
        <v>164</v>
      </c>
      <c r="M13" s="147"/>
      <c r="N13" s="145">
        <v>3800</v>
      </c>
      <c r="O13" s="146"/>
      <c r="Q13" s="147" t="s">
        <v>168</v>
      </c>
      <c r="R13" s="147"/>
      <c r="S13" s="145"/>
      <c r="T13" s="146"/>
    </row>
    <row r="14" spans="2:20" hidden="1" x14ac:dyDescent="0.15">
      <c r="B14" s="147" t="s">
        <v>142</v>
      </c>
      <c r="C14" s="147"/>
      <c r="D14" s="145" t="s">
        <v>143</v>
      </c>
      <c r="E14" s="146"/>
      <c r="G14" s="147" t="s">
        <v>144</v>
      </c>
      <c r="H14" s="147"/>
      <c r="I14" s="110"/>
      <c r="J14" s="111"/>
      <c r="L14" s="147" t="s">
        <v>140</v>
      </c>
      <c r="M14" s="147"/>
      <c r="N14" s="145">
        <v>61</v>
      </c>
      <c r="O14" s="146"/>
      <c r="Q14" s="147" t="s">
        <v>141</v>
      </c>
      <c r="R14" s="147"/>
      <c r="S14" s="145"/>
      <c r="T14" s="146"/>
    </row>
    <row r="15" spans="2:20" hidden="1" x14ac:dyDescent="0.15">
      <c r="B15" s="147" t="s">
        <v>145</v>
      </c>
      <c r="C15" s="147"/>
      <c r="D15" s="145">
        <v>5000</v>
      </c>
      <c r="E15" s="146"/>
      <c r="G15" s="147" t="s">
        <v>146</v>
      </c>
      <c r="H15" s="147"/>
      <c r="I15" s="145"/>
      <c r="J15" s="146"/>
      <c r="L15" s="147" t="s">
        <v>142</v>
      </c>
      <c r="M15" s="147"/>
      <c r="N15" s="145" t="s">
        <v>143</v>
      </c>
      <c r="O15" s="146"/>
      <c r="Q15" s="147" t="s">
        <v>144</v>
      </c>
      <c r="R15" s="147"/>
      <c r="S15" s="110"/>
      <c r="T15" s="111"/>
    </row>
    <row r="16" spans="2:20" ht="11.25" hidden="1" thickBot="1" x14ac:dyDescent="0.2">
      <c r="B16" s="142" t="s">
        <v>147</v>
      </c>
      <c r="C16" s="142"/>
      <c r="D16" s="143" t="s">
        <v>148</v>
      </c>
      <c r="E16" s="144"/>
      <c r="G16" s="142" t="s">
        <v>149</v>
      </c>
      <c r="H16" s="142"/>
      <c r="I16" s="143"/>
      <c r="J16" s="144"/>
      <c r="L16" s="147" t="s">
        <v>145</v>
      </c>
      <c r="M16" s="147"/>
      <c r="N16" s="145">
        <v>5000</v>
      </c>
      <c r="O16" s="146"/>
      <c r="Q16" s="147" t="s">
        <v>146</v>
      </c>
      <c r="R16" s="147"/>
      <c r="S16" s="145"/>
      <c r="T16" s="146"/>
    </row>
    <row r="17" spans="2:25" ht="12" hidden="1" thickTop="1" thickBot="1" x14ac:dyDescent="0.2">
      <c r="L17" s="142" t="s">
        <v>147</v>
      </c>
      <c r="M17" s="142"/>
      <c r="N17" s="143" t="s">
        <v>148</v>
      </c>
      <c r="O17" s="144"/>
      <c r="Q17" s="142" t="s">
        <v>149</v>
      </c>
      <c r="R17" s="142"/>
      <c r="S17" s="143"/>
      <c r="T17" s="144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40" t="s">
        <v>188</v>
      </c>
      <c r="C22" s="140"/>
      <c r="D22" s="140"/>
      <c r="E22" s="140"/>
      <c r="G22" s="140" t="s">
        <v>189</v>
      </c>
      <c r="H22" s="140"/>
      <c r="I22" s="140"/>
      <c r="J22" s="140"/>
      <c r="L22" s="150" t="s">
        <v>189</v>
      </c>
      <c r="M22" s="150"/>
      <c r="N22" s="150"/>
      <c r="O22" s="150"/>
      <c r="Q22" s="140" t="s">
        <v>188</v>
      </c>
      <c r="R22" s="140"/>
      <c r="S22" s="140"/>
      <c r="T22" s="140"/>
      <c r="V22" s="150" t="s">
        <v>189</v>
      </c>
      <c r="W22" s="150"/>
      <c r="X22" s="150"/>
      <c r="Y22" s="150"/>
    </row>
    <row r="23" spans="2:25" ht="12" thickTop="1" x14ac:dyDescent="0.15">
      <c r="B23" s="133" t="s">
        <v>122</v>
      </c>
      <c r="C23" s="133"/>
      <c r="D23" s="139">
        <f ca="1">TODAY()</f>
        <v>43187</v>
      </c>
      <c r="E23" s="141"/>
      <c r="G23" s="133" t="s">
        <v>122</v>
      </c>
      <c r="H23" s="133"/>
      <c r="I23" s="139">
        <f ca="1">TODAY()</f>
        <v>43187</v>
      </c>
      <c r="J23" s="141"/>
      <c r="L23" s="133" t="s">
        <v>122</v>
      </c>
      <c r="M23" s="133"/>
      <c r="N23" s="139">
        <f ca="1">TODAY()</f>
        <v>43187</v>
      </c>
      <c r="O23" s="141"/>
      <c r="Q23" s="133" t="s">
        <v>122</v>
      </c>
      <c r="R23" s="133"/>
      <c r="S23" s="139">
        <f ca="1">TODAY()-1</f>
        <v>43186</v>
      </c>
      <c r="T23" s="141"/>
      <c r="V23" s="133" t="s">
        <v>122</v>
      </c>
      <c r="W23" s="133"/>
      <c r="X23" s="139">
        <f ca="1">TODAY()-1</f>
        <v>43186</v>
      </c>
      <c r="Y23" s="141"/>
    </row>
    <row r="24" spans="2:25" ht="11.25" x14ac:dyDescent="0.15">
      <c r="B24" s="133" t="s">
        <v>124</v>
      </c>
      <c r="C24" s="133"/>
      <c r="D24" s="134" t="s">
        <v>186</v>
      </c>
      <c r="E24" s="135"/>
      <c r="G24" s="133" t="s">
        <v>124</v>
      </c>
      <c r="H24" s="133"/>
      <c r="I24" s="134" t="s">
        <v>186</v>
      </c>
      <c r="J24" s="135"/>
      <c r="L24" s="133" t="s">
        <v>124</v>
      </c>
      <c r="M24" s="133"/>
      <c r="N24" s="134" t="s">
        <v>36</v>
      </c>
      <c r="O24" s="135"/>
      <c r="Q24" s="133" t="s">
        <v>124</v>
      </c>
      <c r="R24" s="133"/>
      <c r="S24" s="134" t="s">
        <v>36</v>
      </c>
      <c r="T24" s="135"/>
      <c r="V24" s="133" t="s">
        <v>124</v>
      </c>
      <c r="W24" s="133"/>
      <c r="X24" s="134" t="s">
        <v>36</v>
      </c>
      <c r="Y24" s="135"/>
    </row>
    <row r="25" spans="2:25" ht="11.25" x14ac:dyDescent="0.15">
      <c r="B25" s="133" t="s">
        <v>127</v>
      </c>
      <c r="C25" s="133"/>
      <c r="D25" s="134" t="s">
        <v>5</v>
      </c>
      <c r="E25" s="135"/>
      <c r="G25" s="133" t="s">
        <v>127</v>
      </c>
      <c r="H25" s="133"/>
      <c r="I25" s="134" t="s">
        <v>5</v>
      </c>
      <c r="J25" s="135"/>
      <c r="L25" s="133" t="s">
        <v>127</v>
      </c>
      <c r="M25" s="133"/>
      <c r="N25" s="134" t="s">
        <v>196</v>
      </c>
      <c r="O25" s="135"/>
      <c r="Q25" s="133" t="s">
        <v>127</v>
      </c>
      <c r="R25" s="133"/>
      <c r="S25" s="134" t="s">
        <v>187</v>
      </c>
      <c r="T25" s="135"/>
      <c r="V25" s="133" t="s">
        <v>127</v>
      </c>
      <c r="W25" s="133"/>
      <c r="X25" s="134" t="s">
        <v>187</v>
      </c>
      <c r="Y25" s="135"/>
    </row>
    <row r="26" spans="2:25" ht="11.25" x14ac:dyDescent="0.15">
      <c r="B26" s="133" t="s">
        <v>129</v>
      </c>
      <c r="C26" s="133"/>
      <c r="D26" s="134">
        <f>D31*D33</f>
        <v>388800</v>
      </c>
      <c r="E26" s="135"/>
      <c r="G26" s="133" t="s">
        <v>179</v>
      </c>
      <c r="H26" s="133"/>
      <c r="I26" s="134">
        <f>I31*I33</f>
        <v>271800</v>
      </c>
      <c r="J26" s="135"/>
      <c r="L26" s="133" t="s">
        <v>129</v>
      </c>
      <c r="M26" s="133"/>
      <c r="N26" s="134">
        <f>N31*N33</f>
        <v>275000</v>
      </c>
      <c r="O26" s="135"/>
      <c r="Q26" s="133" t="s">
        <v>129</v>
      </c>
      <c r="R26" s="133"/>
      <c r="S26" s="134">
        <f>S31*S33</f>
        <v>235799.99999999997</v>
      </c>
      <c r="T26" s="135"/>
      <c r="V26" s="133" t="s">
        <v>129</v>
      </c>
      <c r="W26" s="133"/>
      <c r="X26" s="134">
        <f>X31*X33</f>
        <v>235799.99999999997</v>
      </c>
      <c r="Y26" s="135"/>
    </row>
    <row r="27" spans="2:25" ht="11.25" x14ac:dyDescent="0.15">
      <c r="B27" s="133" t="s">
        <v>131</v>
      </c>
      <c r="C27" s="133"/>
      <c r="D27" s="134" t="s">
        <v>132</v>
      </c>
      <c r="E27" s="135"/>
      <c r="G27" s="133" t="s">
        <v>131</v>
      </c>
      <c r="H27" s="133"/>
      <c r="I27" s="134" t="s">
        <v>198</v>
      </c>
      <c r="J27" s="135"/>
      <c r="L27" s="133" t="s">
        <v>131</v>
      </c>
      <c r="M27" s="133"/>
      <c r="N27" s="134" t="s">
        <v>190</v>
      </c>
      <c r="O27" s="135"/>
      <c r="Q27" s="133" t="s">
        <v>131</v>
      </c>
      <c r="R27" s="133"/>
      <c r="S27" s="134" t="s">
        <v>191</v>
      </c>
      <c r="T27" s="135"/>
      <c r="V27" s="133" t="s">
        <v>131</v>
      </c>
      <c r="W27" s="133"/>
      <c r="X27" s="134" t="s">
        <v>190</v>
      </c>
      <c r="Y27" s="135"/>
    </row>
    <row r="28" spans="2:25" ht="11.25" x14ac:dyDescent="0.15">
      <c r="B28" s="133" t="s">
        <v>134</v>
      </c>
      <c r="C28" s="133"/>
      <c r="D28" s="139">
        <v>43182</v>
      </c>
      <c r="E28" s="135"/>
      <c r="G28" s="133" t="s">
        <v>134</v>
      </c>
      <c r="H28" s="133"/>
      <c r="I28" s="139">
        <v>43182</v>
      </c>
      <c r="J28" s="135"/>
      <c r="L28" s="133" t="s">
        <v>134</v>
      </c>
      <c r="M28" s="133"/>
      <c r="N28" s="139">
        <v>43219</v>
      </c>
      <c r="O28" s="135"/>
      <c r="Q28" s="133" t="s">
        <v>134</v>
      </c>
      <c r="R28" s="133"/>
      <c r="S28" s="139">
        <v>43201</v>
      </c>
      <c r="T28" s="135"/>
      <c r="V28" s="133" t="s">
        <v>134</v>
      </c>
      <c r="W28" s="133"/>
      <c r="X28" s="139">
        <v>43201</v>
      </c>
      <c r="Y28" s="135"/>
    </row>
    <row r="29" spans="2:25" ht="11.25" x14ac:dyDescent="0.15">
      <c r="B29" s="133" t="s">
        <v>136</v>
      </c>
      <c r="C29" s="133"/>
      <c r="D29" s="134">
        <v>3856</v>
      </c>
      <c r="E29" s="135"/>
      <c r="G29" s="133" t="s">
        <v>136</v>
      </c>
      <c r="H29" s="133"/>
      <c r="I29" s="134">
        <v>3856</v>
      </c>
      <c r="J29" s="135"/>
      <c r="L29" s="133" t="s">
        <v>136</v>
      </c>
      <c r="M29" s="133"/>
      <c r="N29" s="134">
        <v>3760</v>
      </c>
      <c r="O29" s="135"/>
      <c r="Q29" s="133" t="s">
        <v>136</v>
      </c>
      <c r="R29" s="133"/>
      <c r="S29" s="134">
        <v>524</v>
      </c>
      <c r="T29" s="135"/>
      <c r="V29" s="133" t="s">
        <v>136</v>
      </c>
      <c r="W29" s="133"/>
      <c r="X29" s="134">
        <v>524</v>
      </c>
      <c r="Y29" s="135"/>
    </row>
    <row r="30" spans="2:25" ht="11.25" x14ac:dyDescent="0.15">
      <c r="B30" s="133" t="s">
        <v>138</v>
      </c>
      <c r="C30" s="133"/>
      <c r="D30" s="134">
        <v>3800</v>
      </c>
      <c r="E30" s="135"/>
      <c r="G30" s="133" t="s">
        <v>138</v>
      </c>
      <c r="H30" s="133"/>
      <c r="I30" s="134">
        <v>3930</v>
      </c>
      <c r="J30" s="135"/>
      <c r="L30" s="133" t="s">
        <v>138</v>
      </c>
      <c r="M30" s="133"/>
      <c r="N30" s="134">
        <v>3700</v>
      </c>
      <c r="O30" s="135"/>
      <c r="Q30" s="133" t="s">
        <v>138</v>
      </c>
      <c r="R30" s="133"/>
      <c r="S30" s="134">
        <v>524</v>
      </c>
      <c r="T30" s="135"/>
      <c r="V30" s="133" t="s">
        <v>138</v>
      </c>
      <c r="W30" s="133"/>
      <c r="X30" s="134">
        <v>524</v>
      </c>
      <c r="Y30" s="135"/>
    </row>
    <row r="31" spans="2:25" ht="11.25" x14ac:dyDescent="0.15">
      <c r="B31" s="133" t="s">
        <v>140</v>
      </c>
      <c r="C31" s="133"/>
      <c r="D31" s="134">
        <v>38.880000000000003</v>
      </c>
      <c r="E31" s="135"/>
      <c r="G31" s="133" t="s">
        <v>199</v>
      </c>
      <c r="H31" s="133"/>
      <c r="I31" s="134">
        <v>27.18</v>
      </c>
      <c r="J31" s="135"/>
      <c r="L31" s="133" t="s">
        <v>140</v>
      </c>
      <c r="M31" s="133"/>
      <c r="N31" s="134">
        <v>55</v>
      </c>
      <c r="O31" s="135"/>
      <c r="Q31" s="133" t="s">
        <v>140</v>
      </c>
      <c r="R31" s="133"/>
      <c r="S31" s="134">
        <v>23.58</v>
      </c>
      <c r="T31" s="135"/>
      <c r="V31" s="133" t="s">
        <v>140</v>
      </c>
      <c r="W31" s="133"/>
      <c r="X31" s="134">
        <v>23.58</v>
      </c>
      <c r="Y31" s="135"/>
    </row>
    <row r="32" spans="2:25" ht="11.25" x14ac:dyDescent="0.15">
      <c r="B32" s="133" t="s">
        <v>142</v>
      </c>
      <c r="C32" s="133"/>
      <c r="D32" s="134" t="s">
        <v>197</v>
      </c>
      <c r="E32" s="135"/>
      <c r="G32" s="133" t="s">
        <v>200</v>
      </c>
      <c r="H32" s="133"/>
      <c r="I32" s="134" t="s">
        <v>197</v>
      </c>
      <c r="J32" s="135"/>
      <c r="L32" s="133" t="s">
        <v>142</v>
      </c>
      <c r="M32" s="133"/>
      <c r="N32" s="134" t="s">
        <v>195</v>
      </c>
      <c r="O32" s="135"/>
      <c r="Q32" s="133" t="s">
        <v>142</v>
      </c>
      <c r="R32" s="133"/>
      <c r="S32" s="134" t="s">
        <v>192</v>
      </c>
      <c r="T32" s="135"/>
      <c r="V32" s="133" t="s">
        <v>142</v>
      </c>
      <c r="W32" s="133"/>
      <c r="X32" s="134" t="s">
        <v>192</v>
      </c>
      <c r="Y32" s="135"/>
    </row>
    <row r="33" spans="2:25" ht="11.25" x14ac:dyDescent="0.15">
      <c r="B33" s="133" t="s">
        <v>145</v>
      </c>
      <c r="C33" s="133"/>
      <c r="D33" s="134">
        <v>10000</v>
      </c>
      <c r="E33" s="135"/>
      <c r="G33" s="133" t="s">
        <v>201</v>
      </c>
      <c r="H33" s="133"/>
      <c r="I33" s="134">
        <v>10000</v>
      </c>
      <c r="J33" s="135"/>
      <c r="L33" s="133" t="s">
        <v>145</v>
      </c>
      <c r="M33" s="133"/>
      <c r="N33" s="134">
        <v>5000</v>
      </c>
      <c r="O33" s="135"/>
      <c r="Q33" s="133" t="s">
        <v>145</v>
      </c>
      <c r="R33" s="133"/>
      <c r="S33" s="134">
        <v>10000</v>
      </c>
      <c r="T33" s="135"/>
      <c r="V33" s="133" t="s">
        <v>145</v>
      </c>
      <c r="W33" s="133"/>
      <c r="X33" s="134">
        <v>10000</v>
      </c>
      <c r="Y33" s="135"/>
    </row>
    <row r="34" spans="2:25" ht="12" thickBot="1" x14ac:dyDescent="0.2">
      <c r="B34" s="136" t="s">
        <v>147</v>
      </c>
      <c r="C34" s="136"/>
      <c r="D34" s="137" t="s">
        <v>148</v>
      </c>
      <c r="E34" s="138"/>
      <c r="G34" s="136" t="s">
        <v>147</v>
      </c>
      <c r="H34" s="136"/>
      <c r="I34" s="137" t="s">
        <v>148</v>
      </c>
      <c r="J34" s="138"/>
      <c r="L34" s="136" t="s">
        <v>147</v>
      </c>
      <c r="M34" s="136"/>
      <c r="N34" s="137" t="s">
        <v>148</v>
      </c>
      <c r="O34" s="138"/>
      <c r="Q34" s="136" t="s">
        <v>147</v>
      </c>
      <c r="R34" s="136"/>
      <c r="S34" s="137" t="s">
        <v>148</v>
      </c>
      <c r="T34" s="138"/>
      <c r="V34" s="136" t="s">
        <v>147</v>
      </c>
      <c r="W34" s="136"/>
      <c r="X34" s="137" t="s">
        <v>148</v>
      </c>
      <c r="Y34" s="138"/>
    </row>
    <row r="35" spans="2:25" ht="11.25" thickTop="1" x14ac:dyDescent="0.15"/>
    <row r="36" spans="2:25" ht="12" thickBot="1" x14ac:dyDescent="0.2">
      <c r="B36" s="140" t="s">
        <v>121</v>
      </c>
      <c r="C36" s="140"/>
      <c r="D36" s="140"/>
      <c r="E36" s="140"/>
      <c r="G36" s="140" t="s">
        <v>121</v>
      </c>
      <c r="H36" s="140"/>
      <c r="I36" s="140"/>
      <c r="J36" s="140"/>
      <c r="L36" s="140" t="s">
        <v>121</v>
      </c>
      <c r="M36" s="140"/>
      <c r="N36" s="140"/>
      <c r="O36" s="140"/>
    </row>
    <row r="37" spans="2:25" ht="12" thickTop="1" x14ac:dyDescent="0.15">
      <c r="B37" s="133" t="s">
        <v>122</v>
      </c>
      <c r="C37" s="133"/>
      <c r="D37" s="139">
        <f ca="1">TODAY()</f>
        <v>43187</v>
      </c>
      <c r="E37" s="141"/>
      <c r="G37" s="133" t="s">
        <v>122</v>
      </c>
      <c r="H37" s="133"/>
      <c r="I37" s="139">
        <v>43187</v>
      </c>
      <c r="J37" s="141"/>
      <c r="L37" s="133" t="s">
        <v>122</v>
      </c>
      <c r="M37" s="133"/>
      <c r="N37" s="139"/>
      <c r="O37" s="141"/>
    </row>
    <row r="38" spans="2:25" ht="11.25" x14ac:dyDescent="0.15">
      <c r="B38" s="133" t="s">
        <v>124</v>
      </c>
      <c r="C38" s="133"/>
      <c r="D38" s="134" t="s">
        <v>5</v>
      </c>
      <c r="E38" s="135"/>
      <c r="G38" s="133" t="s">
        <v>124</v>
      </c>
      <c r="H38" s="133"/>
      <c r="I38" s="134" t="s">
        <v>234</v>
      </c>
      <c r="J38" s="135"/>
      <c r="L38" s="133" t="s">
        <v>124</v>
      </c>
      <c r="M38" s="133"/>
      <c r="N38" s="134"/>
      <c r="O38" s="135"/>
    </row>
    <row r="39" spans="2:25" ht="11.25" x14ac:dyDescent="0.15">
      <c r="B39" s="133" t="s">
        <v>127</v>
      </c>
      <c r="C39" s="133"/>
      <c r="D39" s="134" t="s">
        <v>186</v>
      </c>
      <c r="E39" s="135"/>
      <c r="G39" s="133" t="s">
        <v>127</v>
      </c>
      <c r="H39" s="133"/>
      <c r="I39" s="134" t="s">
        <v>235</v>
      </c>
      <c r="J39" s="135"/>
      <c r="L39" s="133" t="s">
        <v>127</v>
      </c>
      <c r="M39" s="133"/>
      <c r="N39" s="134"/>
      <c r="O39" s="135"/>
    </row>
    <row r="40" spans="2:25" ht="11.25" x14ac:dyDescent="0.15">
      <c r="B40" s="133" t="s">
        <v>179</v>
      </c>
      <c r="C40" s="133"/>
      <c r="D40" s="134">
        <f>D45*D47</f>
        <v>198000</v>
      </c>
      <c r="E40" s="135"/>
      <c r="G40" s="133" t="s">
        <v>179</v>
      </c>
      <c r="H40" s="133"/>
      <c r="I40" s="134">
        <f>I45*I47</f>
        <v>720000</v>
      </c>
      <c r="J40" s="135"/>
      <c r="L40" s="133" t="s">
        <v>129</v>
      </c>
      <c r="M40" s="133"/>
      <c r="N40" s="134"/>
      <c r="O40" s="135"/>
    </row>
    <row r="41" spans="2:25" ht="11.25" x14ac:dyDescent="0.15">
      <c r="B41" s="133" t="s">
        <v>131</v>
      </c>
      <c r="C41" s="133"/>
      <c r="D41" s="134" t="s">
        <v>191</v>
      </c>
      <c r="E41" s="135"/>
      <c r="G41" s="133" t="s">
        <v>131</v>
      </c>
      <c r="H41" s="133"/>
      <c r="I41" s="134" t="s">
        <v>236</v>
      </c>
      <c r="J41" s="135"/>
      <c r="L41" s="133" t="s">
        <v>131</v>
      </c>
      <c r="M41" s="133"/>
      <c r="N41" s="134"/>
      <c r="O41" s="135"/>
    </row>
    <row r="42" spans="2:25" ht="11.25" x14ac:dyDescent="0.15">
      <c r="B42" s="133" t="s">
        <v>134</v>
      </c>
      <c r="C42" s="133"/>
      <c r="D42" s="139">
        <v>43210</v>
      </c>
      <c r="E42" s="135"/>
      <c r="G42" s="133" t="s">
        <v>134</v>
      </c>
      <c r="H42" s="133"/>
      <c r="I42" s="139">
        <v>43189</v>
      </c>
      <c r="J42" s="135"/>
      <c r="L42" s="133" t="s">
        <v>134</v>
      </c>
      <c r="M42" s="133"/>
      <c r="N42" s="139"/>
      <c r="O42" s="135"/>
    </row>
    <row r="43" spans="2:25" ht="11.25" x14ac:dyDescent="0.15">
      <c r="B43" s="133" t="s">
        <v>136</v>
      </c>
      <c r="C43" s="133"/>
      <c r="D43" s="134">
        <v>7600</v>
      </c>
      <c r="E43" s="135"/>
      <c r="G43" s="133" t="s">
        <v>136</v>
      </c>
      <c r="H43" s="133"/>
      <c r="I43" s="134">
        <v>1235</v>
      </c>
      <c r="J43" s="135"/>
      <c r="L43" s="133" t="s">
        <v>136</v>
      </c>
      <c r="M43" s="133"/>
      <c r="N43" s="134"/>
      <c r="O43" s="135"/>
    </row>
    <row r="44" spans="2:25" ht="11.25" x14ac:dyDescent="0.15">
      <c r="B44" s="133" t="s">
        <v>138</v>
      </c>
      <c r="C44" s="133"/>
      <c r="D44" s="134">
        <v>7600</v>
      </c>
      <c r="E44" s="135"/>
      <c r="G44" s="133" t="s">
        <v>138</v>
      </c>
      <c r="H44" s="133"/>
      <c r="I44" s="134">
        <v>1200</v>
      </c>
      <c r="J44" s="135"/>
      <c r="L44" s="133" t="s">
        <v>138</v>
      </c>
      <c r="M44" s="133"/>
      <c r="N44" s="134"/>
      <c r="O44" s="135"/>
    </row>
    <row r="45" spans="2:25" ht="11.25" x14ac:dyDescent="0.15">
      <c r="B45" s="133" t="s">
        <v>199</v>
      </c>
      <c r="C45" s="133"/>
      <c r="D45" s="134">
        <v>220</v>
      </c>
      <c r="E45" s="135"/>
      <c r="G45" s="133" t="s">
        <v>199</v>
      </c>
      <c r="H45" s="133"/>
      <c r="I45" s="134">
        <v>6</v>
      </c>
      <c r="J45" s="135"/>
      <c r="L45" s="133" t="s">
        <v>140</v>
      </c>
      <c r="M45" s="133"/>
      <c r="N45" s="134"/>
      <c r="O45" s="135"/>
    </row>
    <row r="46" spans="2:25" ht="11.25" x14ac:dyDescent="0.15">
      <c r="B46" s="133" t="s">
        <v>200</v>
      </c>
      <c r="C46" s="133"/>
      <c r="D46" s="134" t="s">
        <v>214</v>
      </c>
      <c r="E46" s="135"/>
      <c r="G46" s="133" t="s">
        <v>142</v>
      </c>
      <c r="H46" s="133"/>
      <c r="I46" s="134" t="s">
        <v>237</v>
      </c>
      <c r="J46" s="135"/>
      <c r="L46" s="133" t="s">
        <v>142</v>
      </c>
      <c r="M46" s="133"/>
      <c r="N46" s="134"/>
      <c r="O46" s="135"/>
    </row>
    <row r="47" spans="2:25" ht="11.25" x14ac:dyDescent="0.15">
      <c r="B47" s="133" t="s">
        <v>201</v>
      </c>
      <c r="C47" s="133"/>
      <c r="D47" s="134">
        <v>900</v>
      </c>
      <c r="E47" s="135"/>
      <c r="G47" s="133" t="s">
        <v>145</v>
      </c>
      <c r="H47" s="133"/>
      <c r="I47" s="134">
        <v>120000</v>
      </c>
      <c r="J47" s="135"/>
      <c r="L47" s="133" t="s">
        <v>145</v>
      </c>
      <c r="M47" s="133"/>
      <c r="N47" s="134"/>
      <c r="O47" s="135"/>
    </row>
    <row r="48" spans="2:25" ht="12" thickBot="1" x14ac:dyDescent="0.2">
      <c r="B48" s="136" t="s">
        <v>147</v>
      </c>
      <c r="C48" s="136"/>
      <c r="D48" s="137" t="s">
        <v>148</v>
      </c>
      <c r="E48" s="138"/>
      <c r="G48" s="136" t="s">
        <v>147</v>
      </c>
      <c r="H48" s="136"/>
      <c r="I48" s="137" t="s">
        <v>148</v>
      </c>
      <c r="J48" s="138"/>
      <c r="L48" s="136" t="s">
        <v>147</v>
      </c>
      <c r="M48" s="136"/>
      <c r="N48" s="137"/>
      <c r="O48" s="138"/>
    </row>
    <row r="49" ht="11.25" thickTop="1" x14ac:dyDescent="0.15"/>
  </sheetData>
  <mergeCells count="30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2"/>
  <sheetViews>
    <sheetView zoomScaleNormal="100" workbookViewId="0">
      <selection activeCell="D38" sqref="D38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54" t="s">
        <v>37</v>
      </c>
      <c r="C1" s="154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18" ca="1" si="0">TODAY()</f>
        <v>43187</v>
      </c>
      <c r="F8" s="21">
        <f ca="1">E8+H8</f>
        <v>43267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 t="e">
        <f>_xll.dnetGBlackScholesNGreeks("price",$Q8,$P8,$G8,$I8,$C$3,$J8,$K8,$C$4)*R8</f>
        <v>#VALUE!</v>
      </c>
      <c r="M8" s="25"/>
      <c r="N8" s="24" t="e">
        <f>M8/10000*I8*P8</f>
        <v>#N/A</v>
      </c>
      <c r="O8" s="24" t="e">
        <f>IF(L8&lt;=0,ABS(L8)+N8,L8-N8)</f>
        <v>#VALUE!</v>
      </c>
      <c r="P8" s="20" t="e">
        <f>RTD("wdf.rtq",,D8,"LastPrice")</f>
        <v>#N/A</v>
      </c>
      <c r="Q8" s="19" t="s">
        <v>27</v>
      </c>
      <c r="R8" s="19">
        <f>IF(S8="中金买入",1,-1)</f>
        <v>-1</v>
      </c>
      <c r="S8" s="19" t="s">
        <v>31</v>
      </c>
      <c r="T8" s="26" t="e">
        <f>O8/P8</f>
        <v>#VALUE!</v>
      </c>
      <c r="U8" s="24" t="e">
        <f>_xll.dnetGBlackScholesNGreeks("delta",$Q8,$P8,$G8,$I8,$C$3,$J8,$K8,$C$4)*R8</f>
        <v>#VALUE!</v>
      </c>
      <c r="V8" s="24" t="e">
        <f>_xll.dnetGBlackScholesNGreeks("vega",$Q8,$P8,$G8,$I8,$C$3,$J8,$K8,$C$4)*R8</f>
        <v>#VALUE!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222</v>
      </c>
      <c r="E9" s="8">
        <f t="shared" ca="1" si="0"/>
        <v>43187</v>
      </c>
      <c r="F9" s="8">
        <f t="shared" ref="F9" ca="1" si="1">E9+H9</f>
        <v>43278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 t="e">
        <f>_xll.dnetGBlackScholesNGreeks("price",$Q9,$P9,$G9,$I9,$C$3,$J9,$K9,$C$4)*R9</f>
        <v>#VALUE!</v>
      </c>
      <c r="M9" s="15"/>
      <c r="N9" s="13" t="e">
        <f t="shared" ref="N9" si="2">M9/10000*I9*P9</f>
        <v>#N/A</v>
      </c>
      <c r="O9" s="13" t="e">
        <f t="shared" ref="O9" si="3">IF(L9&lt;=0,ABS(L9)+N9,L9-N9)</f>
        <v>#VALUE!</v>
      </c>
      <c r="P9" s="11" t="e">
        <f>RTD("wdf.rtq",,D9,"LastPrice")</f>
        <v>#N/A</v>
      </c>
      <c r="Q9" s="10" t="s">
        <v>85</v>
      </c>
      <c r="R9" s="10">
        <f t="shared" ref="R9" si="4">IF(S9="中金买入",1,-1)</f>
        <v>-1</v>
      </c>
      <c r="S9" s="10" t="s">
        <v>20</v>
      </c>
      <c r="T9" s="14" t="e">
        <f t="shared" ref="T9" si="5">O9/P9</f>
        <v>#VALUE!</v>
      </c>
      <c r="U9" s="13" t="e">
        <f>_xll.dnetGBlackScholesNGreeks("delta",$Q9,$P9,$G9,$I9,$C$3,$J9,$K9,$C$4)*R9</f>
        <v>#VALUE!</v>
      </c>
      <c r="V9" s="13" t="e">
        <f>_xll.dnetGBlackScholesNGreeks("vega",$Q9,$P9,$G9,$I9,$C$3,$J9,$K9,$C$4)*R9</f>
        <v>#VALUE!</v>
      </c>
      <c r="X9" s="6" t="e">
        <f>2000*U9</f>
        <v>#VALUE!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224</v>
      </c>
      <c r="E11" s="8">
        <f t="shared" ca="1" si="0"/>
        <v>43187</v>
      </c>
      <c r="F11" s="8">
        <f t="shared" ref="F11:F12" ca="1" si="6">E11+H11</f>
        <v>43202</v>
      </c>
      <c r="G11" s="10">
        <v>278.35000000000002</v>
      </c>
      <c r="H11" s="10">
        <v>15</v>
      </c>
      <c r="I11" s="12">
        <f>(H11-2)/365</f>
        <v>3.5616438356164383E-2</v>
      </c>
      <c r="J11" s="12">
        <v>0</v>
      </c>
      <c r="K11" s="9">
        <v>0.09</v>
      </c>
      <c r="L11" s="13" t="e">
        <f>_xll.dnetGBlackScholesNGreeks("price",$Q11,$P11,$G11,$I11,$C$3,$J11,$K11,$C$4)*R11</f>
        <v>#VALUE!</v>
      </c>
      <c r="M11" s="15"/>
      <c r="N11" s="13" t="e">
        <f t="shared" ref="N11:N12" si="7">M11/10000*I11*P11</f>
        <v>#N/A</v>
      </c>
      <c r="O11" s="13" t="e">
        <f t="shared" ref="O11:O12" si="8">IF(L11&lt;=0,ABS(L11)+N11,L11-N11)</f>
        <v>#VALUE!</v>
      </c>
      <c r="P11" s="11" t="e">
        <f>RTD("wdf.rtq",,D11,"LastPrice")</f>
        <v>#N/A</v>
      </c>
      <c r="Q11" s="10" t="s">
        <v>39</v>
      </c>
      <c r="R11" s="10">
        <f t="shared" ref="R11:R12" si="9">IF(S11="中金买入",1,-1)</f>
        <v>1</v>
      </c>
      <c r="S11" s="10" t="s">
        <v>151</v>
      </c>
      <c r="T11" s="14" t="e">
        <f t="shared" ref="T11:T12" si="10">O11/P11</f>
        <v>#VALUE!</v>
      </c>
      <c r="U11" s="13" t="e">
        <f>_xll.dnetGBlackScholesNGreeks("delta",$Q11,$P11,$G11,$I11,$C$3,$J11,$K11,$C$4)*R11</f>
        <v>#VALUE!</v>
      </c>
      <c r="V11" s="13" t="e">
        <f>_xll.dnetGBlackScholesNGreeks("vega",$Q11,$P11,$G11,$I11,$C$3,$J11,$K11,$C$4)*R11</f>
        <v>#VALUE!</v>
      </c>
      <c r="X11" s="6" t="e">
        <f>2000*U11</f>
        <v>#VALUE!</v>
      </c>
    </row>
    <row r="12" spans="1:25" ht="10.5" customHeight="1" x14ac:dyDescent="0.15">
      <c r="A12" s="34"/>
      <c r="B12" s="13" t="s">
        <v>172</v>
      </c>
      <c r="C12" s="10" t="s">
        <v>161</v>
      </c>
      <c r="D12" s="10" t="s">
        <v>224</v>
      </c>
      <c r="E12" s="8">
        <f t="shared" ca="1" si="0"/>
        <v>43187</v>
      </c>
      <c r="F12" s="8">
        <f t="shared" ca="1" si="6"/>
        <v>43202</v>
      </c>
      <c r="G12" s="10">
        <v>274.95</v>
      </c>
      <c r="H12" s="10">
        <v>15</v>
      </c>
      <c r="I12" s="12">
        <f>(H12-2)/365</f>
        <v>3.5616438356164383E-2</v>
      </c>
      <c r="J12" s="12">
        <v>0</v>
      </c>
      <c r="K12" s="9">
        <v>0.09</v>
      </c>
      <c r="L12" s="13" t="e">
        <f>_xll.dnetGBlackScholesNGreeks("price",$Q12,$P12,$G12,$I12,$C$3,$J12,$K12,$C$4)*R12</f>
        <v>#VALUE!</v>
      </c>
      <c r="M12" s="15"/>
      <c r="N12" s="13" t="e">
        <f t="shared" si="7"/>
        <v>#N/A</v>
      </c>
      <c r="O12" s="13" t="e">
        <f t="shared" si="8"/>
        <v>#VALUE!</v>
      </c>
      <c r="P12" s="11" t="e">
        <f>RTD("wdf.rtq",,D12,"LastPrice")</f>
        <v>#N/A</v>
      </c>
      <c r="Q12" s="10" t="s">
        <v>85</v>
      </c>
      <c r="R12" s="10">
        <f t="shared" si="9"/>
        <v>1</v>
      </c>
      <c r="S12" s="10" t="s">
        <v>151</v>
      </c>
      <c r="T12" s="14" t="e">
        <f t="shared" si="10"/>
        <v>#VALUE!</v>
      </c>
      <c r="U12" s="13" t="e">
        <f>_xll.dnetGBlackScholesNGreeks("delta",$Q12,$P12,$G12,$I12,$C$3,$J12,$K12,$C$4)*R12</f>
        <v>#VALUE!</v>
      </c>
      <c r="V12" s="13" t="e">
        <f>_xll.dnetGBlackScholesNGreeks("vega",$Q12,$P12,$G12,$I12,$C$3,$J12,$K12,$C$4)*R12</f>
        <v>#VALUE!</v>
      </c>
      <c r="X12" s="6" t="e">
        <f>2000*U12</f>
        <v>#VALUE!</v>
      </c>
    </row>
    <row r="14" spans="1:25" ht="10.5" customHeight="1" x14ac:dyDescent="0.15">
      <c r="A14" s="34"/>
      <c r="B14" s="13" t="s">
        <v>172</v>
      </c>
      <c r="C14" s="10" t="s">
        <v>161</v>
      </c>
      <c r="D14" s="10">
        <v>399905</v>
      </c>
      <c r="E14" s="8">
        <f t="shared" ca="1" si="0"/>
        <v>43187</v>
      </c>
      <c r="F14" s="8">
        <f t="shared" ref="F14:F15" ca="1" si="11">E14+H14</f>
        <v>43278</v>
      </c>
      <c r="G14" s="10">
        <v>100</v>
      </c>
      <c r="H14" s="10">
        <v>91</v>
      </c>
      <c r="I14" s="12">
        <f>(H14)/365</f>
        <v>0.24931506849315069</v>
      </c>
      <c r="J14" s="12">
        <v>0</v>
      </c>
      <c r="K14" s="9">
        <v>0.24</v>
      </c>
      <c r="L14" s="13">
        <f>_xll.dnetGBlackScholesNGreeks("price",$Q14,$P14,$G14,$I14,$C$3,$J14,$K14,$C$4)*R14</f>
        <v>4.7541211825919376</v>
      </c>
      <c r="M14" s="15"/>
      <c r="N14" s="13">
        <f t="shared" ref="N14:N15" si="12">M14/10000*I14*P14</f>
        <v>0</v>
      </c>
      <c r="O14" s="13">
        <f t="shared" ref="O14:O15" si="13">IF(L14&lt;=0,ABS(L14)+N14,L14-N14)</f>
        <v>4.7541211825919376</v>
      </c>
      <c r="P14" s="11">
        <v>100</v>
      </c>
      <c r="Q14" s="10" t="s">
        <v>39</v>
      </c>
      <c r="R14" s="10">
        <f t="shared" ref="R14:R15" si="14">IF(S14="中金买入",1,-1)</f>
        <v>1</v>
      </c>
      <c r="S14" s="10" t="s">
        <v>151</v>
      </c>
      <c r="T14" s="14">
        <f t="shared" ref="T14:T15" si="15">O14/P14</f>
        <v>4.7541211825919374E-2</v>
      </c>
      <c r="U14" s="13">
        <f>_xll.dnetGBlackScholesNGreeks("delta",$Q14,$P14,$G14,$I14,$C$3,$J14,$K14,$C$4)*R14</f>
        <v>0.52128365244357155</v>
      </c>
      <c r="V14" s="13">
        <f>_xll.dnetGBlackScholesNGreeks("vega",$Q14,$P14,$G14,$I14,$C$3,$J14,$K14,$C$4)*R14</f>
        <v>0.19785123646097347</v>
      </c>
      <c r="X14" s="6">
        <f>2000*U14</f>
        <v>1042.5673048871431</v>
      </c>
    </row>
    <row r="15" spans="1:25" ht="10.5" customHeight="1" x14ac:dyDescent="0.15">
      <c r="A15" s="34"/>
      <c r="B15" s="13" t="s">
        <v>172</v>
      </c>
      <c r="C15" s="10" t="s">
        <v>161</v>
      </c>
      <c r="D15" s="10">
        <v>399905</v>
      </c>
      <c r="E15" s="8">
        <f t="shared" ca="1" si="0"/>
        <v>43187</v>
      </c>
      <c r="F15" s="8">
        <f t="shared" ca="1" si="11"/>
        <v>43278</v>
      </c>
      <c r="G15" s="10">
        <v>113.5</v>
      </c>
      <c r="H15" s="10">
        <v>91</v>
      </c>
      <c r="I15" s="12">
        <f>(H15)/365</f>
        <v>0.24931506849315069</v>
      </c>
      <c r="J15" s="12">
        <v>0</v>
      </c>
      <c r="K15" s="9">
        <v>0.24</v>
      </c>
      <c r="L15" s="13">
        <f>_xll.dnetGBlackScholesNGreeks("price",$Q15,$P15,$G15,$I15,$C$3,$J15,$K15,$C$4)*R15</f>
        <v>-0.94781788210939943</v>
      </c>
      <c r="M15" s="15"/>
      <c r="N15" s="13">
        <f t="shared" si="12"/>
        <v>0</v>
      </c>
      <c r="O15" s="13">
        <f t="shared" si="13"/>
        <v>0.94781788210939943</v>
      </c>
      <c r="P15" s="11">
        <v>100</v>
      </c>
      <c r="Q15" s="10" t="s">
        <v>232</v>
      </c>
      <c r="R15" s="10">
        <f t="shared" si="14"/>
        <v>-1</v>
      </c>
      <c r="S15" s="10" t="s">
        <v>20</v>
      </c>
      <c r="T15" s="14">
        <f t="shared" si="15"/>
        <v>9.4781788210939952E-3</v>
      </c>
      <c r="U15" s="13">
        <f>_xll.dnetGBlackScholesNGreeks("delta",$Q15,$P15,$G15,$I15,$C$3,$J15,$K15,$C$4)*R15</f>
        <v>-0.15863713323662765</v>
      </c>
      <c r="V15" s="13">
        <f>_xll.dnetGBlackScholesNGreeks("vega",$Q15,$P15,$G15,$I15,$C$3,$J15,$K15,$C$4)*R15</f>
        <v>-0.12052913749838368</v>
      </c>
      <c r="X15" s="6">
        <f>2000*U15</f>
        <v>-317.2742664732553</v>
      </c>
    </row>
    <row r="16" spans="1:25" ht="10.5" customHeight="1" x14ac:dyDescent="0.15">
      <c r="A16" s="34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233</v>
      </c>
      <c r="E17" s="8">
        <f t="shared" ca="1" si="0"/>
        <v>43187</v>
      </c>
      <c r="F17" s="8">
        <f t="shared" ref="F17:F18" ca="1" si="16">E17+H17</f>
        <v>43218</v>
      </c>
      <c r="G17" s="10">
        <v>52500</v>
      </c>
      <c r="H17" s="10">
        <v>31</v>
      </c>
      <c r="I17" s="12">
        <f>(H17-2)/365</f>
        <v>7.9452054794520555E-2</v>
      </c>
      <c r="J17" s="12">
        <v>0</v>
      </c>
      <c r="K17" s="9">
        <v>0.155</v>
      </c>
      <c r="L17" s="13">
        <f>_xll.dnetGBlackScholesNGreeks("price",$Q17,$P17,$G17,$I17,$C$3,$J17,$K17,$C$4)*R17</f>
        <v>85.280415038040701</v>
      </c>
      <c r="M17" s="15"/>
      <c r="N17" s="13">
        <v>20</v>
      </c>
      <c r="O17" s="13">
        <f t="shared" ref="O17:O18" si="17">IF(L17&lt;=0,ABS(L17)+N17,L17-N17)</f>
        <v>65.280415038040701</v>
      </c>
      <c r="P17" s="11">
        <f>RTD("wdf.rtq",,D17,"LastPrice")</f>
        <v>49430</v>
      </c>
      <c r="Q17" s="10" t="s">
        <v>39</v>
      </c>
      <c r="R17" s="10">
        <f t="shared" ref="R17:R18" si="18">IF(S17="中金买入",1,-1)</f>
        <v>1</v>
      </c>
      <c r="S17" s="10" t="s">
        <v>151</v>
      </c>
      <c r="T17" s="14">
        <f t="shared" ref="T17:T18" si="19">O17/P17</f>
        <v>1.3206638688658852E-3</v>
      </c>
      <c r="U17" s="13">
        <f>_xll.dnetGBlackScholesNGreeks("delta",$Q17,$P17,$G17,$I17,$C$3,$J17,$K17,$C$4)*R17</f>
        <v>8.7202514851014712E-2</v>
      </c>
      <c r="V17" s="13">
        <f>_xll.dnetGBlackScholesNGreeks("vega",$Q17,$P17,$G17,$I17,$C$3,$J17,$K17,$C$4)*R17</f>
        <v>22.059050300922536</v>
      </c>
      <c r="X17" s="6">
        <f>2000*U17</f>
        <v>174.40502970202942</v>
      </c>
    </row>
    <row r="18" spans="1:24" ht="10.5" customHeight="1" x14ac:dyDescent="0.15">
      <c r="A18" s="34"/>
      <c r="B18" s="13" t="s">
        <v>172</v>
      </c>
      <c r="C18" s="10" t="s">
        <v>161</v>
      </c>
      <c r="D18" s="10" t="s">
        <v>233</v>
      </c>
      <c r="E18" s="8">
        <f t="shared" ca="1" si="0"/>
        <v>43187</v>
      </c>
      <c r="F18" s="8">
        <f t="shared" ca="1" si="16"/>
        <v>43218</v>
      </c>
      <c r="G18" s="10">
        <v>52000</v>
      </c>
      <c r="H18" s="10">
        <v>31</v>
      </c>
      <c r="I18" s="12">
        <f>(H18-2)/365</f>
        <v>7.9452054794520555E-2</v>
      </c>
      <c r="J18" s="12">
        <v>0</v>
      </c>
      <c r="K18" s="9">
        <v>0.155</v>
      </c>
      <c r="L18" s="13">
        <f>_xll.dnetGBlackScholesNGreeks("price",$Q18,$P18,$G18,$I18,$C$3,$J18,$K18,$C$4)*R18</f>
        <v>134.54415878653163</v>
      </c>
      <c r="M18" s="15"/>
      <c r="N18" s="13">
        <v>20</v>
      </c>
      <c r="O18" s="13">
        <f t="shared" si="17"/>
        <v>114.54415878653163</v>
      </c>
      <c r="P18" s="11">
        <f>RTD("wdf.rtq",,D18,"LastPrice")</f>
        <v>49430</v>
      </c>
      <c r="Q18" s="10" t="s">
        <v>232</v>
      </c>
      <c r="R18" s="10">
        <f t="shared" si="18"/>
        <v>1</v>
      </c>
      <c r="S18" s="10" t="s">
        <v>151</v>
      </c>
      <c r="T18" s="14">
        <f t="shared" si="19"/>
        <v>2.3173004002939837E-3</v>
      </c>
      <c r="U18" s="13">
        <f>_xll.dnetGBlackScholesNGreeks("delta",$Q18,$P18,$G18,$I18,$C$3,$J18,$K18,$C$4)*R18</f>
        <v>0.12729903173749335</v>
      </c>
      <c r="V18" s="13">
        <f>_xll.dnetGBlackScholesNGreeks("vega",$Q18,$P18,$G18,$I18,$C$3,$J18,$K18,$C$4)*R18</f>
        <v>28.989311318314776</v>
      </c>
      <c r="X18" s="6">
        <f>2000*U18</f>
        <v>254.5980634749867</v>
      </c>
    </row>
    <row r="19" spans="1:24" x14ac:dyDescent="0.15">
      <c r="N19" s="13"/>
    </row>
    <row r="20" spans="1:24" ht="10.5" customHeight="1" x14ac:dyDescent="0.15">
      <c r="A20" s="34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4" ht="10.5" customHeight="1" x14ac:dyDescent="0.15">
      <c r="A21" s="34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3" spans="1:24" ht="10.5" customHeight="1" x14ac:dyDescent="0.15">
      <c r="A23" s="34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4" ht="9.75" customHeight="1" x14ac:dyDescent="0.15">
      <c r="A24" s="34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4" ht="10.5" customHeight="1" x14ac:dyDescent="0.15">
      <c r="A25" s="34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7" spans="1:24" ht="10.5" customHeight="1" x14ac:dyDescent="0.15">
      <c r="A27" s="34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4" ht="10.5" customHeight="1" x14ac:dyDescent="0.15">
      <c r="A28" s="34"/>
      <c r="B28" s="13"/>
      <c r="C28" s="10"/>
      <c r="D28" s="10"/>
      <c r="E28" s="8"/>
      <c r="F28" s="8"/>
      <c r="G28" s="10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4" x14ac:dyDescent="0.15">
      <c r="L29" s="120"/>
    </row>
    <row r="30" spans="1:24" ht="10.5" customHeight="1" x14ac:dyDescent="0.15">
      <c r="A30" s="34"/>
      <c r="B30" s="13"/>
      <c r="C30" s="10"/>
      <c r="D30" s="10"/>
      <c r="E30" s="8"/>
      <c r="F30" s="8"/>
      <c r="G30" s="10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4" ht="10.5" customHeight="1" x14ac:dyDescent="0.15">
      <c r="A31" s="34"/>
      <c r="B31" s="13"/>
      <c r="C31" s="10"/>
      <c r="D31" s="10"/>
      <c r="E31" s="8"/>
      <c r="F31" s="8"/>
      <c r="G31" s="10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3" spans="1:22" ht="10.5" customHeight="1" x14ac:dyDescent="0.15">
      <c r="A33" s="34"/>
      <c r="B33" s="13"/>
      <c r="C33" s="10"/>
      <c r="D33" s="10"/>
      <c r="E33" s="8"/>
      <c r="F33" s="8"/>
      <c r="G33" s="10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s="121" customFormat="1" ht="10.5" customHeight="1" x14ac:dyDescent="0.15">
      <c r="B34" s="122"/>
      <c r="C34" s="123"/>
      <c r="D34" s="123"/>
      <c r="E34" s="124"/>
      <c r="F34" s="124"/>
      <c r="G34" s="123"/>
      <c r="H34" s="123"/>
      <c r="I34" s="125"/>
      <c r="J34" s="125"/>
      <c r="K34" s="126"/>
      <c r="L34" s="122"/>
      <c r="M34" s="127"/>
      <c r="N34" s="122"/>
      <c r="O34" s="122"/>
      <c r="P34" s="128"/>
      <c r="Q34" s="123"/>
      <c r="R34" s="123"/>
      <c r="S34" s="123"/>
      <c r="T34" s="129"/>
      <c r="U34" s="122"/>
      <c r="V34" s="122"/>
    </row>
    <row r="38" spans="1:22" x14ac:dyDescent="0.15">
      <c r="C38" s="130"/>
    </row>
    <row r="40" spans="1:22" x14ac:dyDescent="0.15">
      <c r="D40" s="131"/>
    </row>
    <row r="42" spans="1:22" x14ac:dyDescent="0.15">
      <c r="D42" s="131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S11:S12 S33:S34 S20:S21 S23:S25 S27:S28 S30:S31 S14:S18</xm:sqref>
        </x14:dataValidation>
        <x14:dataValidation type="list" allowBlank="1" showInputMessage="1" showErrorMessage="1">
          <x14:formula1>
            <xm:f>configs!$C$1:$C$2</xm:f>
          </x14:formula1>
          <xm:sqref>Q8:Q9 Q11:Q12 Q33:Q34 Q20:Q21 Q23:Q25 Q27:Q28 Q30:Q31 Q14:Q18</xm:sqref>
        </x14:dataValidation>
        <x14:dataValidation type="list" allowBlank="1" showInputMessage="1">
          <x14:formula1>
            <xm:f>configs!$A$1:$A$36</xm:f>
          </x14:formula1>
          <xm:sqref>C8:C9 C11:C12 C33:C34 C20:C21 C23:C25 C27:C28 C30:C31 C14:C18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7" zoomScale="85" zoomScaleNormal="85" workbookViewId="0">
      <selection activeCell="H29" sqref="H2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5" t="s">
        <v>37</v>
      </c>
      <c r="C1" s="15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43187</v>
      </c>
      <c r="F8" s="46">
        <f ca="1">E8+H8</f>
        <v>43217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43187</v>
      </c>
      <c r="F9" s="54">
        <f ca="1">F8</f>
        <v>43217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43187</v>
      </c>
      <c r="F10" s="62">
        <f ca="1">F9</f>
        <v>43217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43187</v>
      </c>
      <c r="F11" s="46">
        <f ca="1">E11+H11</f>
        <v>43217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 t="e">
        <f>_xll.dnetGBlackScholesNGreeks("price",$Q11,$P11,$G11,$I11,$C$3,$J11,$K11,$C$4)*R11</f>
        <v>#VALUE!</v>
      </c>
      <c r="M11" s="49"/>
      <c r="N11" s="43"/>
      <c r="O11" s="43" t="e">
        <f t="shared" si="0"/>
        <v>#VALUE!</v>
      </c>
      <c r="P11" s="117" t="e">
        <f>RTD("wdf.rtq",,D11,"LastPrice")</f>
        <v>#N/A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 t="e">
        <f>_xll.dnetGBlackScholesNGreeks("vega",$Q11,$P11,$G11,$I11,$C$3,$J11,$K11,$C$4)*R11</f>
        <v>#VALUE!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43187</v>
      </c>
      <c r="F12" s="54">
        <f t="shared" ca="1" si="1"/>
        <v>43217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 t="e">
        <f>_xll.dnetGBlackScholesNGreeks("price",$Q12,$P12,$G12,$I12,$C$3,$J12,$K12,$C$4)*R12</f>
        <v>#VALUE!</v>
      </c>
      <c r="M12" s="57"/>
      <c r="N12" s="51"/>
      <c r="O12" s="51" t="e">
        <f t="shared" si="0"/>
        <v>#VALUE!</v>
      </c>
      <c r="P12" s="95" t="e">
        <f>P11</f>
        <v>#N/A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 t="e">
        <f>_xll.dnetGBlackScholesNGreeks("vega",$Q12,$P12,$G12,$I12,$C$3,$J12,$K12,$C$4)*R12</f>
        <v>#VALUE!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43187</v>
      </c>
      <c r="F13" s="62">
        <f t="shared" ca="1" si="1"/>
        <v>43217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 t="e">
        <f>L12+L11</f>
        <v>#VALUE!</v>
      </c>
      <c r="M13" s="60"/>
      <c r="N13" s="59" t="e">
        <f>M13/10000*I13*P13</f>
        <v>#N/A</v>
      </c>
      <c r="O13" s="59" t="e">
        <f t="shared" si="0"/>
        <v>#VALUE!</v>
      </c>
      <c r="P13" s="118" t="e">
        <f>P12</f>
        <v>#N/A</v>
      </c>
      <c r="Q13" s="60"/>
      <c r="R13" s="60"/>
      <c r="S13" s="56" t="s">
        <v>151</v>
      </c>
      <c r="T13" s="64" t="e">
        <f>O13/P13</f>
        <v>#VALUE!</v>
      </c>
      <c r="U13" s="64" t="e">
        <f>U12+U11</f>
        <v>#VALUE!</v>
      </c>
      <c r="V13" s="64" t="e">
        <f>V12+V11</f>
        <v>#VALUE!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43187</v>
      </c>
      <c r="F14" s="46">
        <f ca="1">E14+H14</f>
        <v>43217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 t="e">
        <f>_xll.dnetGBlackScholesNGreeks("price",$Q14,$P14,$G14,$I14,$C$3,$J14,$K14,$C$4)*R14</f>
        <v>#VALUE!</v>
      </c>
      <c r="M14" s="49"/>
      <c r="N14" s="43"/>
      <c r="O14" s="43" t="e">
        <f t="shared" ref="O14:O28" si="2">IF(L14&lt;=0,ABS(L14)+N14,L14-N14)</f>
        <v>#VALUE!</v>
      </c>
      <c r="P14" s="117" t="e">
        <f>RTD("wdf.rtq",,D14,"LastPrice")</f>
        <v>#N/A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 t="e">
        <f>_xll.dnetGBlackScholesNGreeks("vega",$Q14,$P14,$G14,$I14,$C$3,$J14,$K14,$C$4)*R14</f>
        <v>#VALUE!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43187</v>
      </c>
      <c r="F15" s="54">
        <f t="shared" ca="1" si="3"/>
        <v>43217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 t="e">
        <f>_xll.dnetGBlackScholesNGreeks("price",$Q15,$P15,$G15,$I15,$C$3,$J15,$K15,$C$4)*R15</f>
        <v>#VALUE!</v>
      </c>
      <c r="M15" s="57"/>
      <c r="N15" s="51"/>
      <c r="O15" s="51" t="e">
        <f t="shared" si="2"/>
        <v>#VALUE!</v>
      </c>
      <c r="P15" s="95" t="e">
        <f>P14</f>
        <v>#N/A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 t="e">
        <f>_xll.dnetGBlackScholesNGreeks("vega",$Q15,$P15,$G15,$I15,$C$3,$J15,$K15,$C$4)*R15</f>
        <v>#VALUE!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43187</v>
      </c>
      <c r="F16" s="62">
        <f t="shared" ca="1" si="3"/>
        <v>43217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 t="e">
        <f>L15+L14</f>
        <v>#VALUE!</v>
      </c>
      <c r="M16" s="60"/>
      <c r="N16" s="59" t="e">
        <f>M16/10000*I16*P16</f>
        <v>#N/A</v>
      </c>
      <c r="O16" s="59" t="e">
        <f t="shared" si="2"/>
        <v>#VALUE!</v>
      </c>
      <c r="P16" s="118" t="e">
        <f>P15</f>
        <v>#N/A</v>
      </c>
      <c r="Q16" s="60"/>
      <c r="R16" s="60"/>
      <c r="S16" s="56" t="s">
        <v>151</v>
      </c>
      <c r="T16" s="64" t="e">
        <f>O16/P16</f>
        <v>#VALUE!</v>
      </c>
      <c r="U16" s="64" t="e">
        <f>U15+U14</f>
        <v>#VALUE!</v>
      </c>
      <c r="V16" s="64" t="e">
        <f>V15+V14</f>
        <v>#VALUE!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43187</v>
      </c>
      <c r="F17" s="46">
        <f ca="1">E17+H17</f>
        <v>43217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 t="e">
        <f>_xll.dnetGBlackScholesNGreeks("price",$Q17,$P17,$G17,$I17,$C$3,$J17,$K17,$C$4)*R17</f>
        <v>#VALUE!</v>
      </c>
      <c r="M17" s="49"/>
      <c r="N17" s="43"/>
      <c r="O17" s="43" t="e">
        <f t="shared" si="2"/>
        <v>#VALUE!</v>
      </c>
      <c r="P17" s="117" t="e">
        <f>RTD("wdf.rtq",,D17,"LastPrice")</f>
        <v>#N/A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 t="e">
        <f>_xll.dnetGBlackScholesNGreeks("delta",$Q17,$P17,$G17,$I17,$C$3,$J17,$K17,$C$4)*R17</f>
        <v>#VALUE!</v>
      </c>
      <c r="V17" s="43" t="e">
        <f>_xll.dnetGBlackScholesNGreeks("vega",$Q17,$P17,$G17,$I17,$C$3,$J17,$K17,$C$4)*R17</f>
        <v>#VALUE!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43187</v>
      </c>
      <c r="F18" s="54">
        <f t="shared" ca="1" si="4"/>
        <v>43217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 t="e">
        <f>_xll.dnetGBlackScholesNGreeks("price",$Q18,$P18,$G18,$I18,$C$3,$J18,$K18,$C$4)*R18</f>
        <v>#VALUE!</v>
      </c>
      <c r="M18" s="57"/>
      <c r="N18" s="51"/>
      <c r="O18" s="51" t="e">
        <f t="shared" si="2"/>
        <v>#VALUE!</v>
      </c>
      <c r="P18" s="95" t="e">
        <f>P17</f>
        <v>#N/A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 t="e">
        <f>_xll.dnetGBlackScholesNGreeks("delta",$Q18,$P18,$G18,$I18,$C$3,$J18,$K18,$C$4)*R18</f>
        <v>#VALUE!</v>
      </c>
      <c r="V18" s="51" t="e">
        <f>_xll.dnetGBlackScholesNGreeks("vega",$Q18,$P18,$G18,$I18,$C$3,$J18,$K18,$C$4)*R18</f>
        <v>#VALUE!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43187</v>
      </c>
      <c r="F19" s="62">
        <f t="shared" ca="1" si="4"/>
        <v>43217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 t="e">
        <f>L18+L17</f>
        <v>#VALUE!</v>
      </c>
      <c r="M19" s="60"/>
      <c r="N19" s="59" t="e">
        <f>M19/10000*I19*P19</f>
        <v>#N/A</v>
      </c>
      <c r="O19" s="59" t="e">
        <f t="shared" si="2"/>
        <v>#VALUE!</v>
      </c>
      <c r="P19" s="118" t="e">
        <f>P18</f>
        <v>#N/A</v>
      </c>
      <c r="Q19" s="60"/>
      <c r="R19" s="60"/>
      <c r="S19" s="56" t="s">
        <v>151</v>
      </c>
      <c r="T19" s="64" t="e">
        <f>O19/P19</f>
        <v>#VALUE!</v>
      </c>
      <c r="U19" s="64" t="e">
        <f>U18+U17</f>
        <v>#VALUE!</v>
      </c>
      <c r="V19" s="64" t="e">
        <f>V18+V17</f>
        <v>#VALUE!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43187</v>
      </c>
      <c r="F20" s="46">
        <f ca="1">E20+H20</f>
        <v>43277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 t="e">
        <f>_xll.dnetGBlackScholesNGreeks("price",$Q20,$P20,$G20,$I20,$C$3,$J20,$K20,$C$4)*R20</f>
        <v>#VALUE!</v>
      </c>
      <c r="M20" s="49"/>
      <c r="N20" s="43"/>
      <c r="O20" s="43" t="e">
        <f t="shared" si="2"/>
        <v>#VALUE!</v>
      </c>
      <c r="P20" s="117" t="e">
        <f>RTD("wdf.rtq",,D20,"LastPrice")</f>
        <v>#N/A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 t="e">
        <f>_xll.dnetGBlackScholesNGreeks("delta",$Q20,$P20,$G20,$I20,$C$3,$J20,$K20,$C$4)*R20</f>
        <v>#VALUE!</v>
      </c>
      <c r="V20" s="43" t="e">
        <f>_xll.dnetGBlackScholesNGreeks("vega",$Q20,$P20,$G20,$I20,$C$3,$J20,$K20,$C$4)*R20</f>
        <v>#VALUE!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43187</v>
      </c>
      <c r="F21" s="54">
        <f t="shared" ca="1" si="5"/>
        <v>43277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 t="e">
        <f>_xll.dnetGBlackScholesNGreeks("price",$Q21,$P21,$G21,$I21,$C$3,$J21,$K21,$C$4)*R21</f>
        <v>#VALUE!</v>
      </c>
      <c r="M21" s="57"/>
      <c r="N21" s="51"/>
      <c r="O21" s="51" t="e">
        <f t="shared" si="2"/>
        <v>#VALUE!</v>
      </c>
      <c r="P21" s="95" t="e">
        <f>P20</f>
        <v>#N/A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 t="e">
        <f>_xll.dnetGBlackScholesNGreeks("delta",$Q21,$P21,$G21,$I21,$C$3,$J21,$K21,$C$4)*R21</f>
        <v>#VALUE!</v>
      </c>
      <c r="V21" s="51" t="e">
        <f>_xll.dnetGBlackScholesNGreeks("vega",$Q21,$P21,$G21,$I21,$C$3,$J21,$K21,$C$4)*R21</f>
        <v>#VALUE!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43187</v>
      </c>
      <c r="F22" s="62">
        <f t="shared" ca="1" si="5"/>
        <v>43277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 t="e">
        <f>L21+L20</f>
        <v>#VALUE!</v>
      </c>
      <c r="M22" s="60"/>
      <c r="N22" s="59" t="e">
        <f>M22/10000*I22*P22</f>
        <v>#N/A</v>
      </c>
      <c r="O22" s="59" t="e">
        <f t="shared" si="2"/>
        <v>#VALUE!</v>
      </c>
      <c r="P22" s="118" t="e">
        <f>P21</f>
        <v>#N/A</v>
      </c>
      <c r="Q22" s="60"/>
      <c r="R22" s="60"/>
      <c r="S22" s="56" t="s">
        <v>151</v>
      </c>
      <c r="T22" s="64" t="e">
        <f>O22/P22</f>
        <v>#VALUE!</v>
      </c>
      <c r="U22" s="64" t="e">
        <f>U21+U20</f>
        <v>#VALUE!</v>
      </c>
      <c r="V22" s="64" t="e">
        <f>V21+V20</f>
        <v>#VALUE!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43187</v>
      </c>
      <c r="F23" s="46">
        <f ca="1">E23+H23</f>
        <v>43277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 t="e">
        <f>_xll.dnetGBlackScholesNGreeks("price",$Q23,$P23,$G23,$I23,$C$3,$J23,$K23,$C$4)*R23</f>
        <v>#VALUE!</v>
      </c>
      <c r="M23" s="49"/>
      <c r="N23" s="43"/>
      <c r="O23" s="43" t="e">
        <f t="shared" si="2"/>
        <v>#VALUE!</v>
      </c>
      <c r="P23" s="117" t="e">
        <f>RTD("wdf.rtq",,D23,"LastPrice")</f>
        <v>#N/A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 t="e">
        <f>_xll.dnetGBlackScholesNGreeks("delta",$Q23,$P23,$G23,$I23,$C$3,$J23,$K23,$C$4)*R23</f>
        <v>#VALUE!</v>
      </c>
      <c r="V23" s="43" t="e">
        <f>_xll.dnetGBlackScholesNGreeks("vega",$Q23,$P23,$G23,$I23,$C$3,$J23,$K23,$C$4)*R23</f>
        <v>#VALUE!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43187</v>
      </c>
      <c r="F24" s="54">
        <f t="shared" ca="1" si="6"/>
        <v>43277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 t="e">
        <f>_xll.dnetGBlackScholesNGreeks("price",$Q24,$P24,$G24,$I24,$C$3,$J24,$K24,$C$4)*R24</f>
        <v>#VALUE!</v>
      </c>
      <c r="M24" s="57"/>
      <c r="N24" s="51"/>
      <c r="O24" s="51" t="e">
        <f t="shared" si="2"/>
        <v>#VALUE!</v>
      </c>
      <c r="P24" s="95" t="e">
        <f>P23</f>
        <v>#N/A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 t="e">
        <f>_xll.dnetGBlackScholesNGreeks("delta",$Q24,$P24,$G24,$I24,$C$3,$J24,$K24,$C$4)*R24</f>
        <v>#VALUE!</v>
      </c>
      <c r="V24" s="51" t="e">
        <f>_xll.dnetGBlackScholesNGreeks("vega",$Q24,$P24,$G24,$I24,$C$3,$J24,$K24,$C$4)*R24</f>
        <v>#VALUE!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43187</v>
      </c>
      <c r="F25" s="62">
        <f t="shared" ca="1" si="6"/>
        <v>43277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 t="e">
        <f>L24+L23</f>
        <v>#VALUE!</v>
      </c>
      <c r="M25" s="60"/>
      <c r="N25" s="59" t="e">
        <f>M25/10000*I25*P25</f>
        <v>#N/A</v>
      </c>
      <c r="O25" s="59" t="e">
        <f t="shared" si="2"/>
        <v>#VALUE!</v>
      </c>
      <c r="P25" s="118" t="e">
        <f>P24</f>
        <v>#N/A</v>
      </c>
      <c r="Q25" s="60"/>
      <c r="R25" s="60"/>
      <c r="S25" s="56" t="s">
        <v>151</v>
      </c>
      <c r="T25" s="64" t="e">
        <f>O25/P25</f>
        <v>#VALUE!</v>
      </c>
      <c r="U25" s="64" t="e">
        <f>U24+U23</f>
        <v>#VALUE!</v>
      </c>
      <c r="V25" s="64" t="e">
        <f>V24+V23</f>
        <v>#VALUE!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43187</v>
      </c>
      <c r="F26" s="46">
        <f ca="1">E26+H26</f>
        <v>43371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 t="e">
        <f>_xll.dnetGBlackScholesNGreeks("price",$Q26,$P26,$G26,$I26,$C$3,$J26,$K26,$C$4)*R26</f>
        <v>#VALUE!</v>
      </c>
      <c r="M26" s="49"/>
      <c r="N26" s="43"/>
      <c r="O26" s="43" t="e">
        <f t="shared" si="2"/>
        <v>#VALUE!</v>
      </c>
      <c r="P26" s="117" t="e">
        <f>RTD("wdf.rtq",,D26,"LastPrice")</f>
        <v>#N/A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 t="e">
        <f>_xll.dnetGBlackScholesNGreeks("delta",$Q26,$P26,$G26,$I26,$C$3,$J26,$K26,$C$4)*R26</f>
        <v>#VALUE!</v>
      </c>
      <c r="V26" s="43" t="e">
        <f>_xll.dnetGBlackScholesNGreeks("vega",$Q26,$P26,$G26,$I26,$C$3,$J26,$K26,$C$4)*R26</f>
        <v>#VALUE!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43187</v>
      </c>
      <c r="F27" s="54">
        <f t="shared" ca="1" si="7"/>
        <v>43371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 t="e">
        <f>_xll.dnetGBlackScholesNGreeks("price",$Q27,$P27,$G27,$I27,$C$3,$J27,$K27,$C$4)*R27</f>
        <v>#VALUE!</v>
      </c>
      <c r="M27" s="57"/>
      <c r="N27" s="51"/>
      <c r="O27" s="51" t="e">
        <f t="shared" si="2"/>
        <v>#VALUE!</v>
      </c>
      <c r="P27" s="95" t="e">
        <f>P26</f>
        <v>#N/A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 t="e">
        <f>_xll.dnetGBlackScholesNGreeks("delta",$Q27,$P27,$G27,$I27,$C$3,$J27,$K27,$C$4)*R27</f>
        <v>#VALUE!</v>
      </c>
      <c r="V27" s="51" t="e">
        <f>_xll.dnetGBlackScholesNGreeks("vega",$Q27,$P27,$G27,$I27,$C$3,$J27,$K27,$C$4)*R27</f>
        <v>#VALUE!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43187</v>
      </c>
      <c r="F28" s="62">
        <f t="shared" ca="1" si="7"/>
        <v>43371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 t="e">
        <f>L27+L26</f>
        <v>#VALUE!</v>
      </c>
      <c r="M28" s="60"/>
      <c r="N28" s="59" t="e">
        <f>M28/10000*I28*P28</f>
        <v>#N/A</v>
      </c>
      <c r="O28" s="59" t="e">
        <f t="shared" si="2"/>
        <v>#VALUE!</v>
      </c>
      <c r="P28" s="118" t="e">
        <f>P27</f>
        <v>#N/A</v>
      </c>
      <c r="Q28" s="60"/>
      <c r="R28" s="60"/>
      <c r="S28" s="56" t="s">
        <v>151</v>
      </c>
      <c r="T28" s="64" t="e">
        <f>O28/P28</f>
        <v>#VALUE!</v>
      </c>
      <c r="U28" s="64" t="e">
        <f>U27+U26</f>
        <v>#VALUE!</v>
      </c>
      <c r="V28" s="64" t="e">
        <f>V27+V26</f>
        <v>#VALUE!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43187</v>
      </c>
      <c r="F29" s="46">
        <f ca="1">E29+H29</f>
        <v>43217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43187</v>
      </c>
      <c r="F30" s="54">
        <f t="shared" ca="1" si="9"/>
        <v>43217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43187</v>
      </c>
      <c r="F31" s="62">
        <f t="shared" ca="1" si="10"/>
        <v>43217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43187</v>
      </c>
      <c r="F32" s="46">
        <f ca="1">E32+H32</f>
        <v>43217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43187</v>
      </c>
      <c r="F33" s="54">
        <f t="shared" ca="1" si="11"/>
        <v>43217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43187</v>
      </c>
      <c r="F34" s="62">
        <f t="shared" ca="1" si="12"/>
        <v>43217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43187</v>
      </c>
      <c r="F35" s="46">
        <f ca="1">E35+H35</f>
        <v>43277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 t="e">
        <f>_xll.dnetGBlackScholesNGreeks("price",$Q35,$P35,$G35,$I35,$C$3,$J35,$K35,$C$4)*R35</f>
        <v>#VALUE!</v>
      </c>
      <c r="M35" s="49"/>
      <c r="N35" s="43"/>
      <c r="O35" s="43" t="e">
        <f t="shared" ref="O35:O37" si="13">IF(L35&lt;=0,ABS(L35)+N35,L35-N35)</f>
        <v>#VALUE!</v>
      </c>
      <c r="P35" s="117" t="e">
        <f>RTD("wdf.rtq",,D35,"LastPrice")</f>
        <v>#N/A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 t="e">
        <f>_xll.dnetGBlackScholesNGreeks("delta",$Q35,$P35,$G35,$I35,$C$3,$J35,$K35,$C$4)*R35</f>
        <v>#VALUE!</v>
      </c>
      <c r="V35" s="43" t="e">
        <f>_xll.dnetGBlackScholesNGreeks("vega",$Q35,$P35,$G35,$I35,$C$3,$J35,$K35,$C$4)*R35</f>
        <v>#VALUE!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43187</v>
      </c>
      <c r="F36" s="54">
        <f t="shared" ca="1" si="14"/>
        <v>43277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 t="e">
        <f>_xll.dnetGBlackScholesNGreeks("price",$Q36,$P36,$G36,$I36,$C$3,$J36,$K36,$C$4)*R36</f>
        <v>#VALUE!</v>
      </c>
      <c r="M36" s="57"/>
      <c r="N36" s="51"/>
      <c r="O36" s="51" t="e">
        <f t="shared" si="13"/>
        <v>#VALUE!</v>
      </c>
      <c r="P36" s="95" t="e">
        <f>P35</f>
        <v>#N/A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 t="e">
        <f>_xll.dnetGBlackScholesNGreeks("delta",$Q36,$P36,$G36,$I36,$C$3,$J36,$K36,$C$4)*R36</f>
        <v>#VALUE!</v>
      </c>
      <c r="V36" s="51" t="e">
        <f>_xll.dnetGBlackScholesNGreeks("vega",$Q36,$P36,$G36,$I36,$C$3,$J36,$K36,$C$4)*R36</f>
        <v>#VALUE!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43187</v>
      </c>
      <c r="F37" s="62">
        <f t="shared" ca="1" si="15"/>
        <v>43277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 t="e">
        <f>L36+L35</f>
        <v>#VALUE!</v>
      </c>
      <c r="M37" s="60"/>
      <c r="N37" s="59" t="e">
        <f>M37/10000*I37*P37</f>
        <v>#N/A</v>
      </c>
      <c r="O37" s="59" t="e">
        <f t="shared" si="13"/>
        <v>#VALUE!</v>
      </c>
      <c r="P37" s="118" t="e">
        <f>P36</f>
        <v>#N/A</v>
      </c>
      <c r="Q37" s="60"/>
      <c r="R37" s="60"/>
      <c r="S37" s="56" t="s">
        <v>151</v>
      </c>
      <c r="T37" s="64" t="e">
        <f>O37/P37</f>
        <v>#VALUE!</v>
      </c>
      <c r="U37" s="64" t="e">
        <f>U36+U35</f>
        <v>#VALUE!</v>
      </c>
      <c r="V37" s="64" t="e">
        <f>V36+V35</f>
        <v>#VALUE!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43187</v>
      </c>
      <c r="F38" s="46">
        <f ca="1">E38+H38</f>
        <v>43367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 t="e">
        <f>_xll.dnetGBlackScholesNGreeks("price",$Q38,$P38,$G38,$I38,$C$3,$J38,$K38,$C$4)*R38</f>
        <v>#VALUE!</v>
      </c>
      <c r="M38" s="49"/>
      <c r="N38" s="43"/>
      <c r="O38" s="43" t="e">
        <f t="shared" ref="O38:O40" si="16">IF(L38&lt;=0,ABS(L38)+N38,L38-N38)</f>
        <v>#VALUE!</v>
      </c>
      <c r="P38" s="117" t="e">
        <f>RTD("wdf.rtq",,D38,"LastPrice")</f>
        <v>#N/A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 t="e">
        <f>_xll.dnetGBlackScholesNGreeks("delta",$Q38,$P38,$G38,$I38,$C$3,$J38,$K38,$C$4)*R38</f>
        <v>#VALUE!</v>
      </c>
      <c r="V38" s="43" t="e">
        <f>_xll.dnetGBlackScholesNGreeks("vega",$Q38,$P38,$G38,$I38,$C$3,$J38,$K38,$C$4)*R38</f>
        <v>#VALUE!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43187</v>
      </c>
      <c r="F39" s="54">
        <f t="shared" ca="1" si="17"/>
        <v>43367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 t="e">
        <f>_xll.dnetGBlackScholesNGreeks("price",$Q39,$P39,$G39,$I39,$C$3,$J39,$K39,$C$4)*R39</f>
        <v>#VALUE!</v>
      </c>
      <c r="M39" s="57"/>
      <c r="N39" s="51"/>
      <c r="O39" s="51" t="e">
        <f t="shared" si="16"/>
        <v>#VALUE!</v>
      </c>
      <c r="P39" s="95" t="e">
        <f>P38</f>
        <v>#N/A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 t="e">
        <f>_xll.dnetGBlackScholesNGreeks("delta",$Q39,$P39,$G39,$I39,$C$3,$J39,$K39,$C$4)*R39</f>
        <v>#VALUE!</v>
      </c>
      <c r="V39" s="51" t="e">
        <f>_xll.dnetGBlackScholesNGreeks("vega",$Q39,$P39,$G39,$I39,$C$3,$J39,$K39,$C$4)*R39</f>
        <v>#VALUE!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43187</v>
      </c>
      <c r="F40" s="62">
        <f t="shared" ca="1" si="18"/>
        <v>43367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 t="e">
        <f>L39+L38</f>
        <v>#VALUE!</v>
      </c>
      <c r="M40" s="60">
        <v>50</v>
      </c>
      <c r="N40" s="59" t="e">
        <f>M40/10000*I40*P40</f>
        <v>#N/A</v>
      </c>
      <c r="O40" s="59" t="e">
        <f t="shared" si="16"/>
        <v>#VALUE!</v>
      </c>
      <c r="P40" s="118" t="e">
        <f>P39</f>
        <v>#N/A</v>
      </c>
      <c r="Q40" s="60"/>
      <c r="R40" s="60"/>
      <c r="S40" s="56" t="s">
        <v>151</v>
      </c>
      <c r="T40" s="64" t="e">
        <f>O40/P40</f>
        <v>#VALUE!</v>
      </c>
      <c r="U40" s="64" t="e">
        <f>U39+U38</f>
        <v>#VALUE!</v>
      </c>
      <c r="V40" s="64" t="e">
        <f>V39+V38</f>
        <v>#VALUE!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225</v>
      </c>
      <c r="E41" s="46">
        <f ca="1">TODAY()</f>
        <v>43187</v>
      </c>
      <c r="F41" s="46">
        <f ca="1">E41+H41</f>
        <v>43267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 t="e">
        <f>_xll.dnetGBlackScholesNGreeks("price",$Q41,$P41,$G41,$I41,$C$3,$J41,$K41,$C$4)*R41</f>
        <v>#VALUE!</v>
      </c>
      <c r="M41" s="49"/>
      <c r="N41" s="43"/>
      <c r="O41" s="43" t="e">
        <f t="shared" ref="O41:O43" si="19">IF(L41&lt;=0,ABS(L41)+N41,L41-N41)</f>
        <v>#VALUE!</v>
      </c>
      <c r="P41" s="117" t="e">
        <f>RTD("wdf.rtq",,D41,"LastPrice")</f>
        <v>#N/A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 t="e">
        <f>_xll.dnetGBlackScholesNGreeks("delta",$Q41,$P41,$G41,$I41,$C$3,$J41,$K41,$C$4)*R41</f>
        <v>#VALUE!</v>
      </c>
      <c r="V41" s="43" t="e">
        <f>_xll.dnetGBlackScholesNGreeks("vega",$Q41,$P41,$G41,$I41,$C$3,$J41,$K41,$C$4)*R41</f>
        <v>#VALUE!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227</v>
      </c>
      <c r="E42" s="54">
        <f t="shared" ref="E42:F42" ca="1" si="20">E41</f>
        <v>43187</v>
      </c>
      <c r="F42" s="54">
        <f t="shared" ca="1" si="20"/>
        <v>43267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 t="e">
        <f>_xll.dnetGBlackScholesNGreeks("price",$Q42,$P42,$G42,$I42,$C$3,$J42,$K42,$C$4)*R42</f>
        <v>#VALUE!</v>
      </c>
      <c r="M42" s="57"/>
      <c r="N42" s="51"/>
      <c r="O42" s="51" t="e">
        <f t="shared" si="19"/>
        <v>#VALUE!</v>
      </c>
      <c r="P42" s="95" t="e">
        <f>P41</f>
        <v>#N/A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 t="e">
        <f>_xll.dnetGBlackScholesNGreeks("delta",$Q42,$P42,$G42,$I42,$C$3,$J42,$K42,$C$4)*R42</f>
        <v>#VALUE!</v>
      </c>
      <c r="V42" s="51" t="e">
        <f>_xll.dnetGBlackScholesNGreeks("vega",$Q42,$P42,$G42,$I42,$C$3,$J42,$K42,$C$4)*R42</f>
        <v>#VALUE!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43187</v>
      </c>
      <c r="F43" s="62">
        <f t="shared" ca="1" si="21"/>
        <v>43267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 t="e">
        <f>L42+L41</f>
        <v>#VALUE!</v>
      </c>
      <c r="M43" s="60">
        <v>50</v>
      </c>
      <c r="N43" s="59" t="e">
        <f>M43/10000*I43*P43</f>
        <v>#N/A</v>
      </c>
      <c r="O43" s="59" t="e">
        <f t="shared" si="19"/>
        <v>#VALUE!</v>
      </c>
      <c r="P43" s="118" t="e">
        <f>P42</f>
        <v>#N/A</v>
      </c>
      <c r="Q43" s="60"/>
      <c r="R43" s="60"/>
      <c r="S43" s="56" t="s">
        <v>151</v>
      </c>
      <c r="T43" s="64" t="e">
        <f>O43/P43</f>
        <v>#VALUE!</v>
      </c>
      <c r="U43" s="64" t="e">
        <f>U42+U41</f>
        <v>#VALUE!</v>
      </c>
      <c r="V43" s="64" t="e">
        <f>V42+V41</f>
        <v>#VALUE!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A12" sqref="A12:XFD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4" t="s">
        <v>38</v>
      </c>
      <c r="C1" s="15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43187</v>
      </c>
      <c r="N8" s="21">
        <f ca="1">M8+O8</f>
        <v>43217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43187</v>
      </c>
      <c r="N9" s="8">
        <f ca="1">M9+O9</f>
        <v>43367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7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56" t="s">
        <v>37</v>
      </c>
      <c r="C1" s="15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43187</v>
      </c>
      <c r="K8" s="21">
        <f ca="1">J8+L8</f>
        <v>43217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43187</v>
      </c>
      <c r="K9" s="8">
        <f ca="1">J9+L9</f>
        <v>43217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43187</v>
      </c>
      <c r="K10" s="8">
        <f ca="1">J10+L10</f>
        <v>43217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2018-03-28T11:02:58Z</dcterms:modified>
</cp:coreProperties>
</file>