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602" firstSheet="1" activeTab="3"/>
  </bookViews>
  <sheets>
    <sheet name="quate_van" sheetId="6" r:id="rId1"/>
    <sheet name="quote_sf" sheetId="10" r:id="rId2"/>
    <sheet name="recap" sheetId="2" r:id="rId3"/>
    <sheet name="pricer_van" sheetId="1" r:id="rId4"/>
    <sheet name="pricer_combo" sheetId="9" r:id="rId5"/>
    <sheet name="pricer_sf" sheetId="8" r:id="rId6"/>
    <sheet name="ref_vol_table" sheetId="4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R3" i="1" l="1"/>
  <c r="I14" i="1"/>
  <c r="R14" i="1"/>
  <c r="E14" i="1"/>
  <c r="F14" i="1" s="1"/>
  <c r="P14" i="1"/>
  <c r="L14" i="1"/>
  <c r="N14" i="1" l="1"/>
  <c r="O14" i="1" s="1"/>
  <c r="T14" i="1" s="1"/>
  <c r="I44" i="2"/>
  <c r="D44" i="2"/>
  <c r="U14" i="1"/>
  <c r="V14" i="1"/>
  <c r="X14" i="1" l="1"/>
  <c r="K42" i="9"/>
  <c r="H42" i="9"/>
  <c r="H43" i="9" s="1"/>
  <c r="G43" i="9"/>
  <c r="D43" i="9"/>
  <c r="R42" i="9"/>
  <c r="J42" i="9"/>
  <c r="R41" i="9"/>
  <c r="I41" i="9"/>
  <c r="E41" i="9"/>
  <c r="F41" i="9" s="1"/>
  <c r="F42" i="9" s="1"/>
  <c r="F43" i="9" s="1"/>
  <c r="P41" i="9"/>
  <c r="I42" i="9" l="1"/>
  <c r="I43" i="9" s="1"/>
  <c r="P42" i="9"/>
  <c r="E42" i="9"/>
  <c r="E43" i="9" s="1"/>
  <c r="V42" i="9"/>
  <c r="L42" i="9"/>
  <c r="U42" i="9"/>
  <c r="V41" i="9"/>
  <c r="L41" i="9"/>
  <c r="U41" i="9"/>
  <c r="V43" i="9" l="1"/>
  <c r="O42" i="9"/>
  <c r="L43" i="9"/>
  <c r="U43" i="9"/>
  <c r="O41" i="9"/>
  <c r="P43" i="9"/>
  <c r="N43" i="9" s="1"/>
  <c r="O43" i="9" l="1"/>
  <c r="T43" i="9" s="1"/>
  <c r="I12" i="1" l="1"/>
  <c r="I11" i="1"/>
  <c r="R12" i="1"/>
  <c r="E12" i="1"/>
  <c r="F12" i="1" s="1"/>
  <c r="R11" i="1"/>
  <c r="E11" i="1"/>
  <c r="F11" i="1" s="1"/>
  <c r="P11" i="1"/>
  <c r="P12" i="1"/>
  <c r="L12" i="1"/>
  <c r="V11" i="1"/>
  <c r="N12" i="1" l="1"/>
  <c r="O12" i="1" s="1"/>
  <c r="T12" i="1" s="1"/>
  <c r="N11" i="1"/>
  <c r="L11" i="1"/>
  <c r="U11" i="1"/>
  <c r="V12" i="1"/>
  <c r="U12" i="1"/>
  <c r="X12" i="1" l="1"/>
  <c r="O11" i="1"/>
  <c r="T11" i="1" s="1"/>
  <c r="X11" i="1"/>
  <c r="I9" i="1"/>
  <c r="R9" i="1"/>
  <c r="E9" i="1"/>
  <c r="F9" i="1" s="1"/>
  <c r="P9" i="1"/>
  <c r="N9" i="1" l="1"/>
  <c r="D36" i="9"/>
  <c r="D37" i="9" s="1"/>
  <c r="V9" i="1"/>
  <c r="P38" i="9"/>
  <c r="L9" i="1"/>
  <c r="U9" i="1"/>
  <c r="O9" i="1" l="1"/>
  <c r="T9" i="1" s="1"/>
  <c r="X9" i="1"/>
  <c r="P39" i="9"/>
  <c r="D39" i="9" l="1"/>
  <c r="D40" i="9" s="1"/>
  <c r="G40" i="9"/>
  <c r="R39" i="9"/>
  <c r="J39" i="9"/>
  <c r="H40" i="9"/>
  <c r="R38" i="9"/>
  <c r="I38" i="9"/>
  <c r="E38" i="9"/>
  <c r="F38" i="9" s="1"/>
  <c r="F39" i="9" s="1"/>
  <c r="F40" i="9" s="1"/>
  <c r="G37" i="9"/>
  <c r="R36" i="9"/>
  <c r="J36" i="9"/>
  <c r="H37" i="9"/>
  <c r="R35" i="9"/>
  <c r="I35" i="9"/>
  <c r="E35" i="9"/>
  <c r="F35" i="9" s="1"/>
  <c r="F36" i="9" s="1"/>
  <c r="F37" i="9" s="1"/>
  <c r="V38" i="9"/>
  <c r="P35" i="9"/>
  <c r="E39" i="9" l="1"/>
  <c r="E40" i="9" s="1"/>
  <c r="I39" i="9"/>
  <c r="I40" i="9" s="1"/>
  <c r="P36" i="9"/>
  <c r="P37" i="9" s="1"/>
  <c r="E36" i="9"/>
  <c r="E37" i="9" s="1"/>
  <c r="I36" i="9"/>
  <c r="L35" i="9"/>
  <c r="U36" i="9"/>
  <c r="L36" i="9"/>
  <c r="V36" i="9"/>
  <c r="U39" i="9"/>
  <c r="L38" i="9"/>
  <c r="L39" i="9"/>
  <c r="U38" i="9"/>
  <c r="V35" i="9"/>
  <c r="V39" i="9"/>
  <c r="U35" i="9"/>
  <c r="U40" i="9" l="1"/>
  <c r="O38" i="9"/>
  <c r="V40" i="9"/>
  <c r="O39" i="9"/>
  <c r="L40" i="9"/>
  <c r="P40" i="9"/>
  <c r="N40" i="9" s="1"/>
  <c r="U37" i="9"/>
  <c r="O36" i="9"/>
  <c r="L37" i="9"/>
  <c r="O35" i="9"/>
  <c r="V37" i="9"/>
  <c r="I37" i="9"/>
  <c r="N37" i="9" s="1"/>
  <c r="O40" i="9" l="1"/>
  <c r="T40" i="9" s="1"/>
  <c r="O37" i="9"/>
  <c r="T37" i="9" s="1"/>
  <c r="H27" i="9" l="1"/>
  <c r="G34" i="9"/>
  <c r="R33" i="9"/>
  <c r="J33" i="9"/>
  <c r="H33" i="9"/>
  <c r="H34" i="9" s="1"/>
  <c r="D33" i="9"/>
  <c r="D34" i="9" s="1"/>
  <c r="R32" i="9"/>
  <c r="I32" i="9"/>
  <c r="E32" i="9"/>
  <c r="F32" i="9" s="1"/>
  <c r="F33" i="9" s="1"/>
  <c r="F34" i="9" s="1"/>
  <c r="G31" i="9"/>
  <c r="R30" i="9"/>
  <c r="J30" i="9"/>
  <c r="H30" i="9"/>
  <c r="H31" i="9" s="1"/>
  <c r="D30" i="9"/>
  <c r="D31" i="9" s="1"/>
  <c r="R29" i="9"/>
  <c r="I29" i="9"/>
  <c r="E29" i="9"/>
  <c r="E30" i="9" s="1"/>
  <c r="E31" i="9" s="1"/>
  <c r="L29" i="9"/>
  <c r="U32" i="9"/>
  <c r="I30" i="9" l="1"/>
  <c r="I31" i="9" s="1"/>
  <c r="F29" i="9"/>
  <c r="F30" i="9" s="1"/>
  <c r="F31" i="9" s="1"/>
  <c r="O29" i="9"/>
  <c r="P30" i="9"/>
  <c r="P33" i="9"/>
  <c r="E33" i="9"/>
  <c r="E34" i="9" s="1"/>
  <c r="I33" i="9"/>
  <c r="I34" i="9" s="1"/>
  <c r="L33" i="9"/>
  <c r="L30" i="9"/>
  <c r="U33" i="9"/>
  <c r="V32" i="9"/>
  <c r="L32" i="9"/>
  <c r="V30" i="9"/>
  <c r="V29" i="9"/>
  <c r="V33" i="9"/>
  <c r="U29" i="9"/>
  <c r="U30" i="9"/>
  <c r="O32" i="9" l="1"/>
  <c r="V31" i="9"/>
  <c r="V34" i="9"/>
  <c r="O33" i="9"/>
  <c r="L34" i="9"/>
  <c r="U34" i="9"/>
  <c r="L31" i="9"/>
  <c r="O30" i="9"/>
  <c r="U31" i="9"/>
  <c r="P34" i="9"/>
  <c r="N34" i="9" s="1"/>
  <c r="P31" i="9"/>
  <c r="N31" i="9" s="1"/>
  <c r="O31" i="9" l="1"/>
  <c r="T31" i="9" s="1"/>
  <c r="O34" i="9"/>
  <c r="T34" i="9" s="1"/>
  <c r="G25" i="9" l="1"/>
  <c r="G16" i="9"/>
  <c r="G28" i="9"/>
  <c r="J27" i="9"/>
  <c r="I27" i="9"/>
  <c r="I28" i="9" s="1"/>
  <c r="D27" i="9"/>
  <c r="D28" i="9" s="1"/>
  <c r="R27" i="9"/>
  <c r="I26" i="9"/>
  <c r="E26" i="9"/>
  <c r="E27" i="9" s="1"/>
  <c r="E28" i="9" s="1"/>
  <c r="R26" i="9"/>
  <c r="J24" i="9"/>
  <c r="H24" i="9"/>
  <c r="H25" i="9" s="1"/>
  <c r="D24" i="9"/>
  <c r="D25" i="9" s="1"/>
  <c r="R24" i="9"/>
  <c r="I23" i="9"/>
  <c r="E23" i="9"/>
  <c r="E24" i="9" s="1"/>
  <c r="E25" i="9" s="1"/>
  <c r="R23" i="9"/>
  <c r="G22" i="9"/>
  <c r="J21" i="9"/>
  <c r="H21" i="9"/>
  <c r="I21" i="9" s="1"/>
  <c r="I22" i="9" s="1"/>
  <c r="D21" i="9"/>
  <c r="D22" i="9" s="1"/>
  <c r="R21" i="9"/>
  <c r="I20" i="9"/>
  <c r="E20" i="9"/>
  <c r="F20" i="9" s="1"/>
  <c r="F21" i="9" s="1"/>
  <c r="F22" i="9" s="1"/>
  <c r="R20" i="9"/>
  <c r="G19" i="9"/>
  <c r="J18" i="9"/>
  <c r="H18" i="9"/>
  <c r="H19" i="9" s="1"/>
  <c r="D18" i="9"/>
  <c r="D19" i="9" s="1"/>
  <c r="R18" i="9"/>
  <c r="I17" i="9"/>
  <c r="E17" i="9"/>
  <c r="E18" i="9" s="1"/>
  <c r="E19" i="9" s="1"/>
  <c r="R17" i="9"/>
  <c r="J15" i="9"/>
  <c r="H15" i="9"/>
  <c r="H16" i="9" s="1"/>
  <c r="D15" i="9"/>
  <c r="D16" i="9" s="1"/>
  <c r="R15" i="9"/>
  <c r="I14" i="9"/>
  <c r="E14" i="9"/>
  <c r="E15" i="9" s="1"/>
  <c r="E16" i="9" s="1"/>
  <c r="R14" i="9"/>
  <c r="D12" i="9"/>
  <c r="D13" i="9" s="1"/>
  <c r="G13" i="9"/>
  <c r="J12" i="9"/>
  <c r="H12" i="9"/>
  <c r="H13" i="9" s="1"/>
  <c r="R12" i="9"/>
  <c r="I11" i="9"/>
  <c r="E11" i="9"/>
  <c r="F11" i="9" s="1"/>
  <c r="F12" i="9" s="1"/>
  <c r="F13" i="9" s="1"/>
  <c r="R11" i="9"/>
  <c r="P17" i="9"/>
  <c r="P20" i="9"/>
  <c r="P23" i="9"/>
  <c r="P14" i="9"/>
  <c r="P26" i="9"/>
  <c r="P11" i="9"/>
  <c r="V11" i="9"/>
  <c r="F23" i="9" l="1"/>
  <c r="F24" i="9" s="1"/>
  <c r="F25" i="9" s="1"/>
  <c r="E21" i="9"/>
  <c r="E22" i="9" s="1"/>
  <c r="H28" i="9"/>
  <c r="P21" i="9"/>
  <c r="P24" i="9"/>
  <c r="P27" i="9"/>
  <c r="F26" i="9"/>
  <c r="F27" i="9" s="1"/>
  <c r="F28" i="9" s="1"/>
  <c r="I24" i="9"/>
  <c r="I25" i="9" s="1"/>
  <c r="H22" i="9"/>
  <c r="P15" i="9"/>
  <c r="P16" i="9" s="1"/>
  <c r="P18" i="9"/>
  <c r="P19" i="9" s="1"/>
  <c r="P12" i="9"/>
  <c r="P13" i="9" s="1"/>
  <c r="I12" i="9"/>
  <c r="F17" i="9"/>
  <c r="F18" i="9" s="1"/>
  <c r="F19" i="9" s="1"/>
  <c r="F14" i="9"/>
  <c r="F15" i="9" s="1"/>
  <c r="F16" i="9" s="1"/>
  <c r="I18" i="9"/>
  <c r="I15" i="9"/>
  <c r="E12" i="9"/>
  <c r="E13" i="9" s="1"/>
  <c r="V24" i="9"/>
  <c r="L27" i="9"/>
  <c r="L15" i="9"/>
  <c r="L17" i="9"/>
  <c r="V27" i="9"/>
  <c r="V21" i="9"/>
  <c r="V26" i="9"/>
  <c r="L23" i="9"/>
  <c r="V14" i="9"/>
  <c r="U18" i="9"/>
  <c r="L18" i="9"/>
  <c r="L26" i="9"/>
  <c r="U27" i="9"/>
  <c r="U20" i="9"/>
  <c r="L12" i="9"/>
  <c r="L14" i="9"/>
  <c r="V20" i="9"/>
  <c r="V12" i="9"/>
  <c r="L21" i="9"/>
  <c r="L24" i="9"/>
  <c r="U26" i="9"/>
  <c r="V23" i="9"/>
  <c r="U17" i="9"/>
  <c r="U24" i="9"/>
  <c r="U15" i="9"/>
  <c r="V17" i="9"/>
  <c r="L20" i="9"/>
  <c r="U23" i="9"/>
  <c r="U21" i="9"/>
  <c r="V15" i="9"/>
  <c r="U11" i="9"/>
  <c r="U14" i="9"/>
  <c r="L11" i="9"/>
  <c r="U12" i="9"/>
  <c r="V18" i="9"/>
  <c r="O20" i="9" l="1"/>
  <c r="O23" i="9"/>
  <c r="O26" i="9"/>
  <c r="O11" i="9"/>
  <c r="O18" i="9"/>
  <c r="O14" i="9"/>
  <c r="O17" i="9"/>
  <c r="O15" i="9"/>
  <c r="O12" i="9"/>
  <c r="O27" i="9"/>
  <c r="O24" i="9"/>
  <c r="O21" i="9"/>
  <c r="V28" i="9"/>
  <c r="L28" i="9"/>
  <c r="U25" i="9"/>
  <c r="V25" i="9"/>
  <c r="L25" i="9"/>
  <c r="U22" i="9"/>
  <c r="V22" i="9"/>
  <c r="L22" i="9"/>
  <c r="U28" i="9"/>
  <c r="P28" i="9"/>
  <c r="N28" i="9" s="1"/>
  <c r="P25" i="9"/>
  <c r="N25" i="9" s="1"/>
  <c r="P22" i="9"/>
  <c r="N22" i="9" s="1"/>
  <c r="L13" i="9"/>
  <c r="I13" i="9"/>
  <c r="N13" i="9" s="1"/>
  <c r="L19" i="9"/>
  <c r="V19" i="9"/>
  <c r="U16" i="9"/>
  <c r="L16" i="9"/>
  <c r="V16" i="9"/>
  <c r="U19" i="9"/>
  <c r="I19" i="9"/>
  <c r="N19" i="9" s="1"/>
  <c r="I16" i="9"/>
  <c r="N16" i="9" s="1"/>
  <c r="V13" i="9"/>
  <c r="U13" i="9"/>
  <c r="O22" i="9" l="1"/>
  <c r="T22" i="9" s="1"/>
  <c r="O16" i="9"/>
  <c r="T16" i="9" s="1"/>
  <c r="O19" i="9"/>
  <c r="T19" i="9" s="1"/>
  <c r="O25" i="9"/>
  <c r="T25" i="9" s="1"/>
  <c r="O28" i="9"/>
  <c r="T28" i="9" s="1"/>
  <c r="O13" i="9"/>
  <c r="T13" i="9" s="1"/>
  <c r="D37" i="2" l="1"/>
  <c r="I26" i="2"/>
  <c r="I23" i="2"/>
  <c r="X23" i="2" l="1"/>
  <c r="S23" i="2"/>
  <c r="X26" i="2"/>
  <c r="S26" i="2"/>
  <c r="N26" i="2" l="1"/>
  <c r="N23" i="2"/>
  <c r="D23" i="2" l="1"/>
  <c r="D26" i="2" l="1"/>
  <c r="D10" i="9" l="1"/>
  <c r="J9" i="9" l="1"/>
  <c r="N8" i="2" l="1"/>
  <c r="G10" i="9" l="1"/>
  <c r="P10" i="9"/>
  <c r="H9" i="9"/>
  <c r="I9" i="9" s="1"/>
  <c r="I10" i="9" s="1"/>
  <c r="R9" i="9"/>
  <c r="I8" i="9"/>
  <c r="E8" i="9"/>
  <c r="F8" i="9" s="1"/>
  <c r="F9" i="9" s="1"/>
  <c r="F10" i="9" s="1"/>
  <c r="R8" i="9"/>
  <c r="U9" i="9"/>
  <c r="V8" i="9"/>
  <c r="N10" i="9" l="1"/>
  <c r="H10" i="9"/>
  <c r="E9" i="9"/>
  <c r="E10" i="9" s="1"/>
  <c r="U8" i="9"/>
  <c r="L8" i="9"/>
  <c r="V9" i="9"/>
  <c r="L9" i="9"/>
  <c r="O9" i="9" l="1"/>
  <c r="O8" i="9"/>
  <c r="U10" i="9"/>
  <c r="L10" i="9"/>
  <c r="V10" i="9"/>
  <c r="O10" i="9" l="1"/>
  <c r="T10" i="9" s="1"/>
  <c r="D8" i="2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T10" i="7"/>
  <c r="H8" i="7"/>
  <c r="O10" i="7"/>
  <c r="U9" i="7"/>
  <c r="U10" i="7"/>
  <c r="H8" i="8"/>
  <c r="O9" i="7"/>
  <c r="K9" i="8"/>
  <c r="T9" i="7"/>
  <c r="U8" i="8" l="1"/>
  <c r="Q9" i="7"/>
  <c r="R9" i="7" s="1"/>
  <c r="S9" i="7" s="1"/>
  <c r="Q10" i="7"/>
  <c r="R10" i="7" s="1"/>
  <c r="S10" i="7" s="1"/>
  <c r="Q8" i="7"/>
  <c r="X9" i="8"/>
  <c r="S9" i="8"/>
  <c r="Y9" i="8"/>
  <c r="U8" i="7"/>
  <c r="T8" i="7"/>
  <c r="K8" i="8"/>
  <c r="O8" i="7"/>
  <c r="V9" i="8" l="1"/>
  <c r="W9" i="8" s="1"/>
  <c r="R8" i="7"/>
  <c r="S8" i="7" s="1"/>
  <c r="X8" i="8"/>
  <c r="Y8" i="8"/>
  <c r="S8" i="8"/>
  <c r="V8" i="8" l="1"/>
  <c r="W8" i="8" s="1"/>
  <c r="R8" i="1"/>
  <c r="I8" i="1" l="1"/>
  <c r="E8" i="1"/>
  <c r="F8" i="1" s="1"/>
  <c r="P8" i="1"/>
  <c r="N8" i="1" l="1"/>
  <c r="V8" i="1"/>
  <c r="U8" i="1"/>
  <c r="L8" i="1"/>
  <c r="O8" i="1" l="1"/>
  <c r="T8" i="1" s="1"/>
</calcChain>
</file>

<file path=xl/sharedStrings.xml><?xml version="1.0" encoding="utf-8"?>
<sst xmlns="http://schemas.openxmlformats.org/spreadsheetml/2006/main" count="1162" uniqueCount="237">
  <si>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</si>
  <si>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</si>
  <si>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</si>
  <si>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</si>
  <si>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</si>
  <si>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</si>
  <si>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</si>
  <si>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</si>
  <si>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</si>
  <si>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</si>
  <si>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</si>
  <si>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</si>
  <si>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</si>
  <si>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</si>
  <si>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</si>
  <si>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</si>
  <si>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</si>
  <si>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</si>
  <si>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</si>
  <si>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</si>
  <si>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</si>
  <si>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</si>
  <si>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</si>
  <si>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</si>
  <si>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</si>
  <si>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</si>
  <si>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</si>
  <si>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</si>
  <si>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</si>
  <si>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</si>
  <si>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</si>
  <si>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</si>
  <si>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</si>
  <si>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</si>
  <si>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</si>
  <si>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</si>
  <si>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</si>
  <si>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</si>
  <si>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</si>
  <si>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</si>
  <si>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</si>
  <si>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</si>
  <si>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</si>
  <si>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</si>
  <si>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</si>
  <si>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</si>
  <si>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</si>
  <si>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</si>
  <si>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</si>
  <si>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</si>
  <si>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</si>
  <si>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</si>
  <si>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</si>
  <si>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</si>
  <si>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</si>
  <si>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</si>
  <si>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</si>
  <si>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</si>
  <si>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</si>
  <si>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</si>
  <si>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</si>
  <si>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</si>
  <si>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</si>
  <si>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</si>
  <si>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</si>
  <si>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</si>
  <si>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</si>
  <si>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</si>
  <si>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</si>
  <si>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</si>
  <si>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</si>
  <si>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</si>
  <si>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</si>
  <si>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</si>
  <si>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</si>
  <si>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</si>
  <si>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</si>
  <si>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</si>
  <si>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</si>
  <si>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</si>
  <si>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</si>
  <si>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</si>
  <si>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</si>
  <si>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</si>
  <si>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</si>
  <si>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</si>
  <si>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</si>
  <si>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</si>
  <si>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</si>
  <si>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</si>
  <si>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</si>
  <si>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</si>
  <si>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</si>
  <si>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</si>
  <si>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</si>
  <si>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</si>
  <si>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</si>
  <si>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</si>
  <si>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</si>
  <si>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</si>
  <si>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</si>
  <si>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</si>
  <si>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</si>
  <si>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</si>
  <si>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</si>
  <si>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</si>
  <si>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</si>
  <si>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</si>
  <si>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</si>
  <si>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</si>
  <si>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</si>
  <si>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</si>
  <si>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</si>
  <si>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</si>
  <si>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</si>
  <si>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</si>
  <si>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</si>
  <si>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</si>
  <si>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</si>
  <si>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</si>
  <si>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</si>
  <si>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</si>
  <si>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</si>
  <si>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</si>
  <si>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</si>
  <si>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</si>
  <si>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</si>
  <si>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</si>
  <si>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</si>
  <si>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</si>
  <si>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</si>
  <si>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</si>
  <si>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</si>
  <si>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</si>
  <si>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</si>
  <si>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</si>
  <si>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</si>
  <si>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</si>
  <si>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</si>
  <si>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</si>
  <si>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</si>
  <si>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</si>
  <si>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</si>
  <si>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</si>
  <si>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</si>
  <si>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</si>
  <si>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</si>
  <si>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</si>
  <si>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</si>
  <si>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</si>
  <si>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</si>
  <si>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</si>
  <si>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</si>
  <si>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</si>
  <si>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</si>
  <si>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</si>
  <si>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</si>
  <si>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</si>
  <si>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</si>
  <si>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</si>
  <si>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</si>
  <si>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</si>
  <si>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</si>
  <si>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</si>
  <si>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</si>
  <si>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</si>
  <si>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</si>
  <si>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</si>
  <si>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</si>
  <si>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</si>
  <si>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</si>
  <si>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</si>
  <si>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</si>
  <si>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</si>
  <si>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</si>
  <si>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</si>
  <si>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</si>
  <si>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</si>
  <si>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</si>
  <si>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权利金总额（元）：</t>
    <phoneticPr fontId="1" type="noConversion"/>
  </si>
  <si>
    <t>起始日期</t>
    <phoneticPr fontId="1" type="noConversion"/>
  </si>
  <si>
    <t>标的</t>
    <phoneticPr fontId="1" type="noConversion"/>
  </si>
  <si>
    <t>期权价格</t>
    <phoneticPr fontId="1" type="noConversion"/>
  </si>
  <si>
    <t>起始日</t>
    <phoneticPr fontId="1" type="noConversion"/>
  </si>
  <si>
    <t>行权价</t>
    <phoneticPr fontId="1" type="noConversion"/>
  </si>
  <si>
    <t>rb1810</t>
  </si>
  <si>
    <t>中金公司</t>
    <phoneticPr fontId="1" type="noConversion"/>
  </si>
  <si>
    <t>华泰长城</t>
    <phoneticPr fontId="1" type="noConversion"/>
  </si>
  <si>
    <t>成交回报1</t>
    <phoneticPr fontId="1" type="noConversion"/>
  </si>
  <si>
    <t>成交回报2</t>
    <phoneticPr fontId="1" type="noConversion"/>
  </si>
  <si>
    <t>看跌期权</t>
    <phoneticPr fontId="1" type="noConversion"/>
  </si>
  <si>
    <t>看涨期权</t>
    <phoneticPr fontId="1" type="noConversion"/>
  </si>
  <si>
    <t>i1805</t>
    <phoneticPr fontId="1" type="noConversion"/>
  </si>
  <si>
    <t>hc1805</t>
  </si>
  <si>
    <t>LME20180122-CICC-MRJH-NI-SWP-4</t>
    <phoneticPr fontId="18" type="noConversion"/>
  </si>
  <si>
    <t>rb1810</t>
    <phoneticPr fontId="1" type="noConversion"/>
  </si>
  <si>
    <t>天物国际</t>
    <phoneticPr fontId="1" type="noConversion"/>
  </si>
  <si>
    <t>rb1805</t>
    <phoneticPr fontId="1" type="noConversion"/>
  </si>
  <si>
    <t>看涨期权</t>
    <phoneticPr fontId="1" type="noConversion"/>
  </si>
  <si>
    <t>权利金（每吨）：</t>
    <phoneticPr fontId="1" type="noConversion"/>
  </si>
  <si>
    <t>标的:</t>
    <phoneticPr fontId="1" type="noConversion"/>
  </si>
  <si>
    <t>交易量（吨）：</t>
    <phoneticPr fontId="1" type="noConversion"/>
  </si>
  <si>
    <t>rb1810</t>
    <phoneticPr fontId="1" type="noConversion"/>
  </si>
  <si>
    <t>last_trd_date</t>
    <phoneticPr fontId="7" type="noConversion"/>
  </si>
  <si>
    <t>al1807</t>
  </si>
  <si>
    <t>pp1805</t>
  </si>
  <si>
    <t>i1809</t>
  </si>
  <si>
    <t>i1809</t>
    <phoneticPr fontId="1" type="noConversion"/>
  </si>
  <si>
    <t>92|105</t>
  </si>
  <si>
    <t>95|102.5</t>
  </si>
  <si>
    <t>au9999</t>
  </si>
  <si>
    <t>pp1809</t>
  </si>
  <si>
    <t>cu1810</t>
  </si>
  <si>
    <t>sm805</t>
  </si>
  <si>
    <t>7000|8000</t>
  </si>
  <si>
    <t>中金支付</t>
    <phoneticPr fontId="1" type="noConversion"/>
  </si>
  <si>
    <t>rr</t>
    <phoneticPr fontId="1" type="noConversion"/>
  </si>
  <si>
    <t>3450|3700</t>
  </si>
  <si>
    <t>al1806</t>
  </si>
  <si>
    <t>al1805</t>
  </si>
  <si>
    <t>al1808</t>
  </si>
  <si>
    <t>al1808</t>
    <phoneticPr fontId="1" type="noConversion"/>
  </si>
  <si>
    <t>au1806</t>
  </si>
  <si>
    <t>au1806</t>
    <phoneticPr fontId="1" type="noConversion"/>
  </si>
  <si>
    <t>al1807</t>
    <phoneticPr fontId="1" type="noConversion"/>
  </si>
  <si>
    <t>pb1807</t>
  </si>
  <si>
    <t>al1807</t>
    <phoneticPr fontId="1" type="noConversion"/>
  </si>
  <si>
    <t>13500|14300</t>
  </si>
  <si>
    <t>客户支付</t>
    <phoneticPr fontId="1" type="noConversion"/>
  </si>
  <si>
    <t>ma901</t>
  </si>
  <si>
    <t>bu1812</t>
  </si>
  <si>
    <t>看跌期权</t>
    <phoneticPr fontId="1" type="noConversion"/>
  </si>
  <si>
    <t>rb1810</t>
    <phoneticPr fontId="1" type="noConversion"/>
  </si>
  <si>
    <t>象屿物流</t>
    <phoneticPr fontId="1" type="noConversion"/>
  </si>
  <si>
    <t>成交回报 - rr2</t>
    <phoneticPr fontId="1" type="noConversion"/>
  </si>
  <si>
    <t>成交回报 - rr1</t>
    <phoneticPr fontId="1" type="noConversion"/>
  </si>
  <si>
    <t>al1808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</si>
</sst>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76" formatCode="###,###,##0.0000"/>
    <numFmt numFmtId="177" formatCode="0.0000"/>
    <numFmt numFmtId="178" formatCode="###,###,##0"/>
    <numFmt numFmtId="179" formatCode="###,###,##0.0"/>
    <numFmt numFmtId="180" formatCode="0.00000000000000_ "/>
    <numFmt numFmtId="182" formatCode="0.000"/>
    <numFmt numFmtId="184" formatCode="0.00000000000_ "/>
  </numFmts>
  <fonts count="3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/>
      <right/>
      <top style="medium">
        <color theme="3" tint="-0.499984740745262"/>
      </top>
      <bottom/>
      <diagonal/>
    </border>
    <border>
      <left style="medium">
        <color theme="3" tint="-0.499984740745262"/>
      </left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159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7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5" fillId="6" borderId="2" xfId="0" applyFont="1" applyFill="1" applyBorder="1"/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10" fillId="6" borderId="0" xfId="0" applyFont="1" applyFill="1"/>
    <xf numFmtId="0" fontId="11" fillId="6" borderId="0" xfId="0" applyFont="1" applyFill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2" fillId="7" borderId="1" xfId="0" applyFont="1" applyFill="1" applyBorder="1"/>
    <xf numFmtId="0" fontId="13" fillId="6" borderId="0" xfId="0" applyFont="1" applyFill="1"/>
    <xf numFmtId="2" fontId="12" fillId="9" borderId="6" xfId="0" applyNumberFormat="1" applyFont="1" applyFill="1" applyBorder="1"/>
    <xf numFmtId="0" fontId="12" fillId="9" borderId="6" xfId="0" applyFont="1" applyFill="1" applyBorder="1"/>
    <xf numFmtId="176" fontId="12" fillId="9" borderId="6" xfId="0" applyNumberFormat="1" applyFont="1" applyFill="1" applyBorder="1"/>
    <xf numFmtId="14" fontId="12" fillId="5" borderId="6" xfId="0" applyNumberFormat="1" applyFont="1" applyFill="1" applyBorder="1"/>
    <xf numFmtId="177" fontId="12" fillId="9" borderId="6" xfId="0" applyNumberFormat="1" applyFont="1" applyFill="1" applyBorder="1"/>
    <xf numFmtId="0" fontId="12" fillId="4" borderId="6" xfId="0" applyFont="1" applyFill="1" applyBorder="1"/>
    <xf numFmtId="0" fontId="12" fillId="8" borderId="6" xfId="0" applyFont="1" applyFill="1" applyBorder="1"/>
    <xf numFmtId="10" fontId="12" fillId="9" borderId="6" xfId="1" applyNumberFormat="1" applyFont="1" applyFill="1" applyBorder="1" applyAlignment="1"/>
    <xf numFmtId="2" fontId="12" fillId="9" borderId="2" xfId="0" applyNumberFormat="1" applyFont="1" applyFill="1" applyBorder="1"/>
    <xf numFmtId="0" fontId="12" fillId="9" borderId="2" xfId="0" applyFont="1" applyFill="1" applyBorder="1"/>
    <xf numFmtId="178" fontId="12" fillId="9" borderId="2" xfId="0" applyNumberFormat="1" applyFont="1" applyFill="1" applyBorder="1"/>
    <xf numFmtId="14" fontId="12" fillId="5" borderId="2" xfId="0" applyNumberFormat="1" applyFont="1" applyFill="1" applyBorder="1"/>
    <xf numFmtId="177" fontId="12" fillId="9" borderId="2" xfId="0" applyNumberFormat="1" applyFont="1" applyFill="1" applyBorder="1"/>
    <xf numFmtId="0" fontId="12" fillId="4" borderId="2" xfId="0" applyFont="1" applyFill="1" applyBorder="1"/>
    <xf numFmtId="0" fontId="12" fillId="8" borderId="2" xfId="0" applyFont="1" applyFill="1" applyBorder="1"/>
    <xf numFmtId="10" fontId="12" fillId="9" borderId="2" xfId="1" applyNumberFormat="1" applyFont="1" applyFill="1" applyBorder="1" applyAlignment="1"/>
    <xf numFmtId="2" fontId="12" fillId="12" borderId="2" xfId="0" applyNumberFormat="1" applyFont="1" applyFill="1" applyBorder="1"/>
    <xf numFmtId="0" fontId="12" fillId="12" borderId="2" xfId="0" applyFont="1" applyFill="1" applyBorder="1"/>
    <xf numFmtId="178" fontId="12" fillId="12" borderId="2" xfId="0" applyNumberFormat="1" applyFont="1" applyFill="1" applyBorder="1"/>
    <xf numFmtId="14" fontId="12" fillId="12" borderId="2" xfId="0" applyNumberFormat="1" applyFont="1" applyFill="1" applyBorder="1"/>
    <xf numFmtId="177" fontId="12" fillId="12" borderId="2" xfId="0" applyNumberFormat="1" applyFont="1" applyFill="1" applyBorder="1"/>
    <xf numFmtId="10" fontId="12" fillId="12" borderId="2" xfId="1" applyNumberFormat="1" applyFont="1" applyFill="1" applyBorder="1" applyAlignment="1"/>
    <xf numFmtId="0" fontId="14" fillId="6" borderId="0" xfId="0" applyFont="1" applyFill="1"/>
    <xf numFmtId="14" fontId="15" fillId="13" borderId="9" xfId="0" applyNumberFormat="1" applyFont="1" applyFill="1" applyBorder="1" applyAlignment="1">
      <alignment horizontal="right" vertical="center" wrapText="1"/>
    </xf>
    <xf numFmtId="0" fontId="16" fillId="13" borderId="9" xfId="0" applyFont="1" applyFill="1" applyBorder="1" applyAlignment="1">
      <alignment vertical="center" wrapText="1"/>
    </xf>
    <xf numFmtId="0" fontId="15" fillId="13" borderId="9" xfId="0" applyFont="1" applyFill="1" applyBorder="1" applyAlignment="1">
      <alignment vertical="center" wrapText="1"/>
    </xf>
    <xf numFmtId="0" fontId="16" fillId="13" borderId="10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horizontal="right" vertical="center" wrapText="1"/>
    </xf>
    <xf numFmtId="0" fontId="17" fillId="14" borderId="12" xfId="0" applyFont="1" applyFill="1" applyBorder="1" applyAlignment="1">
      <alignment horizontal="right" vertical="center" wrapText="1"/>
    </xf>
    <xf numFmtId="0" fontId="17" fillId="0" borderId="11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10" fontId="17" fillId="0" borderId="11" xfId="0" applyNumberFormat="1" applyFont="1" applyBorder="1" applyAlignment="1">
      <alignment horizontal="right" vertical="center" wrapText="1"/>
    </xf>
    <xf numFmtId="0" fontId="18" fillId="0" borderId="11" xfId="0" applyFont="1" applyBorder="1" applyAlignment="1">
      <alignment horizontal="right" vertical="center" wrapText="1"/>
    </xf>
    <xf numFmtId="10" fontId="17" fillId="0" borderId="12" xfId="0" applyNumberFormat="1" applyFont="1" applyBorder="1" applyAlignment="1">
      <alignment horizontal="right"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18" fillId="0" borderId="12" xfId="0" applyFont="1" applyBorder="1" applyAlignment="1">
      <alignment horizontal="right" vertical="center" wrapText="1"/>
    </xf>
    <xf numFmtId="10" fontId="17" fillId="14" borderId="11" xfId="0" applyNumberFormat="1" applyFont="1" applyFill="1" applyBorder="1" applyAlignment="1">
      <alignment horizontal="right" vertical="center" wrapText="1"/>
    </xf>
    <xf numFmtId="10" fontId="17" fillId="14" borderId="12" xfId="0" applyNumberFormat="1" applyFont="1" applyFill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vertical="center" wrapText="1"/>
    </xf>
    <xf numFmtId="0" fontId="20" fillId="14" borderId="12" xfId="0" applyFont="1" applyFill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14" fontId="5" fillId="9" borderId="0" xfId="0" applyNumberFormat="1" applyFont="1" applyFill="1" applyAlignment="1">
      <alignment horizontal="center"/>
    </xf>
    <xf numFmtId="179" fontId="12" fillId="9" borderId="2" xfId="0" applyNumberFormat="1" applyFont="1" applyFill="1" applyBorder="1"/>
    <xf numFmtId="0" fontId="5" fillId="6" borderId="0" xfId="0" applyFont="1" applyFill="1" applyBorder="1"/>
    <xf numFmtId="0" fontId="14" fillId="6" borderId="16" xfId="0" applyFont="1" applyFill="1" applyBorder="1"/>
    <xf numFmtId="0" fontId="5" fillId="6" borderId="17" xfId="0" applyFont="1" applyFill="1" applyBorder="1"/>
    <xf numFmtId="0" fontId="14" fillId="6" borderId="18" xfId="0" applyFont="1" applyFill="1" applyBorder="1"/>
    <xf numFmtId="0" fontId="14" fillId="6" borderId="15" xfId="0" applyFont="1" applyFill="1" applyBorder="1"/>
    <xf numFmtId="0" fontId="14" fillId="6" borderId="13" xfId="0" applyFont="1" applyFill="1" applyBorder="1"/>
    <xf numFmtId="0" fontId="5" fillId="6" borderId="14" xfId="0" applyFont="1" applyFill="1" applyBorder="1"/>
    <xf numFmtId="2" fontId="5" fillId="9" borderId="0" xfId="0" applyNumberFormat="1" applyFont="1" applyFill="1" applyAlignment="1">
      <alignment horizontal="center"/>
    </xf>
    <xf numFmtId="0" fontId="22" fillId="6" borderId="0" xfId="0" applyFont="1" applyFill="1"/>
    <xf numFmtId="0" fontId="26" fillId="10" borderId="0" xfId="0" applyFont="1" applyFill="1" applyBorder="1" applyAlignment="1">
      <alignment horizontal="left"/>
    </xf>
    <xf numFmtId="0" fontId="25" fillId="10" borderId="0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9" fillId="6" borderId="0" xfId="0" applyFont="1" applyFill="1"/>
    <xf numFmtId="0" fontId="22" fillId="6" borderId="1" xfId="0" applyFont="1" applyFill="1" applyBorder="1"/>
    <xf numFmtId="0" fontId="5" fillId="9" borderId="0" xfId="0" applyFont="1" applyFill="1" applyBorder="1" applyAlignment="1">
      <alignment horizontal="center"/>
    </xf>
    <xf numFmtId="14" fontId="5" fillId="9" borderId="0" xfId="0" applyNumberFormat="1" applyFont="1" applyFill="1" applyBorder="1" applyAlignment="1">
      <alignment horizontal="center"/>
    </xf>
    <xf numFmtId="2" fontId="5" fillId="9" borderId="0" xfId="0" applyNumberFormat="1" applyFont="1" applyFill="1" applyBorder="1" applyAlignment="1">
      <alignment horizontal="center"/>
    </xf>
    <xf numFmtId="179" fontId="12" fillId="9" borderId="6" xfId="0" applyNumberFormat="1" applyFont="1" applyFill="1" applyBorder="1"/>
    <xf numFmtId="179" fontId="12" fillId="12" borderId="2" xfId="0" applyNumberFormat="1" applyFont="1" applyFill="1" applyBorder="1"/>
    <xf numFmtId="0" fontId="6" fillId="6" borderId="0" xfId="0" applyFont="1" applyFill="1"/>
    <xf numFmtId="180" fontId="5" fillId="6" borderId="0" xfId="0" applyNumberFormat="1" applyFont="1" applyFill="1"/>
    <xf numFmtId="0" fontId="33" fillId="6" borderId="0" xfId="0" applyFont="1" applyFill="1"/>
    <xf numFmtId="2" fontId="33" fillId="9" borderId="2" xfId="0" applyNumberFormat="1" applyFont="1" applyFill="1" applyBorder="1"/>
    <xf numFmtId="0" fontId="33" fillId="9" borderId="2" xfId="0" applyFont="1" applyFill="1" applyBorder="1"/>
    <xf numFmtId="14" fontId="33" fillId="5" borderId="2" xfId="0" applyNumberFormat="1" applyFont="1" applyFill="1" applyBorder="1"/>
    <xf numFmtId="177" fontId="33" fillId="9" borderId="2" xfId="0" applyNumberFormat="1" applyFont="1" applyFill="1" applyBorder="1"/>
    <xf numFmtId="0" fontId="33" fillId="4" borderId="2" xfId="0" applyFont="1" applyFill="1" applyBorder="1"/>
    <xf numFmtId="0" fontId="33" fillId="8" borderId="2" xfId="0" applyFont="1" applyFill="1" applyBorder="1"/>
    <xf numFmtId="178" fontId="33" fillId="9" borderId="2" xfId="0" applyNumberFormat="1" applyFont="1" applyFill="1" applyBorder="1"/>
    <xf numFmtId="10" fontId="33" fillId="9" borderId="2" xfId="1" applyNumberFormat="1" applyFont="1" applyFill="1" applyBorder="1" applyAlignment="1"/>
    <xf numFmtId="43" fontId="5" fillId="6" borderId="0" xfId="2" applyFont="1" applyFill="1" applyAlignment="1"/>
    <xf numFmtId="43" fontId="5" fillId="6" borderId="0" xfId="0" applyNumberFormat="1" applyFont="1" applyFill="1"/>
    <xf numFmtId="0" fontId="8" fillId="0" borderId="4" xfId="0" applyFont="1" applyBorder="1" applyAlignment="1">
      <alignment horizontal="center"/>
    </xf>
    <xf numFmtId="0" fontId="31" fillId="10" borderId="0" xfId="0" applyFont="1" applyFill="1" applyBorder="1" applyAlignment="1">
      <alignment horizontal="left" vertical="center"/>
    </xf>
    <xf numFmtId="0" fontId="32" fillId="10" borderId="3" xfId="0" applyFont="1" applyFill="1" applyBorder="1" applyAlignment="1">
      <alignment horizontal="right" vertical="center"/>
    </xf>
    <xf numFmtId="0" fontId="32" fillId="10" borderId="0" xfId="0" applyFont="1" applyFill="1" applyBorder="1" applyAlignment="1">
      <alignment horizontal="right" vertical="center"/>
    </xf>
    <xf numFmtId="0" fontId="31" fillId="10" borderId="1" xfId="0" applyFont="1" applyFill="1" applyBorder="1" applyAlignment="1">
      <alignment horizontal="left" vertical="center"/>
    </xf>
    <xf numFmtId="0" fontId="32" fillId="10" borderId="5" xfId="0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right" vertical="center"/>
    </xf>
    <xf numFmtId="14" fontId="32" fillId="10" borderId="3" xfId="0" applyNumberFormat="1" applyFont="1" applyFill="1" applyBorder="1" applyAlignment="1">
      <alignment horizontal="right" vertical="center"/>
    </xf>
    <xf numFmtId="0" fontId="30" fillId="10" borderId="1" xfId="0" applyFont="1" applyFill="1" applyBorder="1" applyAlignment="1">
      <alignment horizontal="center"/>
    </xf>
    <xf numFmtId="14" fontId="32" fillId="10" borderId="0" xfId="0" applyNumberFormat="1" applyFont="1" applyFill="1" applyBorder="1" applyAlignment="1">
      <alignment horizontal="right" vertical="center"/>
    </xf>
    <xf numFmtId="0" fontId="25" fillId="10" borderId="1" xfId="0" applyFont="1" applyFill="1" applyBorder="1" applyAlignment="1">
      <alignment horizontal="center"/>
    </xf>
    <xf numFmtId="0" fontId="27" fillId="10" borderId="1" xfId="0" applyFont="1" applyFill="1" applyBorder="1" applyAlignment="1">
      <alignment horizontal="left" vertical="center"/>
    </xf>
    <xf numFmtId="0" fontId="28" fillId="10" borderId="5" xfId="0" applyFont="1" applyFill="1" applyBorder="1" applyAlignment="1">
      <alignment horizontal="right" vertical="center"/>
    </xf>
    <xf numFmtId="0" fontId="28" fillId="10" borderId="1" xfId="0" applyFont="1" applyFill="1" applyBorder="1" applyAlignment="1">
      <alignment horizontal="right" vertic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4" fillId="6" borderId="1" xfId="0" applyFont="1" applyFill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82" fontId="5" fillId="9" borderId="2" xfId="0" applyNumberFormat="1" applyFont="1" applyFill="1" applyBorder="1"/>
    <xf numFmtId="184" fontId="5" fillId="9" borderId="2" xfId="0" applyNumberFormat="1" applyFont="1" applyFill="1" applyBorder="1"/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271.2</v>
        <stp/>
        <stp>au1806</stp>
        <stp>LastPrice</stp>
        <tr r="P12" s="1"/>
        <tr r="P11" s="1"/>
      </tp>
      <tp>
        <v>13890</v>
        <stp/>
        <stp>al1807</stp>
        <stp>LastPrice</stp>
        <tr r="P41" s="9"/>
      </tp>
      <tp>
        <v>13960</v>
        <stp/>
        <stp>al1808</stp>
        <stp>LastPrice</stp>
        <tr r="P9" s="1"/>
        <tr r="P14" s="1"/>
      </tp>
      <tp>
        <v>3289</v>
        <stp/>
        <stp>rb1810</stp>
        <stp>LastPrice</stp>
        <tr r="P11" s="9"/>
        <tr r="P26" s="9"/>
        <tr r="P14" s="9"/>
        <tr r="P23" s="9"/>
        <tr r="P20" s="9"/>
        <tr r="P17" s="9"/>
        <tr r="P35" s="9"/>
        <tr r="P38" s="9"/>
      </tp>
      <tp>
        <v>3494</v>
        <stp/>
        <stp>RB1805</stp>
        <stp>LastPrice</stp>
        <tr r="P8" s="1"/>
        <tr r="H8" s="8"/>
        <tr r="H8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S76"/>
  <sheetViews>
    <sheetView topLeftCell="A43" zoomScaleNormal="100" workbookViewId="0">
      <selection activeCell="C75" sqref="C75:R76"/>
    </sheetView>
  </sheetViews>
  <sheetFormatPr defaultColWidth="9" defaultRowHeight="11.25" x14ac:dyDescent="0.15"/>
  <cols>
    <col min="1" max="1" width="9" style="6"/>
    <col min="2" max="2" width="7.5" style="6" bestFit="1" customWidth="1"/>
    <col min="3" max="3" width="6" style="6" bestFit="1" customWidth="1"/>
    <col min="4" max="5" width="8.25" style="6" bestFit="1" customWidth="1"/>
    <col min="6" max="6" width="8.875" style="6" customWidth="1"/>
    <col min="7" max="7" width="4.5" style="6" hidden="1" customWidth="1"/>
    <col min="8" max="8" width="9.75" style="6" hidden="1" customWidth="1"/>
    <col min="9" max="9" width="17" style="6" hidden="1" customWidth="1"/>
    <col min="10" max="10" width="6" style="6" hidden="1" customWidth="1"/>
    <col min="11" max="11" width="10.5" style="6" hidden="1" customWidth="1"/>
    <col min="12" max="12" width="7.5" style="6" hidden="1" customWidth="1"/>
    <col min="13" max="13" width="1.375" style="6" hidden="1" customWidth="1"/>
    <col min="14" max="14" width="9.75" style="6" bestFit="1" customWidth="1"/>
    <col min="15" max="15" width="6" style="6" bestFit="1" customWidth="1"/>
    <col min="16" max="16" width="3.75" style="6" bestFit="1" customWidth="1"/>
    <col min="17" max="17" width="3" style="6" hidden="1" customWidth="1"/>
    <col min="18" max="18" width="7.5" style="6" bestFit="1" customWidth="1"/>
    <col min="19" max="16384" width="9" style="6"/>
  </cols>
  <sheetData>
    <row r="1" spans="2:18" ht="14.25" customHeight="1" thickBot="1" x14ac:dyDescent="0.2">
      <c r="B1" s="132" t="s">
        <v>158</v>
      </c>
      <c r="C1" s="132"/>
      <c r="D1" s="132"/>
    </row>
    <row r="2" spans="2:18" ht="12" thickTop="1" x14ac:dyDescent="0.15"/>
    <row r="3" spans="2:18" ht="13.5" x14ac:dyDescent="0.15">
      <c r="I3" s="119" t="s">
        <v>203</v>
      </c>
    </row>
    <row r="5" spans="2:18" x14ac:dyDescent="0.15">
      <c r="B5" s="92" t="s">
        <v>2</v>
      </c>
      <c r="C5" s="33" t="s">
        <v>181</v>
      </c>
      <c r="D5" s="33" t="s">
        <v>180</v>
      </c>
      <c r="E5" s="33" t="s">
        <v>10</v>
      </c>
      <c r="F5" s="33" t="s">
        <v>184</v>
      </c>
      <c r="G5" s="33" t="s">
        <v>11</v>
      </c>
      <c r="H5" s="33" t="s">
        <v>12</v>
      </c>
      <c r="I5" s="33" t="s">
        <v>47</v>
      </c>
      <c r="J5" s="33" t="s">
        <v>13</v>
      </c>
      <c r="K5" s="33" t="s">
        <v>14</v>
      </c>
      <c r="L5" s="33" t="s">
        <v>26</v>
      </c>
      <c r="M5" s="33" t="s">
        <v>28</v>
      </c>
      <c r="N5" s="33" t="s">
        <v>182</v>
      </c>
      <c r="O5" s="33" t="s">
        <v>8</v>
      </c>
      <c r="P5" s="33" t="s">
        <v>23</v>
      </c>
      <c r="Q5" s="33"/>
      <c r="R5" s="33" t="s">
        <v>30</v>
      </c>
    </row>
    <row r="6" spans="2:18" x14ac:dyDescent="0.15">
      <c r="B6" s="93" t="s">
        <v>160</v>
      </c>
      <c r="C6" s="93" t="s">
        <v>159</v>
      </c>
      <c r="D6" s="94">
        <v>43105</v>
      </c>
      <c r="E6" s="94">
        <v>43135</v>
      </c>
      <c r="F6" s="93">
        <v>3800</v>
      </c>
      <c r="G6" s="93">
        <v>30</v>
      </c>
      <c r="H6" s="93">
        <v>8.2191780821917804E-2</v>
      </c>
      <c r="I6" s="93">
        <v>0</v>
      </c>
      <c r="J6" s="93">
        <v>0.3</v>
      </c>
      <c r="K6" s="93" t="e">
        <v>#VALUE!</v>
      </c>
      <c r="L6" s="93">
        <v>80</v>
      </c>
      <c r="M6" s="93" t="e">
        <v>#N/A</v>
      </c>
      <c r="N6" s="93" t="e">
        <v>#VALUE!</v>
      </c>
      <c r="O6" s="93" t="e">
        <v>#N/A</v>
      </c>
      <c r="P6" s="93" t="s">
        <v>39</v>
      </c>
      <c r="Q6" s="93">
        <v>-1</v>
      </c>
      <c r="R6" s="93" t="s">
        <v>20</v>
      </c>
    </row>
    <row r="7" spans="2:18" x14ac:dyDescent="0.15">
      <c r="B7" s="93" t="s">
        <v>160</v>
      </c>
      <c r="C7" s="93" t="s">
        <v>159</v>
      </c>
      <c r="D7" s="94">
        <v>43105</v>
      </c>
      <c r="E7" s="94">
        <v>43470</v>
      </c>
      <c r="F7" s="93">
        <v>100</v>
      </c>
      <c r="G7" s="93">
        <v>365</v>
      </c>
      <c r="H7" s="93">
        <v>1</v>
      </c>
      <c r="I7" s="93">
        <v>0</v>
      </c>
      <c r="J7" s="93">
        <v>0.18</v>
      </c>
      <c r="K7" s="93">
        <v>7.0292776883103798</v>
      </c>
      <c r="L7" s="93">
        <v>80</v>
      </c>
      <c r="M7" s="93">
        <v>0.8</v>
      </c>
      <c r="N7" s="93">
        <v>6.22927768831038</v>
      </c>
      <c r="O7" s="93">
        <v>100</v>
      </c>
      <c r="P7" s="93" t="s">
        <v>39</v>
      </c>
      <c r="Q7" s="93">
        <v>1</v>
      </c>
      <c r="R7" s="93" t="s">
        <v>151</v>
      </c>
    </row>
    <row r="8" spans="2:18" x14ac:dyDescent="0.15">
      <c r="B8" s="92" t="s">
        <v>2</v>
      </c>
      <c r="C8" s="33" t="s">
        <v>181</v>
      </c>
      <c r="D8" s="33" t="s">
        <v>180</v>
      </c>
      <c r="E8" s="33" t="s">
        <v>10</v>
      </c>
      <c r="F8" s="33" t="s">
        <v>184</v>
      </c>
      <c r="G8" s="33" t="s">
        <v>11</v>
      </c>
      <c r="H8" s="33" t="s">
        <v>12</v>
      </c>
      <c r="I8" s="33" t="s">
        <v>47</v>
      </c>
      <c r="J8" s="33" t="s">
        <v>13</v>
      </c>
      <c r="K8" s="33" t="s">
        <v>14</v>
      </c>
      <c r="L8" s="33" t="s">
        <v>26</v>
      </c>
      <c r="M8" s="33" t="s">
        <v>28</v>
      </c>
      <c r="N8" s="33" t="s">
        <v>182</v>
      </c>
      <c r="O8" s="33" t="s">
        <v>8</v>
      </c>
      <c r="P8" s="33" t="s">
        <v>23</v>
      </c>
      <c r="Q8" s="33"/>
      <c r="R8" s="33" t="s">
        <v>30</v>
      </c>
    </row>
    <row r="9" spans="2:18" x14ac:dyDescent="0.15">
      <c r="B9" s="93" t="s">
        <v>160</v>
      </c>
      <c r="C9" s="93" t="s">
        <v>185</v>
      </c>
      <c r="D9" s="94">
        <v>43119</v>
      </c>
      <c r="E9" s="94">
        <v>43189</v>
      </c>
      <c r="F9" s="93">
        <v>3650</v>
      </c>
      <c r="G9" s="93">
        <v>70</v>
      </c>
      <c r="H9" s="93">
        <v>0.17808219178082191</v>
      </c>
      <c r="I9" s="93">
        <v>0</v>
      </c>
      <c r="J9" s="93">
        <v>0.19</v>
      </c>
      <c r="K9" s="93">
        <v>82.749480015912013</v>
      </c>
      <c r="L9" s="93"/>
      <c r="M9" s="93">
        <v>0</v>
      </c>
      <c r="N9" s="103">
        <v>82.749480015912013</v>
      </c>
      <c r="O9" s="93">
        <v>3728</v>
      </c>
      <c r="P9" s="93" t="s">
        <v>85</v>
      </c>
      <c r="Q9" s="93">
        <v>1</v>
      </c>
      <c r="R9" s="93" t="s">
        <v>151</v>
      </c>
    </row>
    <row r="10" spans="2:18" x14ac:dyDescent="0.15">
      <c r="B10" s="93" t="s">
        <v>160</v>
      </c>
      <c r="C10" s="93" t="s">
        <v>185</v>
      </c>
      <c r="D10" s="94">
        <v>43119</v>
      </c>
      <c r="E10" s="94">
        <v>43189</v>
      </c>
      <c r="F10" s="93">
        <v>3700</v>
      </c>
      <c r="G10" s="93">
        <v>70</v>
      </c>
      <c r="H10" s="93">
        <v>0.17808219178082191</v>
      </c>
      <c r="I10" s="93">
        <v>0</v>
      </c>
      <c r="J10" s="93">
        <v>0.19</v>
      </c>
      <c r="K10" s="93">
        <v>104.91801880194794</v>
      </c>
      <c r="L10" s="93"/>
      <c r="M10" s="93">
        <v>0</v>
      </c>
      <c r="N10" s="103">
        <v>104.91801880194794</v>
      </c>
      <c r="O10" s="93">
        <v>3728</v>
      </c>
      <c r="P10" s="93" t="s">
        <v>85</v>
      </c>
      <c r="Q10" s="93">
        <v>1</v>
      </c>
      <c r="R10" s="93" t="s">
        <v>151</v>
      </c>
    </row>
    <row r="11" spans="2:18" x14ac:dyDescent="0.15">
      <c r="B11" s="93" t="s">
        <v>160</v>
      </c>
      <c r="C11" s="93" t="s">
        <v>185</v>
      </c>
      <c r="D11" s="94">
        <v>43119</v>
      </c>
      <c r="E11" s="94">
        <v>43189</v>
      </c>
      <c r="F11" s="93">
        <v>3750</v>
      </c>
      <c r="G11" s="93">
        <v>70</v>
      </c>
      <c r="H11" s="93">
        <v>0.17808219178082191</v>
      </c>
      <c r="I11" s="93">
        <v>0</v>
      </c>
      <c r="J11" s="93">
        <v>0.19</v>
      </c>
      <c r="K11" s="93">
        <v>130.42375876594815</v>
      </c>
      <c r="L11" s="93"/>
      <c r="M11" s="93">
        <v>0</v>
      </c>
      <c r="N11" s="103">
        <v>130.42375876594815</v>
      </c>
      <c r="O11" s="93">
        <v>3728</v>
      </c>
      <c r="P11" s="93" t="s">
        <v>85</v>
      </c>
      <c r="Q11" s="93">
        <v>1</v>
      </c>
      <c r="R11" s="93" t="s">
        <v>151</v>
      </c>
    </row>
    <row r="12" spans="2:18" x14ac:dyDescent="0.15">
      <c r="B12" s="93"/>
      <c r="C12" s="93"/>
      <c r="D12" s="94"/>
      <c r="E12" s="94"/>
      <c r="F12" s="93"/>
      <c r="G12" s="93"/>
      <c r="H12" s="93"/>
      <c r="I12" s="93"/>
      <c r="J12" s="93"/>
      <c r="K12" s="93"/>
      <c r="L12" s="93"/>
      <c r="M12" s="93"/>
      <c r="N12" s="103"/>
      <c r="O12" s="93"/>
      <c r="P12" s="93"/>
      <c r="Q12" s="93"/>
      <c r="R12" s="93"/>
    </row>
    <row r="13" spans="2:18" x14ac:dyDescent="0.15">
      <c r="B13" s="33"/>
      <c r="C13" s="33" t="s">
        <v>181</v>
      </c>
      <c r="D13" s="33" t="s">
        <v>180</v>
      </c>
      <c r="E13" s="33" t="s">
        <v>10</v>
      </c>
      <c r="F13" s="33" t="s">
        <v>184</v>
      </c>
      <c r="G13" s="33" t="s">
        <v>11</v>
      </c>
      <c r="H13" s="33" t="s">
        <v>12</v>
      </c>
      <c r="I13" s="33" t="s">
        <v>47</v>
      </c>
      <c r="J13" s="33" t="s">
        <v>13</v>
      </c>
      <c r="K13" s="33" t="s">
        <v>14</v>
      </c>
      <c r="L13" s="33" t="s">
        <v>26</v>
      </c>
      <c r="M13" s="33" t="s">
        <v>28</v>
      </c>
      <c r="N13" s="33" t="s">
        <v>182</v>
      </c>
      <c r="O13" s="33" t="s">
        <v>8</v>
      </c>
      <c r="P13" s="33" t="s">
        <v>23</v>
      </c>
      <c r="Q13" s="33"/>
      <c r="R13" s="33" t="s">
        <v>30</v>
      </c>
    </row>
    <row r="14" spans="2:18" x14ac:dyDescent="0.15">
      <c r="B14" s="114" t="s">
        <v>160</v>
      </c>
      <c r="C14" s="114" t="s">
        <v>193</v>
      </c>
      <c r="D14" s="115">
        <v>43172</v>
      </c>
      <c r="E14" s="115">
        <v>43210</v>
      </c>
      <c r="F14" s="114">
        <v>4000</v>
      </c>
      <c r="G14" s="114">
        <v>38</v>
      </c>
      <c r="H14" s="114">
        <v>9.8630136986301367E-2</v>
      </c>
      <c r="I14" s="114">
        <v>0</v>
      </c>
      <c r="J14" s="114">
        <v>0.155</v>
      </c>
      <c r="K14" s="114">
        <v>19.562648233948153</v>
      </c>
      <c r="L14" s="114">
        <v>0</v>
      </c>
      <c r="M14" s="114">
        <v>0</v>
      </c>
      <c r="N14" s="116">
        <v>19.562648233948153</v>
      </c>
      <c r="O14" s="114">
        <v>3831</v>
      </c>
      <c r="P14" s="114" t="s">
        <v>39</v>
      </c>
      <c r="Q14" s="114">
        <v>1</v>
      </c>
      <c r="R14" s="114" t="s">
        <v>151</v>
      </c>
    </row>
    <row r="15" spans="2:18" x14ac:dyDescent="0.15">
      <c r="B15" s="114" t="s">
        <v>160</v>
      </c>
      <c r="C15" s="114" t="s">
        <v>193</v>
      </c>
      <c r="D15" s="115">
        <v>43172</v>
      </c>
      <c r="E15" s="115">
        <v>43210</v>
      </c>
      <c r="F15" s="114">
        <v>3950</v>
      </c>
      <c r="G15" s="114">
        <v>38</v>
      </c>
      <c r="H15" s="114">
        <v>9.8630136986301367E-2</v>
      </c>
      <c r="I15" s="114">
        <v>0</v>
      </c>
      <c r="J15" s="114">
        <v>0.155</v>
      </c>
      <c r="K15" s="114">
        <v>30.425281860261634</v>
      </c>
      <c r="L15" s="114">
        <v>0</v>
      </c>
      <c r="M15" s="114">
        <v>0</v>
      </c>
      <c r="N15" s="116">
        <v>30.425281860261634</v>
      </c>
      <c r="O15" s="114">
        <v>3831</v>
      </c>
      <c r="P15" s="114" t="s">
        <v>39</v>
      </c>
      <c r="Q15" s="114">
        <v>1</v>
      </c>
      <c r="R15" s="114" t="s">
        <v>151</v>
      </c>
    </row>
    <row r="16" spans="2:18" x14ac:dyDescent="0.15">
      <c r="B16" s="33"/>
      <c r="C16" s="33" t="s">
        <v>181</v>
      </c>
      <c r="D16" s="33" t="s">
        <v>180</v>
      </c>
      <c r="E16" s="33" t="s">
        <v>10</v>
      </c>
      <c r="F16" s="33" t="s">
        <v>184</v>
      </c>
      <c r="G16" s="33" t="s">
        <v>11</v>
      </c>
      <c r="H16" s="33" t="s">
        <v>12</v>
      </c>
      <c r="I16" s="33" t="s">
        <v>47</v>
      </c>
      <c r="J16" s="33" t="s">
        <v>13</v>
      </c>
      <c r="K16" s="33" t="s">
        <v>14</v>
      </c>
      <c r="L16" s="33" t="s">
        <v>26</v>
      </c>
      <c r="M16" s="33" t="s">
        <v>28</v>
      </c>
      <c r="N16" s="33" t="s">
        <v>182</v>
      </c>
      <c r="O16" s="33" t="s">
        <v>8</v>
      </c>
      <c r="P16" s="33" t="s">
        <v>23</v>
      </c>
      <c r="Q16" s="33"/>
      <c r="R16" s="33" t="s">
        <v>30</v>
      </c>
    </row>
    <row r="17" spans="2:18" x14ac:dyDescent="0.15">
      <c r="B17" s="114" t="s">
        <v>160</v>
      </c>
      <c r="C17" s="114" t="s">
        <v>204</v>
      </c>
      <c r="D17" s="115">
        <v>43172</v>
      </c>
      <c r="E17" s="115">
        <v>43262</v>
      </c>
      <c r="F17" s="114">
        <v>12500</v>
      </c>
      <c r="G17" s="114">
        <v>90</v>
      </c>
      <c r="H17" s="114">
        <v>0.24657534246575341</v>
      </c>
      <c r="I17" s="114">
        <v>0</v>
      </c>
      <c r="J17" s="114">
        <v>0.19</v>
      </c>
      <c r="K17" s="114">
        <v>-68.407402851303004</v>
      </c>
      <c r="L17" s="114">
        <v>0</v>
      </c>
      <c r="M17" s="114">
        <v>0</v>
      </c>
      <c r="N17" s="116">
        <v>68.407402851303004</v>
      </c>
      <c r="O17" s="114">
        <v>14010</v>
      </c>
      <c r="P17" s="114" t="s">
        <v>85</v>
      </c>
      <c r="Q17" s="114">
        <v>-1</v>
      </c>
      <c r="R17" s="114" t="s">
        <v>20</v>
      </c>
    </row>
    <row r="18" spans="2:18" x14ac:dyDescent="0.15">
      <c r="B18" s="33"/>
      <c r="C18" s="33" t="s">
        <v>181</v>
      </c>
      <c r="D18" s="33" t="s">
        <v>180</v>
      </c>
      <c r="E18" s="33" t="s">
        <v>10</v>
      </c>
      <c r="F18" s="33" t="s">
        <v>184</v>
      </c>
      <c r="G18" s="33" t="s">
        <v>11</v>
      </c>
      <c r="H18" s="33" t="s">
        <v>12</v>
      </c>
      <c r="I18" s="33" t="s">
        <v>47</v>
      </c>
      <c r="J18" s="33" t="s">
        <v>13</v>
      </c>
      <c r="K18" s="33" t="s">
        <v>14</v>
      </c>
      <c r="L18" s="33" t="s">
        <v>26</v>
      </c>
      <c r="M18" s="33" t="s">
        <v>28</v>
      </c>
      <c r="N18" s="33" t="s">
        <v>182</v>
      </c>
      <c r="O18" s="33" t="s">
        <v>8</v>
      </c>
      <c r="P18" s="33" t="s">
        <v>23</v>
      </c>
      <c r="Q18" s="33"/>
      <c r="R18" s="33" t="s">
        <v>30</v>
      </c>
    </row>
    <row r="19" spans="2:18" x14ac:dyDescent="0.15">
      <c r="B19" s="114" t="s">
        <v>160</v>
      </c>
      <c r="C19" s="114" t="s">
        <v>205</v>
      </c>
      <c r="D19" s="115">
        <v>43172</v>
      </c>
      <c r="E19" s="115">
        <v>43203</v>
      </c>
      <c r="F19" s="114">
        <v>8800</v>
      </c>
      <c r="G19" s="114">
        <v>31</v>
      </c>
      <c r="H19" s="114">
        <v>8.4931506849315067E-2</v>
      </c>
      <c r="I19" s="114">
        <v>0</v>
      </c>
      <c r="J19" s="114">
        <v>0.1875</v>
      </c>
      <c r="K19" s="114">
        <v>-236.0723801769891</v>
      </c>
      <c r="L19" s="114">
        <v>70</v>
      </c>
      <c r="M19" s="114">
        <v>5.2805315068493144</v>
      </c>
      <c r="N19" s="116">
        <v>241.35291168383841</v>
      </c>
      <c r="O19" s="114">
        <v>8882</v>
      </c>
      <c r="P19" s="114" t="s">
        <v>39</v>
      </c>
      <c r="Q19" s="114">
        <v>-1</v>
      </c>
      <c r="R19" s="114" t="s">
        <v>20</v>
      </c>
    </row>
    <row r="20" spans="2:18" x14ac:dyDescent="0.15">
      <c r="B20" s="114" t="s">
        <v>160</v>
      </c>
      <c r="C20" s="114" t="s">
        <v>205</v>
      </c>
      <c r="D20" s="115">
        <v>43172</v>
      </c>
      <c r="E20" s="115">
        <v>43203</v>
      </c>
      <c r="F20" s="114">
        <v>8900</v>
      </c>
      <c r="G20" s="114">
        <v>31</v>
      </c>
      <c r="H20" s="114">
        <v>8.4931506849315067E-2</v>
      </c>
      <c r="I20" s="114">
        <v>0</v>
      </c>
      <c r="J20" s="114">
        <v>0.1875</v>
      </c>
      <c r="K20" s="114">
        <v>-184.6140002711727</v>
      </c>
      <c r="L20" s="114">
        <v>70</v>
      </c>
      <c r="M20" s="114">
        <v>5.2805315068493144</v>
      </c>
      <c r="N20" s="116">
        <v>189.89453177802201</v>
      </c>
      <c r="O20" s="114">
        <v>8882</v>
      </c>
      <c r="P20" s="114" t="s">
        <v>39</v>
      </c>
      <c r="Q20" s="114">
        <v>-1</v>
      </c>
      <c r="R20" s="114" t="s">
        <v>20</v>
      </c>
    </row>
    <row r="21" spans="2:18" x14ac:dyDescent="0.15">
      <c r="B21" s="114" t="s">
        <v>160</v>
      </c>
      <c r="C21" s="114" t="s">
        <v>205</v>
      </c>
      <c r="D21" s="115">
        <v>43172</v>
      </c>
      <c r="E21" s="115">
        <v>43203</v>
      </c>
      <c r="F21" s="114">
        <v>9000</v>
      </c>
      <c r="G21" s="114">
        <v>31</v>
      </c>
      <c r="H21" s="114">
        <v>8.4931506849315067E-2</v>
      </c>
      <c r="I21" s="114">
        <v>0</v>
      </c>
      <c r="J21" s="114">
        <v>0.1875</v>
      </c>
      <c r="K21" s="114">
        <v>-141.29988107518739</v>
      </c>
      <c r="L21" s="114">
        <v>70</v>
      </c>
      <c r="M21" s="114">
        <v>5.2805315068493144</v>
      </c>
      <c r="N21" s="116">
        <v>146.5804125820367</v>
      </c>
      <c r="O21" s="114">
        <v>8882</v>
      </c>
      <c r="P21" s="114" t="s">
        <v>39</v>
      </c>
      <c r="Q21" s="114">
        <v>-1</v>
      </c>
      <c r="R21" s="114" t="s">
        <v>20</v>
      </c>
    </row>
    <row r="22" spans="2:18" x14ac:dyDescent="0.15">
      <c r="B22" s="114" t="s">
        <v>160</v>
      </c>
      <c r="C22" s="114" t="s">
        <v>205</v>
      </c>
      <c r="D22" s="115">
        <v>43172</v>
      </c>
      <c r="E22" s="115">
        <v>43203</v>
      </c>
      <c r="F22" s="114">
        <v>9100</v>
      </c>
      <c r="G22" s="114">
        <v>31</v>
      </c>
      <c r="H22" s="114">
        <v>8.4931506849315067E-2</v>
      </c>
      <c r="I22" s="114">
        <v>0</v>
      </c>
      <c r="J22" s="114">
        <v>0.1875</v>
      </c>
      <c r="K22" s="114">
        <v>-105.77307588048689</v>
      </c>
      <c r="L22" s="114">
        <v>70</v>
      </c>
      <c r="M22" s="114">
        <v>5.2805315068493144</v>
      </c>
      <c r="N22" s="116">
        <v>111.0536073873362</v>
      </c>
      <c r="O22" s="114">
        <v>8882</v>
      </c>
      <c r="P22" s="114" t="s">
        <v>39</v>
      </c>
      <c r="Q22" s="114">
        <v>-1</v>
      </c>
      <c r="R22" s="114" t="s">
        <v>20</v>
      </c>
    </row>
    <row r="23" spans="2:18" x14ac:dyDescent="0.15">
      <c r="B23" s="33"/>
      <c r="C23" s="33" t="s">
        <v>181</v>
      </c>
      <c r="D23" s="33" t="s">
        <v>180</v>
      </c>
      <c r="E23" s="33" t="s">
        <v>10</v>
      </c>
      <c r="F23" s="33" t="s">
        <v>184</v>
      </c>
      <c r="G23" s="33" t="s">
        <v>11</v>
      </c>
      <c r="H23" s="33" t="s">
        <v>12</v>
      </c>
      <c r="I23" s="33" t="s">
        <v>47</v>
      </c>
      <c r="J23" s="33" t="s">
        <v>13</v>
      </c>
      <c r="K23" s="33" t="s">
        <v>14</v>
      </c>
      <c r="L23" s="33" t="s">
        <v>26</v>
      </c>
      <c r="M23" s="33" t="s">
        <v>28</v>
      </c>
      <c r="N23" s="33" t="s">
        <v>182</v>
      </c>
      <c r="O23" s="33" t="s">
        <v>8</v>
      </c>
      <c r="P23" s="33" t="s">
        <v>23</v>
      </c>
      <c r="Q23" s="33"/>
      <c r="R23" s="33" t="s">
        <v>30</v>
      </c>
    </row>
    <row r="24" spans="2:18" x14ac:dyDescent="0.15">
      <c r="B24" s="114" t="s">
        <v>160</v>
      </c>
      <c r="C24" s="114" t="s">
        <v>204</v>
      </c>
      <c r="D24" s="115">
        <v>43172</v>
      </c>
      <c r="E24" s="115">
        <v>43262</v>
      </c>
      <c r="F24" s="114">
        <v>12000</v>
      </c>
      <c r="G24" s="114">
        <v>90</v>
      </c>
      <c r="H24" s="114">
        <v>0.24657534246575341</v>
      </c>
      <c r="I24" s="114">
        <v>0</v>
      </c>
      <c r="J24" s="114">
        <v>0.18</v>
      </c>
      <c r="K24" s="114">
        <v>-19.455144995082719</v>
      </c>
      <c r="L24" s="114">
        <v>0</v>
      </c>
      <c r="M24" s="114">
        <v>0</v>
      </c>
      <c r="N24" s="116">
        <v>19.455144995082719</v>
      </c>
      <c r="O24" s="114">
        <v>14010</v>
      </c>
      <c r="P24" s="114" t="s">
        <v>85</v>
      </c>
      <c r="Q24" s="114">
        <v>-1</v>
      </c>
      <c r="R24" s="114" t="s">
        <v>20</v>
      </c>
    </row>
    <row r="26" spans="2:18" x14ac:dyDescent="0.15">
      <c r="B26" s="33"/>
      <c r="C26" s="33" t="s">
        <v>181</v>
      </c>
      <c r="D26" s="33" t="s">
        <v>180</v>
      </c>
      <c r="E26" s="33" t="s">
        <v>10</v>
      </c>
      <c r="F26" s="33" t="s">
        <v>184</v>
      </c>
      <c r="G26" s="33" t="s">
        <v>11</v>
      </c>
      <c r="H26" s="33" t="s">
        <v>12</v>
      </c>
      <c r="I26" s="33" t="s">
        <v>47</v>
      </c>
      <c r="J26" s="33" t="s">
        <v>13</v>
      </c>
      <c r="K26" s="33" t="s">
        <v>14</v>
      </c>
      <c r="L26" s="33" t="s">
        <v>26</v>
      </c>
      <c r="M26" s="33" t="s">
        <v>28</v>
      </c>
      <c r="N26" s="33" t="s">
        <v>182</v>
      </c>
      <c r="O26" s="33" t="s">
        <v>8</v>
      </c>
      <c r="P26" s="33" t="s">
        <v>23</v>
      </c>
      <c r="Q26" s="33"/>
      <c r="R26" s="33" t="s">
        <v>30</v>
      </c>
    </row>
    <row r="27" spans="2:18" x14ac:dyDescent="0.15">
      <c r="B27" s="114" t="s">
        <v>160</v>
      </c>
      <c r="C27" s="114" t="s">
        <v>185</v>
      </c>
      <c r="D27" s="115">
        <v>43173</v>
      </c>
      <c r="E27" s="115">
        <v>43251</v>
      </c>
      <c r="F27" s="114">
        <v>3500</v>
      </c>
      <c r="G27" s="114">
        <v>78</v>
      </c>
      <c r="H27" s="114">
        <v>0.21369863013698631</v>
      </c>
      <c r="I27" s="114">
        <v>0</v>
      </c>
      <c r="J27" s="114">
        <v>0.22500000000000001</v>
      </c>
      <c r="K27" s="114">
        <v>-101.42329162416991</v>
      </c>
      <c r="L27" s="114">
        <v>0</v>
      </c>
      <c r="M27" s="114">
        <v>0</v>
      </c>
      <c r="N27" s="116">
        <v>101.42329162416991</v>
      </c>
      <c r="O27" s="114">
        <v>3602</v>
      </c>
      <c r="P27" s="114" t="s">
        <v>85</v>
      </c>
      <c r="Q27" s="114">
        <v>-1</v>
      </c>
      <c r="R27" s="114" t="s">
        <v>20</v>
      </c>
    </row>
    <row r="28" spans="2:18" x14ac:dyDescent="0.15">
      <c r="B28" s="33"/>
      <c r="C28" s="33" t="s">
        <v>181</v>
      </c>
      <c r="D28" s="33" t="s">
        <v>180</v>
      </c>
      <c r="E28" s="33" t="s">
        <v>10</v>
      </c>
      <c r="F28" s="33" t="s">
        <v>184</v>
      </c>
      <c r="G28" s="33" t="s">
        <v>11</v>
      </c>
      <c r="H28" s="33" t="s">
        <v>12</v>
      </c>
      <c r="I28" s="33" t="s">
        <v>47</v>
      </c>
      <c r="J28" s="33" t="s">
        <v>13</v>
      </c>
      <c r="K28" s="33" t="s">
        <v>14</v>
      </c>
      <c r="L28" s="33" t="s">
        <v>26</v>
      </c>
      <c r="M28" s="33" t="s">
        <v>28</v>
      </c>
      <c r="N28" s="33" t="s">
        <v>182</v>
      </c>
      <c r="O28" s="33" t="s">
        <v>8</v>
      </c>
      <c r="P28" s="33" t="s">
        <v>23</v>
      </c>
      <c r="Q28" s="33"/>
      <c r="R28" s="33" t="s">
        <v>30</v>
      </c>
    </row>
    <row r="29" spans="2:18" x14ac:dyDescent="0.15">
      <c r="B29" s="114" t="s">
        <v>160</v>
      </c>
      <c r="C29" s="114" t="s">
        <v>206</v>
      </c>
      <c r="D29" s="115">
        <v>43173</v>
      </c>
      <c r="E29" s="115">
        <v>43203</v>
      </c>
      <c r="F29" s="114" t="s">
        <v>208</v>
      </c>
      <c r="G29" s="114">
        <v>30</v>
      </c>
      <c r="H29" s="114">
        <v>8.2191780821917804E-2</v>
      </c>
      <c r="I29" s="114"/>
      <c r="J29" s="114"/>
      <c r="K29" s="114">
        <v>0.3660793967580851</v>
      </c>
      <c r="L29" s="114">
        <v>50</v>
      </c>
      <c r="M29" s="114">
        <v>4.1095890410958902E-2</v>
      </c>
      <c r="N29" s="116">
        <v>0.32498350634712619</v>
      </c>
      <c r="O29" s="114">
        <v>100</v>
      </c>
      <c r="P29" s="114"/>
      <c r="Q29" s="114"/>
      <c r="R29" s="114" t="s">
        <v>151</v>
      </c>
    </row>
    <row r="30" spans="2:18" x14ac:dyDescent="0.15">
      <c r="B30" s="114" t="s">
        <v>160</v>
      </c>
      <c r="C30" s="114" t="s">
        <v>206</v>
      </c>
      <c r="D30" s="115">
        <v>43173</v>
      </c>
      <c r="E30" s="115">
        <v>43203</v>
      </c>
      <c r="F30" s="114" t="s">
        <v>209</v>
      </c>
      <c r="G30" s="114">
        <v>30</v>
      </c>
      <c r="H30" s="114">
        <v>8.2191780821917804E-2</v>
      </c>
      <c r="I30" s="114"/>
      <c r="J30" s="114"/>
      <c r="K30" s="114">
        <v>0.49604829188830735</v>
      </c>
      <c r="L30" s="114">
        <v>50</v>
      </c>
      <c r="M30" s="114">
        <v>4.1095890410958902E-2</v>
      </c>
      <c r="N30" s="116">
        <v>0.45495240147734844</v>
      </c>
      <c r="O30" s="114">
        <v>100</v>
      </c>
      <c r="P30" s="114"/>
      <c r="Q30" s="114"/>
      <c r="R30" s="114" t="s">
        <v>151</v>
      </c>
    </row>
    <row r="31" spans="2:18" x14ac:dyDescent="0.15">
      <c r="B31" s="33"/>
      <c r="C31" s="33" t="s">
        <v>181</v>
      </c>
      <c r="D31" s="33" t="s">
        <v>180</v>
      </c>
      <c r="E31" s="33" t="s">
        <v>10</v>
      </c>
      <c r="F31" s="33" t="s">
        <v>184</v>
      </c>
      <c r="G31" s="33" t="s">
        <v>11</v>
      </c>
      <c r="H31" s="33" t="s">
        <v>12</v>
      </c>
      <c r="I31" s="33" t="s">
        <v>47</v>
      </c>
      <c r="J31" s="33" t="s">
        <v>13</v>
      </c>
      <c r="K31" s="33" t="s">
        <v>14</v>
      </c>
      <c r="L31" s="33" t="s">
        <v>26</v>
      </c>
      <c r="M31" s="33" t="s">
        <v>28</v>
      </c>
      <c r="N31" s="33" t="s">
        <v>182</v>
      </c>
      <c r="O31" s="33" t="s">
        <v>8</v>
      </c>
      <c r="P31" s="33" t="s">
        <v>23</v>
      </c>
      <c r="Q31" s="33"/>
      <c r="R31" s="33" t="s">
        <v>30</v>
      </c>
    </row>
    <row r="32" spans="2:18" x14ac:dyDescent="0.15">
      <c r="B32" s="114" t="s">
        <v>160</v>
      </c>
      <c r="C32" s="114" t="s">
        <v>210</v>
      </c>
      <c r="D32" s="115">
        <v>43174</v>
      </c>
      <c r="E32" s="115">
        <v>43206</v>
      </c>
      <c r="F32" s="114">
        <v>270</v>
      </c>
      <c r="G32" s="114">
        <v>32</v>
      </c>
      <c r="H32" s="114">
        <v>8.7671232876712329E-2</v>
      </c>
      <c r="I32" s="114">
        <v>0.03</v>
      </c>
      <c r="J32" s="114">
        <v>0.13</v>
      </c>
      <c r="K32" s="114">
        <v>-5.09179079711177</v>
      </c>
      <c r="L32" s="114">
        <v>50</v>
      </c>
      <c r="M32" s="114">
        <v>0.11881643835616439</v>
      </c>
      <c r="N32" s="116">
        <v>5.2106072354679345</v>
      </c>
      <c r="O32" s="114">
        <v>271.05</v>
      </c>
      <c r="P32" s="114" t="s">
        <v>39</v>
      </c>
      <c r="Q32" s="114">
        <v>-1</v>
      </c>
      <c r="R32" s="114" t="s">
        <v>20</v>
      </c>
    </row>
    <row r="33" spans="2:18" x14ac:dyDescent="0.15">
      <c r="B33" s="114" t="s">
        <v>160</v>
      </c>
      <c r="C33" s="114" t="s">
        <v>210</v>
      </c>
      <c r="D33" s="115">
        <v>43174</v>
      </c>
      <c r="E33" s="115">
        <v>43235</v>
      </c>
      <c r="F33" s="114">
        <v>270</v>
      </c>
      <c r="G33" s="114">
        <v>61</v>
      </c>
      <c r="H33" s="114">
        <v>0.16712328767123288</v>
      </c>
      <c r="I33" s="114">
        <v>0.03</v>
      </c>
      <c r="J33" s="114">
        <v>0.13</v>
      </c>
      <c r="K33" s="114">
        <v>-7.0124054757578733</v>
      </c>
      <c r="L33" s="114">
        <v>50</v>
      </c>
      <c r="M33" s="114">
        <v>0.2264938356164384</v>
      </c>
      <c r="N33" s="116">
        <v>7.2388993113743121</v>
      </c>
      <c r="O33" s="114">
        <v>271.05</v>
      </c>
      <c r="P33" s="114" t="s">
        <v>39</v>
      </c>
      <c r="Q33" s="114">
        <v>-1</v>
      </c>
      <c r="R33" s="114" t="s">
        <v>20</v>
      </c>
    </row>
    <row r="35" spans="2:18" x14ac:dyDescent="0.15">
      <c r="B35" s="33"/>
      <c r="C35" s="33" t="s">
        <v>181</v>
      </c>
      <c r="D35" s="33" t="s">
        <v>180</v>
      </c>
      <c r="E35" s="33" t="s">
        <v>10</v>
      </c>
      <c r="F35" s="33" t="s">
        <v>184</v>
      </c>
      <c r="G35" s="33" t="s">
        <v>11</v>
      </c>
      <c r="H35" s="33" t="s">
        <v>12</v>
      </c>
      <c r="I35" s="33" t="s">
        <v>47</v>
      </c>
      <c r="J35" s="33" t="s">
        <v>13</v>
      </c>
      <c r="K35" s="33" t="s">
        <v>14</v>
      </c>
      <c r="L35" s="33" t="s">
        <v>26</v>
      </c>
      <c r="M35" s="33" t="s">
        <v>28</v>
      </c>
      <c r="N35" s="33" t="s">
        <v>182</v>
      </c>
      <c r="O35" s="33" t="s">
        <v>8</v>
      </c>
      <c r="P35" s="33" t="s">
        <v>23</v>
      </c>
      <c r="Q35" s="33"/>
      <c r="R35" s="33" t="s">
        <v>30</v>
      </c>
    </row>
    <row r="36" spans="2:18" x14ac:dyDescent="0.15">
      <c r="B36" s="114" t="s">
        <v>160</v>
      </c>
      <c r="C36" s="114" t="s">
        <v>211</v>
      </c>
      <c r="D36" s="115">
        <v>43174</v>
      </c>
      <c r="E36" s="115">
        <v>43206</v>
      </c>
      <c r="F36" s="114">
        <v>9008</v>
      </c>
      <c r="G36" s="114">
        <v>32</v>
      </c>
      <c r="H36" s="114">
        <v>8.7671232876712329E-2</v>
      </c>
      <c r="I36" s="114"/>
      <c r="J36" s="114">
        <v>0.17</v>
      </c>
      <c r="K36" s="114">
        <v>-180.55460609729562</v>
      </c>
      <c r="L36" s="114"/>
      <c r="M36" s="114">
        <v>3.9487123287671233</v>
      </c>
      <c r="N36" s="116">
        <v>184.50331842606275</v>
      </c>
      <c r="O36" s="114">
        <v>9008</v>
      </c>
      <c r="P36" s="114" t="s">
        <v>39</v>
      </c>
      <c r="Q36" s="114">
        <v>-1</v>
      </c>
      <c r="R36" s="114" t="s">
        <v>20</v>
      </c>
    </row>
    <row r="37" spans="2:18" x14ac:dyDescent="0.15">
      <c r="B37" s="114" t="s">
        <v>160</v>
      </c>
      <c r="C37" s="114" t="s">
        <v>211</v>
      </c>
      <c r="D37" s="115">
        <v>43174</v>
      </c>
      <c r="E37" s="115">
        <v>43266</v>
      </c>
      <c r="F37" s="114">
        <v>9008</v>
      </c>
      <c r="G37" s="114">
        <v>92</v>
      </c>
      <c r="H37" s="114">
        <v>0.25205479452054796</v>
      </c>
      <c r="I37" s="114"/>
      <c r="J37" s="114">
        <v>0.18</v>
      </c>
      <c r="K37" s="114">
        <v>-323.01400365912923</v>
      </c>
      <c r="L37" s="114"/>
      <c r="M37" s="114">
        <v>11.35254794520548</v>
      </c>
      <c r="N37" s="116">
        <v>334.36655160433469</v>
      </c>
      <c r="O37" s="114">
        <v>9008</v>
      </c>
      <c r="P37" s="114" t="s">
        <v>39</v>
      </c>
      <c r="Q37" s="114">
        <v>-1</v>
      </c>
      <c r="R37" s="114" t="s">
        <v>20</v>
      </c>
    </row>
    <row r="38" spans="2:18" x14ac:dyDescent="0.15">
      <c r="B38" s="114" t="s">
        <v>160</v>
      </c>
      <c r="C38" s="114" t="s">
        <v>211</v>
      </c>
      <c r="D38" s="115">
        <v>43174</v>
      </c>
      <c r="E38" s="115">
        <v>43327</v>
      </c>
      <c r="F38" s="114">
        <v>9008</v>
      </c>
      <c r="G38" s="114">
        <v>153</v>
      </c>
      <c r="H38" s="114">
        <v>0.41917808219178082</v>
      </c>
      <c r="I38" s="114"/>
      <c r="J38" s="114">
        <v>0.19</v>
      </c>
      <c r="K38" s="114">
        <v>-438.10340978749991</v>
      </c>
      <c r="L38" s="114"/>
      <c r="M38" s="114">
        <v>0</v>
      </c>
      <c r="N38" s="116">
        <v>438.10340978749991</v>
      </c>
      <c r="O38" s="114">
        <v>9008</v>
      </c>
      <c r="P38" s="114" t="s">
        <v>39</v>
      </c>
      <c r="Q38" s="114">
        <v>-1</v>
      </c>
      <c r="R38" s="114" t="s">
        <v>20</v>
      </c>
    </row>
    <row r="39" spans="2:18" x14ac:dyDescent="0.15">
      <c r="B39" s="114" t="s">
        <v>160</v>
      </c>
      <c r="C39" s="114" t="s">
        <v>212</v>
      </c>
      <c r="D39" s="115">
        <v>43174</v>
      </c>
      <c r="E39" s="115">
        <v>43206</v>
      </c>
      <c r="F39" s="114">
        <v>53180</v>
      </c>
      <c r="G39" s="114">
        <v>32</v>
      </c>
      <c r="H39" s="114">
        <v>8.7671232876712329E-2</v>
      </c>
      <c r="I39" s="114"/>
      <c r="J39" s="114">
        <v>0.18</v>
      </c>
      <c r="K39" s="114">
        <v>-1128.6169261420218</v>
      </c>
      <c r="L39" s="114"/>
      <c r="M39" s="114">
        <v>0</v>
      </c>
      <c r="N39" s="116">
        <v>1128.6169261420218</v>
      </c>
      <c r="O39" s="114">
        <v>53180</v>
      </c>
      <c r="P39" s="114" t="s">
        <v>39</v>
      </c>
      <c r="Q39" s="114">
        <v>-1</v>
      </c>
      <c r="R39" s="114" t="s">
        <v>20</v>
      </c>
    </row>
    <row r="40" spans="2:18" x14ac:dyDescent="0.15">
      <c r="B40" s="114" t="s">
        <v>160</v>
      </c>
      <c r="C40" s="114" t="s">
        <v>212</v>
      </c>
      <c r="D40" s="115">
        <v>43174</v>
      </c>
      <c r="E40" s="115">
        <v>43266</v>
      </c>
      <c r="F40" s="114">
        <v>53180</v>
      </c>
      <c r="G40" s="114">
        <v>92</v>
      </c>
      <c r="H40" s="114">
        <v>0.25205479452054796</v>
      </c>
      <c r="I40" s="114"/>
      <c r="J40" s="114">
        <v>0.19</v>
      </c>
      <c r="K40" s="114">
        <v>-2012.822743117471</v>
      </c>
      <c r="L40" s="114"/>
      <c r="M40" s="114">
        <v>0</v>
      </c>
      <c r="N40" s="116">
        <v>2012.822743117471</v>
      </c>
      <c r="O40" s="114">
        <v>53180</v>
      </c>
      <c r="P40" s="114" t="s">
        <v>39</v>
      </c>
      <c r="Q40" s="114">
        <v>-1</v>
      </c>
      <c r="R40" s="114" t="s">
        <v>20</v>
      </c>
    </row>
    <row r="41" spans="2:18" x14ac:dyDescent="0.15">
      <c r="B41" s="114" t="s">
        <v>160</v>
      </c>
      <c r="C41" s="114" t="s">
        <v>212</v>
      </c>
      <c r="D41" s="115">
        <v>43174</v>
      </c>
      <c r="E41" s="115">
        <v>43357</v>
      </c>
      <c r="F41" s="114">
        <v>53180</v>
      </c>
      <c r="G41" s="114">
        <v>183</v>
      </c>
      <c r="H41" s="114">
        <v>0.50136986301369868</v>
      </c>
      <c r="I41" s="114"/>
      <c r="J41" s="114">
        <v>0.19</v>
      </c>
      <c r="K41" s="114">
        <v>-2823.6368912623439</v>
      </c>
      <c r="L41" s="114"/>
      <c r="M41" s="114">
        <v>0</v>
      </c>
      <c r="N41" s="116">
        <v>2823.6368912623439</v>
      </c>
      <c r="O41" s="114">
        <v>53180</v>
      </c>
      <c r="P41" s="114" t="s">
        <v>39</v>
      </c>
      <c r="Q41" s="114">
        <v>-1</v>
      </c>
      <c r="R41" s="114" t="s">
        <v>20</v>
      </c>
    </row>
    <row r="43" spans="2:18" x14ac:dyDescent="0.15">
      <c r="B43" s="33"/>
      <c r="C43" s="33" t="s">
        <v>181</v>
      </c>
      <c r="D43" s="33" t="s">
        <v>180</v>
      </c>
      <c r="E43" s="33" t="s">
        <v>10</v>
      </c>
      <c r="F43" s="33" t="s">
        <v>184</v>
      </c>
      <c r="G43" s="33" t="s">
        <v>11</v>
      </c>
      <c r="H43" s="33" t="s">
        <v>12</v>
      </c>
      <c r="I43" s="33" t="s">
        <v>47</v>
      </c>
      <c r="J43" s="33" t="s">
        <v>13</v>
      </c>
      <c r="K43" s="33" t="s">
        <v>14</v>
      </c>
      <c r="L43" s="33" t="s">
        <v>26</v>
      </c>
      <c r="M43" s="33" t="s">
        <v>28</v>
      </c>
      <c r="N43" s="33" t="s">
        <v>182</v>
      </c>
      <c r="O43" s="33" t="s">
        <v>8</v>
      </c>
      <c r="P43" s="33" t="s">
        <v>23</v>
      </c>
      <c r="Q43" s="33"/>
      <c r="R43" s="33" t="s">
        <v>30</v>
      </c>
    </row>
    <row r="44" spans="2:18" x14ac:dyDescent="0.15">
      <c r="B44" s="114" t="s">
        <v>160</v>
      </c>
      <c r="C44" s="114" t="s">
        <v>213</v>
      </c>
      <c r="D44" s="115">
        <v>43180</v>
      </c>
      <c r="E44" s="115">
        <v>43210</v>
      </c>
      <c r="F44" s="114" t="s">
        <v>214</v>
      </c>
      <c r="G44" s="114">
        <v>30</v>
      </c>
      <c r="H44" s="114">
        <v>8.2191780821917804E-2</v>
      </c>
      <c r="I44" s="114"/>
      <c r="J44" s="114"/>
      <c r="K44" s="114">
        <v>4.0213531114102352</v>
      </c>
      <c r="L44" s="114"/>
      <c r="M44" s="114">
        <v>0</v>
      </c>
      <c r="N44" s="116">
        <v>2</v>
      </c>
      <c r="O44" s="114">
        <v>7546</v>
      </c>
      <c r="P44" s="114" t="s">
        <v>216</v>
      </c>
      <c r="Q44" s="114"/>
      <c r="R44" s="114" t="s">
        <v>215</v>
      </c>
    </row>
    <row r="45" spans="2:18" x14ac:dyDescent="0.15">
      <c r="B45" s="33"/>
      <c r="C45" s="33" t="s">
        <v>181</v>
      </c>
      <c r="D45" s="33" t="s">
        <v>180</v>
      </c>
      <c r="E45" s="33" t="s">
        <v>10</v>
      </c>
      <c r="F45" s="33" t="s">
        <v>184</v>
      </c>
      <c r="G45" s="33" t="s">
        <v>11</v>
      </c>
      <c r="H45" s="33" t="s">
        <v>12</v>
      </c>
      <c r="I45" s="33" t="s">
        <v>47</v>
      </c>
      <c r="J45" s="33" t="s">
        <v>13</v>
      </c>
      <c r="K45" s="33" t="s">
        <v>14</v>
      </c>
      <c r="L45" s="33" t="s">
        <v>26</v>
      </c>
      <c r="M45" s="33" t="s">
        <v>28</v>
      </c>
      <c r="N45" s="33" t="s">
        <v>182</v>
      </c>
      <c r="O45" s="33" t="s">
        <v>8</v>
      </c>
      <c r="P45" s="33" t="s">
        <v>23</v>
      </c>
      <c r="Q45" s="33"/>
      <c r="R45" s="33" t="s">
        <v>30</v>
      </c>
    </row>
    <row r="46" spans="2:18" x14ac:dyDescent="0.15">
      <c r="B46" s="114" t="s">
        <v>160</v>
      </c>
      <c r="C46" s="114" t="s">
        <v>213</v>
      </c>
      <c r="D46" s="115">
        <v>43180</v>
      </c>
      <c r="E46" s="115">
        <v>43210</v>
      </c>
      <c r="F46" s="114">
        <v>8000</v>
      </c>
      <c r="G46" s="114">
        <v>30</v>
      </c>
      <c r="H46" s="114">
        <v>8.2191780821917804E-2</v>
      </c>
      <c r="I46" s="114">
        <v>0</v>
      </c>
      <c r="J46" s="114">
        <v>0.28000000000000003</v>
      </c>
      <c r="K46" s="114">
        <v>-538.06728507396292</v>
      </c>
      <c r="L46" s="114">
        <v>0</v>
      </c>
      <c r="M46" s="114">
        <v>0</v>
      </c>
      <c r="N46" s="116">
        <v>538.06728507396292</v>
      </c>
      <c r="O46" s="114">
        <v>7546</v>
      </c>
      <c r="P46" s="114" t="s">
        <v>85</v>
      </c>
      <c r="Q46" s="114">
        <v>-1</v>
      </c>
      <c r="R46" s="114" t="s">
        <v>20</v>
      </c>
    </row>
    <row r="47" spans="2:18" x14ac:dyDescent="0.15">
      <c r="B47" s="33"/>
      <c r="C47" s="33" t="s">
        <v>181</v>
      </c>
      <c r="D47" s="33" t="s">
        <v>180</v>
      </c>
      <c r="E47" s="33" t="s">
        <v>10</v>
      </c>
      <c r="F47" s="33" t="s">
        <v>184</v>
      </c>
      <c r="G47" s="33" t="s">
        <v>11</v>
      </c>
      <c r="H47" s="33" t="s">
        <v>12</v>
      </c>
      <c r="I47" s="33" t="s">
        <v>47</v>
      </c>
      <c r="J47" s="33" t="s">
        <v>13</v>
      </c>
      <c r="K47" s="33" t="s">
        <v>14</v>
      </c>
      <c r="L47" s="33" t="s">
        <v>26</v>
      </c>
      <c r="M47" s="33" t="s">
        <v>28</v>
      </c>
      <c r="N47" s="33" t="s">
        <v>182</v>
      </c>
      <c r="O47" s="33" t="s">
        <v>8</v>
      </c>
      <c r="P47" s="33" t="s">
        <v>23</v>
      </c>
      <c r="Q47" s="33"/>
      <c r="R47" s="33" t="s">
        <v>30</v>
      </c>
    </row>
    <row r="48" spans="2:18" x14ac:dyDescent="0.15">
      <c r="B48" s="114" t="s">
        <v>160</v>
      </c>
      <c r="C48" s="114" t="s">
        <v>185</v>
      </c>
      <c r="D48" s="115">
        <v>43180</v>
      </c>
      <c r="E48" s="115">
        <v>43240</v>
      </c>
      <c r="F48" s="114">
        <v>3700</v>
      </c>
      <c r="G48" s="114">
        <v>60</v>
      </c>
      <c r="H48" s="114">
        <v>0.16438356164383561</v>
      </c>
      <c r="I48" s="114">
        <v>0</v>
      </c>
      <c r="J48" s="114">
        <v>0.24</v>
      </c>
      <c r="K48" s="114">
        <v>-47.657830005467872</v>
      </c>
      <c r="L48" s="114">
        <v>70</v>
      </c>
      <c r="M48" s="114">
        <v>3.9687123287671229</v>
      </c>
      <c r="N48" s="116">
        <v>51.626542334234998</v>
      </c>
      <c r="O48" s="114">
        <v>3449</v>
      </c>
      <c r="P48" s="114" t="s">
        <v>24</v>
      </c>
      <c r="Q48" s="114">
        <v>-1</v>
      </c>
      <c r="R48" s="114" t="s">
        <v>31</v>
      </c>
    </row>
    <row r="49" spans="2:19" x14ac:dyDescent="0.15">
      <c r="B49" s="33"/>
      <c r="C49" s="33" t="s">
        <v>181</v>
      </c>
      <c r="D49" s="33" t="s">
        <v>180</v>
      </c>
      <c r="E49" s="33" t="s">
        <v>10</v>
      </c>
      <c r="F49" s="33" t="s">
        <v>184</v>
      </c>
      <c r="G49" s="33" t="s">
        <v>11</v>
      </c>
      <c r="H49" s="33" t="s">
        <v>12</v>
      </c>
      <c r="I49" s="33" t="s">
        <v>47</v>
      </c>
      <c r="J49" s="33" t="s">
        <v>13</v>
      </c>
      <c r="K49" s="33" t="s">
        <v>14</v>
      </c>
      <c r="L49" s="33" t="s">
        <v>26</v>
      </c>
      <c r="M49" s="33" t="s">
        <v>28</v>
      </c>
      <c r="N49" s="33" t="s">
        <v>182</v>
      </c>
      <c r="O49" s="33" t="s">
        <v>8</v>
      </c>
      <c r="P49" s="33" t="s">
        <v>23</v>
      </c>
      <c r="Q49" s="33"/>
      <c r="R49" s="33"/>
    </row>
    <row r="50" spans="2:19" x14ac:dyDescent="0.15">
      <c r="B50" s="114" t="s">
        <v>160</v>
      </c>
      <c r="C50" s="114" t="s">
        <v>185</v>
      </c>
      <c r="D50" s="115">
        <v>43180</v>
      </c>
      <c r="E50" s="115">
        <v>43240</v>
      </c>
      <c r="F50" s="114" t="s">
        <v>217</v>
      </c>
      <c r="G50" s="114">
        <v>60</v>
      </c>
      <c r="H50" s="114">
        <v>0.16438356164383561</v>
      </c>
      <c r="I50" s="114"/>
      <c r="J50" s="114"/>
      <c r="K50" s="114">
        <v>60.818821543176568</v>
      </c>
      <c r="L50" s="114">
        <v>50</v>
      </c>
      <c r="M50" s="114">
        <v>2.8364383561643836</v>
      </c>
      <c r="N50" s="116">
        <v>55</v>
      </c>
      <c r="O50" s="114">
        <v>3451</v>
      </c>
      <c r="P50" s="114" t="s">
        <v>216</v>
      </c>
      <c r="Q50" s="114"/>
      <c r="R50" s="114" t="s">
        <v>215</v>
      </c>
    </row>
    <row r="51" spans="2:19" x14ac:dyDescent="0.15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</row>
    <row r="52" spans="2:19" x14ac:dyDescent="0.15">
      <c r="B52" s="33"/>
      <c r="C52" s="33" t="s">
        <v>181</v>
      </c>
      <c r="D52" s="33" t="s">
        <v>180</v>
      </c>
      <c r="E52" s="33" t="s">
        <v>10</v>
      </c>
      <c r="F52" s="33" t="s">
        <v>184</v>
      </c>
      <c r="G52" s="33" t="s">
        <v>11</v>
      </c>
      <c r="H52" s="33" t="s">
        <v>12</v>
      </c>
      <c r="I52" s="33" t="s">
        <v>47</v>
      </c>
      <c r="J52" s="33" t="s">
        <v>13</v>
      </c>
      <c r="K52" s="33" t="s">
        <v>14</v>
      </c>
      <c r="L52" s="33" t="s">
        <v>26</v>
      </c>
      <c r="M52" s="33" t="s">
        <v>28</v>
      </c>
      <c r="N52" s="33" t="s">
        <v>182</v>
      </c>
      <c r="O52" s="33" t="s">
        <v>8</v>
      </c>
      <c r="P52" s="33" t="s">
        <v>23</v>
      </c>
      <c r="Q52" s="33"/>
      <c r="R52" s="33" t="s">
        <v>30</v>
      </c>
    </row>
    <row r="53" spans="2:19" x14ac:dyDescent="0.15">
      <c r="B53" s="114" t="s">
        <v>160</v>
      </c>
      <c r="C53" s="114" t="s">
        <v>218</v>
      </c>
      <c r="D53" s="115">
        <v>43181</v>
      </c>
      <c r="E53" s="115">
        <v>43235</v>
      </c>
      <c r="F53" s="114">
        <v>13000</v>
      </c>
      <c r="G53" s="114">
        <v>54</v>
      </c>
      <c r="H53" s="114">
        <v>0.13698630136986301</v>
      </c>
      <c r="I53" s="114">
        <v>0</v>
      </c>
      <c r="J53" s="114">
        <v>0.115</v>
      </c>
      <c r="K53" s="114">
        <v>7.2172698545535354</v>
      </c>
      <c r="L53" s="114"/>
      <c r="M53" s="114">
        <v>0</v>
      </c>
      <c r="N53" s="116">
        <v>7.2172698545535354</v>
      </c>
      <c r="O53" s="114">
        <v>14065</v>
      </c>
      <c r="P53" s="114" t="s">
        <v>85</v>
      </c>
      <c r="Q53" s="114">
        <v>1</v>
      </c>
      <c r="R53" s="114" t="s">
        <v>151</v>
      </c>
    </row>
    <row r="54" spans="2:19" x14ac:dyDescent="0.15">
      <c r="B54" s="114" t="s">
        <v>160</v>
      </c>
      <c r="C54" s="114" t="s">
        <v>218</v>
      </c>
      <c r="D54" s="115">
        <v>43181</v>
      </c>
      <c r="E54" s="115">
        <v>43235</v>
      </c>
      <c r="F54" s="114">
        <v>13200</v>
      </c>
      <c r="G54" s="114">
        <v>54</v>
      </c>
      <c r="H54" s="114">
        <v>0.13698630136986301</v>
      </c>
      <c r="I54" s="114">
        <v>0</v>
      </c>
      <c r="J54" s="114">
        <v>0.115</v>
      </c>
      <c r="K54" s="114">
        <v>17.288290660645657</v>
      </c>
      <c r="L54" s="114"/>
      <c r="M54" s="114">
        <v>0</v>
      </c>
      <c r="N54" s="116">
        <v>17.288290660645657</v>
      </c>
      <c r="O54" s="114">
        <v>14065</v>
      </c>
      <c r="P54" s="114" t="s">
        <v>85</v>
      </c>
      <c r="Q54" s="114">
        <v>1</v>
      </c>
      <c r="R54" s="114" t="s">
        <v>151</v>
      </c>
    </row>
    <row r="55" spans="2:19" x14ac:dyDescent="0.15">
      <c r="B55" s="33"/>
      <c r="C55" s="33" t="s">
        <v>181</v>
      </c>
      <c r="D55" s="33" t="s">
        <v>180</v>
      </c>
      <c r="E55" s="33" t="s">
        <v>10</v>
      </c>
      <c r="F55" s="33" t="s">
        <v>184</v>
      </c>
      <c r="G55" s="33" t="s">
        <v>11</v>
      </c>
      <c r="H55" s="33" t="s">
        <v>12</v>
      </c>
      <c r="I55" s="33" t="s">
        <v>47</v>
      </c>
      <c r="J55" s="33" t="s">
        <v>13</v>
      </c>
      <c r="K55" s="33" t="s">
        <v>14</v>
      </c>
      <c r="L55" s="33" t="s">
        <v>26</v>
      </c>
      <c r="M55" s="33" t="s">
        <v>28</v>
      </c>
      <c r="N55" s="33" t="s">
        <v>182</v>
      </c>
      <c r="O55" s="33" t="s">
        <v>8</v>
      </c>
      <c r="P55" s="33" t="s">
        <v>23</v>
      </c>
      <c r="Q55" s="33"/>
      <c r="R55" s="33" t="s">
        <v>30</v>
      </c>
    </row>
    <row r="56" spans="2:19" x14ac:dyDescent="0.15">
      <c r="B56" s="114" t="s">
        <v>160</v>
      </c>
      <c r="C56" s="114" t="s">
        <v>218</v>
      </c>
      <c r="D56" s="115">
        <v>43181</v>
      </c>
      <c r="E56" s="115">
        <v>43215</v>
      </c>
      <c r="F56" s="114">
        <v>13200</v>
      </c>
      <c r="G56" s="114">
        <v>34</v>
      </c>
      <c r="H56" s="114">
        <v>8.7671232876712329E-2</v>
      </c>
      <c r="I56" s="114">
        <v>0</v>
      </c>
      <c r="J56" s="114">
        <v>0.115</v>
      </c>
      <c r="K56" s="114">
        <v>5.6172742910379156</v>
      </c>
      <c r="L56" s="114"/>
      <c r="M56" s="114">
        <v>0</v>
      </c>
      <c r="N56" s="116">
        <v>5.6172742910379156</v>
      </c>
      <c r="O56" s="114">
        <v>14065</v>
      </c>
      <c r="P56" s="114" t="s">
        <v>85</v>
      </c>
      <c r="Q56" s="114">
        <v>1</v>
      </c>
      <c r="R56" s="114" t="s">
        <v>151</v>
      </c>
    </row>
    <row r="57" spans="2:19" x14ac:dyDescent="0.15">
      <c r="B57" s="114" t="s">
        <v>160</v>
      </c>
      <c r="C57" s="114" t="s">
        <v>218</v>
      </c>
      <c r="D57" s="115">
        <v>43181</v>
      </c>
      <c r="E57" s="115">
        <v>43245</v>
      </c>
      <c r="F57" s="114">
        <v>12800</v>
      </c>
      <c r="G57" s="114">
        <v>64</v>
      </c>
      <c r="H57" s="114">
        <v>0.16438356164383561</v>
      </c>
      <c r="I57" s="114">
        <v>0</v>
      </c>
      <c r="J57" s="114">
        <v>0.115</v>
      </c>
      <c r="K57" s="114">
        <v>4.9988881549313078</v>
      </c>
      <c r="L57" s="114"/>
      <c r="M57" s="114">
        <v>0</v>
      </c>
      <c r="N57" s="116">
        <v>4.9988881549313078</v>
      </c>
      <c r="O57" s="114">
        <v>14065</v>
      </c>
      <c r="P57" s="114" t="s">
        <v>85</v>
      </c>
      <c r="Q57" s="114">
        <v>1</v>
      </c>
      <c r="R57" s="114" t="s">
        <v>151</v>
      </c>
    </row>
    <row r="58" spans="2:19" x14ac:dyDescent="0.15">
      <c r="B58" s="114" t="s">
        <v>160</v>
      </c>
      <c r="C58" s="114" t="s">
        <v>218</v>
      </c>
      <c r="D58" s="115">
        <v>43181</v>
      </c>
      <c r="E58" s="115">
        <v>43245</v>
      </c>
      <c r="F58" s="114">
        <v>13000</v>
      </c>
      <c r="G58" s="114">
        <v>64</v>
      </c>
      <c r="H58" s="114">
        <v>0.16438356164383561</v>
      </c>
      <c r="I58" s="114">
        <v>0</v>
      </c>
      <c r="J58" s="114">
        <v>0.115</v>
      </c>
      <c r="K58" s="114">
        <v>11.808198498065053</v>
      </c>
      <c r="L58" s="114"/>
      <c r="M58" s="114">
        <v>0</v>
      </c>
      <c r="N58" s="116">
        <v>11.808198498065053</v>
      </c>
      <c r="O58" s="114">
        <v>14065</v>
      </c>
      <c r="P58" s="114" t="s">
        <v>85</v>
      </c>
      <c r="Q58" s="114">
        <v>1</v>
      </c>
      <c r="R58" s="114" t="s">
        <v>151</v>
      </c>
    </row>
    <row r="59" spans="2:19" x14ac:dyDescent="0.15">
      <c r="B59" s="114" t="s">
        <v>160</v>
      </c>
      <c r="C59" s="114" t="s">
        <v>218</v>
      </c>
      <c r="D59" s="115">
        <v>43181</v>
      </c>
      <c r="E59" s="115">
        <v>43245</v>
      </c>
      <c r="F59" s="114">
        <v>13200</v>
      </c>
      <c r="G59" s="114">
        <v>64</v>
      </c>
      <c r="H59" s="114">
        <v>0.16438356164383561</v>
      </c>
      <c r="I59" s="114">
        <v>0</v>
      </c>
      <c r="J59" s="114">
        <v>0.115</v>
      </c>
      <c r="K59" s="114">
        <v>25.264602103835841</v>
      </c>
      <c r="L59" s="114"/>
      <c r="M59" s="114">
        <v>0</v>
      </c>
      <c r="N59" s="116">
        <v>25.264602103835841</v>
      </c>
      <c r="O59" s="114">
        <v>14065</v>
      </c>
      <c r="P59" s="114" t="s">
        <v>85</v>
      </c>
      <c r="Q59" s="114">
        <v>1</v>
      </c>
      <c r="R59" s="114" t="s">
        <v>151</v>
      </c>
    </row>
    <row r="60" spans="2:19" x14ac:dyDescent="0.15">
      <c r="B60" s="33"/>
      <c r="C60" s="33" t="s">
        <v>181</v>
      </c>
      <c r="D60" s="33" t="s">
        <v>180</v>
      </c>
      <c r="E60" s="33" t="s">
        <v>10</v>
      </c>
      <c r="F60" s="33" t="s">
        <v>184</v>
      </c>
      <c r="G60" s="33" t="s">
        <v>11</v>
      </c>
      <c r="H60" s="33" t="s">
        <v>12</v>
      </c>
      <c r="I60" s="33" t="s">
        <v>47</v>
      </c>
      <c r="J60" s="33" t="s">
        <v>13</v>
      </c>
      <c r="K60" s="33" t="s">
        <v>14</v>
      </c>
      <c r="L60" s="33" t="s">
        <v>26</v>
      </c>
      <c r="M60" s="33" t="s">
        <v>28</v>
      </c>
      <c r="N60" s="33" t="s">
        <v>182</v>
      </c>
      <c r="O60" s="33" t="s">
        <v>8</v>
      </c>
      <c r="P60" s="33" t="s">
        <v>23</v>
      </c>
      <c r="Q60" s="33"/>
      <c r="R60" s="33" t="s">
        <v>30</v>
      </c>
    </row>
    <row r="61" spans="2:19" x14ac:dyDescent="0.15">
      <c r="B61" s="114" t="s">
        <v>160</v>
      </c>
      <c r="C61" s="114" t="s">
        <v>219</v>
      </c>
      <c r="D61" s="115">
        <v>43181</v>
      </c>
      <c r="E61" s="115">
        <v>43215</v>
      </c>
      <c r="F61" s="114">
        <v>13300</v>
      </c>
      <c r="G61" s="114">
        <v>34</v>
      </c>
      <c r="H61" s="114">
        <v>8.7671232876712329E-2</v>
      </c>
      <c r="I61" s="114">
        <v>0</v>
      </c>
      <c r="J61" s="114">
        <v>0.115</v>
      </c>
      <c r="K61" s="114">
        <v>15.428614486488414</v>
      </c>
      <c r="L61" s="114"/>
      <c r="M61" s="114">
        <v>0</v>
      </c>
      <c r="N61" s="116">
        <v>15.428614486488414</v>
      </c>
      <c r="O61" s="114">
        <v>13970</v>
      </c>
      <c r="P61" s="114" t="s">
        <v>85</v>
      </c>
      <c r="Q61" s="114">
        <v>1</v>
      </c>
      <c r="R61" s="114" t="s">
        <v>151</v>
      </c>
      <c r="S61" s="6">
        <v>1.130830736451726E-3</v>
      </c>
    </row>
    <row r="62" spans="2:19" x14ac:dyDescent="0.15">
      <c r="B62" s="114" t="s">
        <v>160</v>
      </c>
      <c r="C62" s="114" t="s">
        <v>219</v>
      </c>
      <c r="D62" s="115">
        <v>43181</v>
      </c>
      <c r="E62" s="115">
        <v>43215</v>
      </c>
      <c r="F62" s="114">
        <v>13400</v>
      </c>
      <c r="G62" s="114">
        <v>34</v>
      </c>
      <c r="H62" s="114">
        <v>8.7671232876712329E-2</v>
      </c>
      <c r="I62" s="114">
        <v>0</v>
      </c>
      <c r="J62" s="114">
        <v>0.115</v>
      </c>
      <c r="K62" s="114">
        <v>24.861487306546678</v>
      </c>
      <c r="L62" s="114"/>
      <c r="M62" s="114">
        <v>0</v>
      </c>
      <c r="N62" s="116">
        <v>24.861487306546678</v>
      </c>
      <c r="O62" s="114">
        <v>13970</v>
      </c>
      <c r="P62" s="114" t="s">
        <v>85</v>
      </c>
      <c r="Q62" s="114">
        <v>1</v>
      </c>
      <c r="R62" s="114" t="s">
        <v>151</v>
      </c>
      <c r="S62" s="6">
        <v>1.8190094769668344E-3</v>
      </c>
    </row>
    <row r="63" spans="2:19" x14ac:dyDescent="0.15">
      <c r="B63" s="114" t="s">
        <v>160</v>
      </c>
      <c r="C63" s="114" t="s">
        <v>219</v>
      </c>
      <c r="D63" s="115">
        <v>43181</v>
      </c>
      <c r="E63" s="115">
        <v>43215</v>
      </c>
      <c r="F63" s="114">
        <v>13500</v>
      </c>
      <c r="G63" s="114">
        <v>34</v>
      </c>
      <c r="H63" s="114">
        <v>8.7671232876712329E-2</v>
      </c>
      <c r="I63" s="114">
        <v>0</v>
      </c>
      <c r="J63" s="114">
        <v>0.115</v>
      </c>
      <c r="K63" s="114">
        <v>38.515892126515155</v>
      </c>
      <c r="L63" s="114"/>
      <c r="M63" s="114">
        <v>0</v>
      </c>
      <c r="N63" s="116">
        <v>38.515892126515155</v>
      </c>
      <c r="O63" s="114">
        <v>13970</v>
      </c>
      <c r="P63" s="114" t="s">
        <v>85</v>
      </c>
      <c r="Q63" s="114">
        <v>1</v>
      </c>
      <c r="R63" s="114" t="s">
        <v>151</v>
      </c>
      <c r="S63" s="6">
        <v>2.8132938602463521E-3</v>
      </c>
    </row>
    <row r="64" spans="2:19" x14ac:dyDescent="0.15">
      <c r="B64" s="33"/>
      <c r="C64" s="33" t="s">
        <v>181</v>
      </c>
      <c r="D64" s="33" t="s">
        <v>180</v>
      </c>
      <c r="E64" s="33" t="s">
        <v>10</v>
      </c>
      <c r="F64" s="33" t="s">
        <v>184</v>
      </c>
      <c r="G64" s="33" t="s">
        <v>11</v>
      </c>
      <c r="H64" s="33" t="s">
        <v>12</v>
      </c>
      <c r="I64" s="33" t="s">
        <v>47</v>
      </c>
      <c r="J64" s="33" t="s">
        <v>13</v>
      </c>
      <c r="K64" s="33" t="s">
        <v>14</v>
      </c>
      <c r="L64" s="33" t="s">
        <v>26</v>
      </c>
      <c r="M64" s="33" t="s">
        <v>28</v>
      </c>
      <c r="N64" s="33" t="s">
        <v>182</v>
      </c>
      <c r="O64" s="33" t="s">
        <v>8</v>
      </c>
      <c r="P64" s="33" t="s">
        <v>23</v>
      </c>
      <c r="Q64" s="33"/>
      <c r="R64" s="33" t="s">
        <v>30</v>
      </c>
    </row>
    <row r="65" spans="2:18" x14ac:dyDescent="0.15">
      <c r="B65" s="114" t="s">
        <v>160</v>
      </c>
      <c r="C65" s="114" t="s">
        <v>220</v>
      </c>
      <c r="D65" s="115">
        <v>43182</v>
      </c>
      <c r="E65" s="115">
        <v>43273</v>
      </c>
      <c r="F65" s="114">
        <v>11500</v>
      </c>
      <c r="G65" s="114">
        <v>91</v>
      </c>
      <c r="H65" s="114">
        <v>0.24931506849315069</v>
      </c>
      <c r="I65" s="114">
        <v>0</v>
      </c>
      <c r="J65" s="114">
        <v>0.21</v>
      </c>
      <c r="K65" s="114">
        <v>-15.028539471410966</v>
      </c>
      <c r="L65" s="114"/>
      <c r="M65" s="114">
        <v>0</v>
      </c>
      <c r="N65" s="116">
        <v>16</v>
      </c>
      <c r="O65" s="114">
        <v>14020</v>
      </c>
      <c r="P65" s="114" t="s">
        <v>85</v>
      </c>
      <c r="Q65" s="114">
        <v>-1</v>
      </c>
      <c r="R65" s="114" t="s">
        <v>20</v>
      </c>
    </row>
    <row r="66" spans="2:18" x14ac:dyDescent="0.15">
      <c r="B66" s="33"/>
      <c r="C66" s="33" t="s">
        <v>181</v>
      </c>
      <c r="D66" s="33" t="s">
        <v>180</v>
      </c>
      <c r="E66" s="33" t="s">
        <v>10</v>
      </c>
      <c r="F66" s="33" t="s">
        <v>184</v>
      </c>
      <c r="G66" s="33" t="s">
        <v>11</v>
      </c>
      <c r="H66" s="33" t="s">
        <v>12</v>
      </c>
      <c r="I66" s="33" t="s">
        <v>47</v>
      </c>
      <c r="J66" s="33" t="s">
        <v>13</v>
      </c>
      <c r="K66" s="33" t="s">
        <v>14</v>
      </c>
      <c r="L66" s="33" t="s">
        <v>26</v>
      </c>
      <c r="M66" s="33" t="s">
        <v>28</v>
      </c>
      <c r="N66" s="33" t="s">
        <v>182</v>
      </c>
      <c r="O66" s="33" t="s">
        <v>8</v>
      </c>
      <c r="P66" s="33" t="s">
        <v>23</v>
      </c>
      <c r="Q66" s="33"/>
      <c r="R66" s="33" t="s">
        <v>30</v>
      </c>
    </row>
    <row r="67" spans="2:18" x14ac:dyDescent="0.15">
      <c r="B67" s="114" t="s">
        <v>160</v>
      </c>
      <c r="C67" s="114" t="s">
        <v>222</v>
      </c>
      <c r="D67" s="115">
        <v>43185</v>
      </c>
      <c r="E67" s="115">
        <v>43200</v>
      </c>
      <c r="F67" s="114">
        <v>278.35000000000002</v>
      </c>
      <c r="G67" s="114">
        <v>15</v>
      </c>
      <c r="H67" s="114">
        <v>3.5616438356164383E-2</v>
      </c>
      <c r="I67" s="114">
        <v>0</v>
      </c>
      <c r="J67" s="114">
        <v>0.09</v>
      </c>
      <c r="K67" s="114">
        <v>1.1687140028984402</v>
      </c>
      <c r="L67" s="114"/>
      <c r="M67" s="114">
        <v>0</v>
      </c>
      <c r="N67" s="116">
        <v>1.1687140028984402</v>
      </c>
      <c r="O67" s="114">
        <v>276.7</v>
      </c>
      <c r="P67" s="114" t="s">
        <v>39</v>
      </c>
      <c r="Q67" s="114">
        <v>1</v>
      </c>
      <c r="R67" s="114" t="s">
        <v>151</v>
      </c>
    </row>
    <row r="68" spans="2:18" x14ac:dyDescent="0.15">
      <c r="B68" s="114" t="s">
        <v>160</v>
      </c>
      <c r="C68" s="114" t="s">
        <v>222</v>
      </c>
      <c r="D68" s="115">
        <v>43185</v>
      </c>
      <c r="E68" s="115">
        <v>43200</v>
      </c>
      <c r="F68" s="114">
        <v>274.95</v>
      </c>
      <c r="G68" s="114">
        <v>15</v>
      </c>
      <c r="H68" s="114">
        <v>3.5616438356164383E-2</v>
      </c>
      <c r="I68" s="114">
        <v>0</v>
      </c>
      <c r="J68" s="114">
        <v>0.09</v>
      </c>
      <c r="K68" s="114">
        <v>1.1220807364505845</v>
      </c>
      <c r="L68" s="114"/>
      <c r="M68" s="114">
        <v>0</v>
      </c>
      <c r="N68" s="116">
        <v>1.1220807364505845</v>
      </c>
      <c r="O68" s="114">
        <v>276.7</v>
      </c>
      <c r="P68" s="114" t="s">
        <v>85</v>
      </c>
      <c r="Q68" s="114">
        <v>1</v>
      </c>
      <c r="R68" s="114" t="s">
        <v>151</v>
      </c>
    </row>
    <row r="69" spans="2:18" x14ac:dyDescent="0.15">
      <c r="B69" s="33"/>
      <c r="C69" s="33" t="s">
        <v>181</v>
      </c>
      <c r="D69" s="33" t="s">
        <v>180</v>
      </c>
      <c r="E69" s="33" t="s">
        <v>10</v>
      </c>
      <c r="F69" s="33" t="s">
        <v>184</v>
      </c>
      <c r="G69" s="33" t="s">
        <v>11</v>
      </c>
      <c r="H69" s="33" t="s">
        <v>12</v>
      </c>
      <c r="I69" s="33" t="s">
        <v>47</v>
      </c>
      <c r="J69" s="33" t="s">
        <v>13</v>
      </c>
      <c r="K69" s="33" t="s">
        <v>14</v>
      </c>
      <c r="L69" s="33" t="s">
        <v>26</v>
      </c>
      <c r="M69" s="33" t="s">
        <v>28</v>
      </c>
      <c r="N69" s="33" t="s">
        <v>182</v>
      </c>
      <c r="O69" s="33" t="s">
        <v>8</v>
      </c>
      <c r="P69" s="33" t="s">
        <v>23</v>
      </c>
      <c r="Q69" s="33"/>
      <c r="R69" s="33" t="s">
        <v>30</v>
      </c>
    </row>
    <row r="70" spans="2:18" x14ac:dyDescent="0.15">
      <c r="B70" s="114" t="s">
        <v>160</v>
      </c>
      <c r="C70" s="114" t="s">
        <v>225</v>
      </c>
      <c r="D70" s="115">
        <v>43185</v>
      </c>
      <c r="E70" s="115">
        <v>43265</v>
      </c>
      <c r="F70" s="114">
        <v>17950</v>
      </c>
      <c r="G70" s="114">
        <v>80</v>
      </c>
      <c r="H70" s="114">
        <v>0.21369863013698631</v>
      </c>
      <c r="I70" s="114">
        <v>0</v>
      </c>
      <c r="J70" s="114">
        <v>0.125</v>
      </c>
      <c r="K70" s="114">
        <v>326.41323919190563</v>
      </c>
      <c r="L70" s="114">
        <v>30</v>
      </c>
      <c r="M70" s="114">
        <v>11.629479452054797</v>
      </c>
      <c r="N70" s="116">
        <v>314</v>
      </c>
      <c r="O70" s="114">
        <v>18140</v>
      </c>
      <c r="P70" s="114" t="s">
        <v>85</v>
      </c>
      <c r="Q70" s="114">
        <v>1</v>
      </c>
      <c r="R70" s="114" t="s">
        <v>151</v>
      </c>
    </row>
    <row r="71" spans="2:18" x14ac:dyDescent="0.15">
      <c r="B71" s="33"/>
      <c r="C71" s="33" t="s">
        <v>181</v>
      </c>
      <c r="D71" s="33" t="s">
        <v>180</v>
      </c>
      <c r="E71" s="33" t="s">
        <v>10</v>
      </c>
      <c r="F71" s="33" t="s">
        <v>184</v>
      </c>
      <c r="G71" s="33" t="s">
        <v>11</v>
      </c>
      <c r="H71" s="33" t="s">
        <v>12</v>
      </c>
      <c r="I71" s="33" t="s">
        <v>47</v>
      </c>
      <c r="J71" s="33" t="s">
        <v>13</v>
      </c>
      <c r="K71" s="33" t="s">
        <v>14</v>
      </c>
      <c r="L71" s="33" t="s">
        <v>26</v>
      </c>
      <c r="M71" s="33" t="s">
        <v>28</v>
      </c>
      <c r="N71" s="33" t="s">
        <v>182</v>
      </c>
      <c r="O71" s="33" t="s">
        <v>8</v>
      </c>
      <c r="P71" s="33" t="s">
        <v>23</v>
      </c>
      <c r="Q71" s="33"/>
      <c r="R71" s="33" t="s">
        <v>30</v>
      </c>
    </row>
    <row r="72" spans="2:18" x14ac:dyDescent="0.15">
      <c r="B72" s="114" t="s">
        <v>160</v>
      </c>
      <c r="C72" s="114" t="s">
        <v>204</v>
      </c>
      <c r="D72" s="115">
        <v>43185</v>
      </c>
      <c r="E72" s="115">
        <v>43265</v>
      </c>
      <c r="F72" s="114" t="s">
        <v>227</v>
      </c>
      <c r="G72" s="114">
        <v>80</v>
      </c>
      <c r="H72" s="114">
        <v>0.21917808219178081</v>
      </c>
      <c r="I72" s="114"/>
      <c r="J72" s="114"/>
      <c r="K72" s="114">
        <v>-50.370046745265427</v>
      </c>
      <c r="L72" s="114">
        <v>50</v>
      </c>
      <c r="M72" s="114">
        <v>15.216438356164382</v>
      </c>
      <c r="N72" s="116">
        <v>66</v>
      </c>
      <c r="O72" s="114">
        <v>13885</v>
      </c>
      <c r="P72" s="114"/>
      <c r="Q72" s="114"/>
      <c r="R72" s="114" t="s">
        <v>228</v>
      </c>
    </row>
    <row r="73" spans="2:18" x14ac:dyDescent="0.15">
      <c r="B73" s="33"/>
      <c r="C73" s="33" t="s">
        <v>181</v>
      </c>
      <c r="D73" s="33" t="s">
        <v>180</v>
      </c>
      <c r="E73" s="33" t="s">
        <v>10</v>
      </c>
      <c r="F73" s="33" t="s">
        <v>184</v>
      </c>
      <c r="G73" s="33" t="s">
        <v>11</v>
      </c>
      <c r="H73" s="33" t="s">
        <v>12</v>
      </c>
      <c r="I73" s="33" t="s">
        <v>47</v>
      </c>
      <c r="J73" s="33" t="s">
        <v>13</v>
      </c>
      <c r="K73" s="33" t="s">
        <v>14</v>
      </c>
      <c r="L73" s="33" t="s">
        <v>26</v>
      </c>
      <c r="M73" s="33" t="s">
        <v>28</v>
      </c>
      <c r="N73" s="33" t="s">
        <v>182</v>
      </c>
      <c r="O73" s="33" t="s">
        <v>8</v>
      </c>
      <c r="P73" s="33" t="s">
        <v>23</v>
      </c>
      <c r="Q73" s="33"/>
      <c r="R73" s="33" t="s">
        <v>30</v>
      </c>
    </row>
    <row r="74" spans="2:18" x14ac:dyDescent="0.15">
      <c r="B74" s="114" t="s">
        <v>160</v>
      </c>
      <c r="C74" s="114" t="s">
        <v>229</v>
      </c>
      <c r="D74" s="115">
        <v>43185</v>
      </c>
      <c r="E74" s="115">
        <v>43399</v>
      </c>
      <c r="F74" s="114">
        <v>3000</v>
      </c>
      <c r="G74" s="114">
        <v>214</v>
      </c>
      <c r="H74" s="114">
        <v>0.58630136986301373</v>
      </c>
      <c r="I74" s="114">
        <v>0</v>
      </c>
      <c r="J74" s="114">
        <v>0.28999999999999998</v>
      </c>
      <c r="K74" s="114">
        <v>-96.967287512488269</v>
      </c>
      <c r="L74" s="114"/>
      <c r="M74" s="114">
        <v>0</v>
      </c>
      <c r="N74" s="116">
        <v>96.967287512488269</v>
      </c>
      <c r="O74" s="114">
        <v>2604</v>
      </c>
      <c r="P74" s="114" t="s">
        <v>39</v>
      </c>
      <c r="Q74" s="114">
        <v>-1</v>
      </c>
      <c r="R74" s="114" t="s">
        <v>20</v>
      </c>
    </row>
    <row r="75" spans="2:18" x14ac:dyDescent="0.15">
      <c r="B75" s="33"/>
      <c r="C75" s="33" t="s">
        <v>181</v>
      </c>
      <c r="D75" s="33" t="s">
        <v>180</v>
      </c>
      <c r="E75" s="33" t="s">
        <v>10</v>
      </c>
      <c r="F75" s="33" t="s">
        <v>184</v>
      </c>
      <c r="G75" s="33" t="s">
        <v>11</v>
      </c>
      <c r="H75" s="33" t="s">
        <v>12</v>
      </c>
      <c r="I75" s="33" t="s">
        <v>47</v>
      </c>
      <c r="J75" s="33" t="s">
        <v>13</v>
      </c>
      <c r="K75" s="33" t="s">
        <v>14</v>
      </c>
      <c r="L75" s="33" t="s">
        <v>26</v>
      </c>
      <c r="M75" s="33" t="s">
        <v>28</v>
      </c>
      <c r="N75" s="33" t="s">
        <v>182</v>
      </c>
      <c r="O75" s="33" t="s">
        <v>8</v>
      </c>
      <c r="P75" s="33" t="s">
        <v>23</v>
      </c>
      <c r="Q75" s="33"/>
      <c r="R75" s="33" t="s">
        <v>30</v>
      </c>
    </row>
    <row r="76" spans="2:18" x14ac:dyDescent="0.15">
      <c r="B76" s="114" t="s">
        <v>161</v>
      </c>
      <c r="C76" s="114" t="s">
        <v>230</v>
      </c>
      <c r="D76" s="115">
        <v>43185</v>
      </c>
      <c r="E76" s="115">
        <v>43399</v>
      </c>
      <c r="F76" s="114">
        <v>2650</v>
      </c>
      <c r="G76" s="114">
        <v>214</v>
      </c>
      <c r="H76" s="114">
        <v>0.58630136986301373</v>
      </c>
      <c r="I76" s="114">
        <v>0</v>
      </c>
      <c r="J76" s="114">
        <v>0.28999999999999998</v>
      </c>
      <c r="K76" s="114">
        <v>-130.3704542529581</v>
      </c>
      <c r="L76" s="114"/>
      <c r="M76" s="114">
        <v>0</v>
      </c>
      <c r="N76" s="116">
        <v>130.3704542529581</v>
      </c>
      <c r="O76" s="114">
        <v>2928</v>
      </c>
      <c r="P76" s="114" t="s">
        <v>85</v>
      </c>
      <c r="Q76" s="114">
        <v>-1</v>
      </c>
      <c r="R76" s="114" t="s">
        <v>20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workbookViewId="0">
      <selection activeCell="B12" sqref="B12:Q14"/>
    </sheetView>
  </sheetViews>
  <sheetFormatPr defaultColWidth="9" defaultRowHeight="11.25" x14ac:dyDescent="0.1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 x14ac:dyDescent="0.2">
      <c r="B1" s="132" t="s">
        <v>158</v>
      </c>
      <c r="C1" s="132"/>
      <c r="D1" s="132"/>
    </row>
    <row r="2" spans="1:21" ht="12" thickTop="1" x14ac:dyDescent="0.15"/>
    <row r="3" spans="1:2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 x14ac:dyDescent="0.2">
      <c r="A4" s="35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 x14ac:dyDescent="0.15">
      <c r="B5" s="10"/>
      <c r="C5" s="10"/>
      <c r="D5" s="10"/>
      <c r="E5" s="10"/>
      <c r="F5" s="10"/>
      <c r="G5" s="10"/>
      <c r="H5" s="10"/>
      <c r="I5" s="10"/>
      <c r="J5" s="10"/>
      <c r="K5" s="38"/>
      <c r="L5" s="38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 x14ac:dyDescent="0.2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 x14ac:dyDescent="0.15">
      <c r="B8" s="10"/>
      <c r="C8" s="10"/>
      <c r="D8" s="10"/>
      <c r="E8" s="10"/>
      <c r="F8" s="10"/>
      <c r="G8" s="10"/>
      <c r="H8" s="10"/>
      <c r="I8" s="10"/>
      <c r="J8" s="10"/>
      <c r="K8" s="38"/>
      <c r="L8" s="38"/>
      <c r="M8" s="10"/>
      <c r="N8" s="10"/>
      <c r="O8" s="10"/>
      <c r="P8" s="10"/>
      <c r="Q8" s="10"/>
      <c r="R8" s="10"/>
      <c r="S8" s="10"/>
      <c r="T8" s="13"/>
      <c r="U8" s="10"/>
    </row>
    <row r="9" spans="1:21" x14ac:dyDescent="0.15">
      <c r="B9" s="10"/>
      <c r="C9" s="10"/>
      <c r="D9" s="10"/>
      <c r="E9" s="10"/>
      <c r="F9" s="10"/>
      <c r="G9" s="10"/>
      <c r="H9" s="10"/>
      <c r="I9" s="10"/>
      <c r="J9" s="10"/>
      <c r="K9" s="38"/>
      <c r="L9" s="38"/>
      <c r="M9" s="10"/>
      <c r="N9" s="10"/>
      <c r="O9" s="10"/>
      <c r="P9" s="10"/>
      <c r="Q9" s="10"/>
      <c r="R9" s="10"/>
      <c r="S9" s="10"/>
      <c r="T9" s="13"/>
      <c r="U9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49"/>
  <sheetViews>
    <sheetView zoomScale="115" zoomScaleNormal="115" workbookViewId="0">
      <pane ySplit="17" topLeftCell="A30" activePane="bottomLeft" state="frozen"/>
      <selection pane="bottomLeft" activeCell="M51" sqref="M51"/>
    </sheetView>
  </sheetViews>
  <sheetFormatPr defaultColWidth="9" defaultRowHeight="10.5" x14ac:dyDescent="0.15"/>
  <cols>
    <col min="1" max="3" width="9" style="104"/>
    <col min="4" max="4" width="9" style="104" customWidth="1"/>
    <col min="5" max="7" width="9" style="104"/>
    <col min="8" max="8" width="9.625" style="104" customWidth="1"/>
    <col min="9" max="9" width="9" style="104"/>
    <col min="10" max="10" width="9.25" style="104" customWidth="1"/>
    <col min="11" max="16384" width="9" style="104"/>
  </cols>
  <sheetData>
    <row r="1" spans="2:20" ht="11.25" thickBot="1" x14ac:dyDescent="0.2">
      <c r="B1" s="151" t="s">
        <v>118</v>
      </c>
      <c r="C1" s="151"/>
    </row>
    <row r="2" spans="2:20" ht="11.25" thickTop="1" x14ac:dyDescent="0.15"/>
    <row r="3" spans="2:20" ht="11.25" thickBot="1" x14ac:dyDescent="0.2">
      <c r="B3" s="150" t="s">
        <v>119</v>
      </c>
      <c r="C3" s="150"/>
      <c r="D3" s="150"/>
      <c r="E3" s="150"/>
      <c r="G3" s="149" t="s">
        <v>120</v>
      </c>
      <c r="H3" s="149"/>
      <c r="I3" s="149"/>
      <c r="J3" s="149"/>
      <c r="L3" s="150" t="s">
        <v>165</v>
      </c>
      <c r="M3" s="150"/>
      <c r="N3" s="150"/>
      <c r="O3" s="150"/>
      <c r="Q3" s="149" t="s">
        <v>166</v>
      </c>
      <c r="R3" s="149"/>
      <c r="S3" s="149"/>
      <c r="T3" s="149"/>
    </row>
    <row r="4" spans="2:20" ht="12" thickTop="1" thickBot="1" x14ac:dyDescent="0.2">
      <c r="B4" s="142" t="s">
        <v>121</v>
      </c>
      <c r="C4" s="142"/>
      <c r="D4" s="142"/>
      <c r="E4" s="142"/>
      <c r="G4" s="142" t="s">
        <v>34</v>
      </c>
      <c r="H4" s="142"/>
      <c r="I4" s="142"/>
      <c r="J4" s="142"/>
      <c r="L4" s="142" t="s">
        <v>121</v>
      </c>
      <c r="M4" s="142"/>
      <c r="N4" s="142"/>
      <c r="O4" s="142"/>
      <c r="Q4" s="142" t="s">
        <v>34</v>
      </c>
      <c r="R4" s="142"/>
      <c r="S4" s="142"/>
      <c r="T4" s="142"/>
    </row>
    <row r="5" spans="2:20" ht="15" customHeight="1" thickTop="1" x14ac:dyDescent="0.15">
      <c r="B5" s="146" t="s">
        <v>122</v>
      </c>
      <c r="C5" s="146"/>
      <c r="D5" s="152"/>
      <c r="E5" s="153"/>
      <c r="G5" s="146" t="s">
        <v>123</v>
      </c>
      <c r="H5" s="146"/>
      <c r="I5" s="107"/>
      <c r="J5" s="108"/>
      <c r="L5" s="105" t="s">
        <v>122</v>
      </c>
      <c r="M5" s="106"/>
      <c r="N5" s="107"/>
      <c r="O5" s="108"/>
      <c r="Q5" s="146" t="s">
        <v>123</v>
      </c>
      <c r="R5" s="146"/>
      <c r="S5" s="107"/>
      <c r="T5" s="108"/>
    </row>
    <row r="6" spans="2:20" x14ac:dyDescent="0.15">
      <c r="B6" s="146" t="s">
        <v>124</v>
      </c>
      <c r="C6" s="146"/>
      <c r="D6" s="147" t="s">
        <v>125</v>
      </c>
      <c r="E6" s="148"/>
      <c r="G6" s="146" t="s">
        <v>126</v>
      </c>
      <c r="H6" s="146"/>
      <c r="I6" s="147"/>
      <c r="J6" s="148"/>
      <c r="L6" s="146" t="s">
        <v>124</v>
      </c>
      <c r="M6" s="146"/>
      <c r="N6" s="147" t="s">
        <v>125</v>
      </c>
      <c r="O6" s="148"/>
      <c r="Q6" s="146" t="s">
        <v>126</v>
      </c>
      <c r="R6" s="146"/>
      <c r="S6" s="147"/>
      <c r="T6" s="148"/>
    </row>
    <row r="7" spans="2:20" ht="2.25" customHeight="1" x14ac:dyDescent="0.15">
      <c r="B7" s="146" t="s">
        <v>127</v>
      </c>
      <c r="C7" s="146"/>
      <c r="D7" s="147" t="s">
        <v>125</v>
      </c>
      <c r="E7" s="148"/>
      <c r="G7" s="146" t="s">
        <v>128</v>
      </c>
      <c r="H7" s="146"/>
      <c r="I7" s="147"/>
      <c r="J7" s="148"/>
      <c r="L7" s="146" t="s">
        <v>127</v>
      </c>
      <c r="M7" s="146"/>
      <c r="N7" s="147" t="s">
        <v>125</v>
      </c>
      <c r="O7" s="148"/>
      <c r="Q7" s="146" t="s">
        <v>128</v>
      </c>
      <c r="R7" s="146"/>
      <c r="S7" s="147"/>
      <c r="T7" s="148"/>
    </row>
    <row r="8" spans="2:20" hidden="1" x14ac:dyDescent="0.15">
      <c r="B8" s="146" t="s">
        <v>129</v>
      </c>
      <c r="C8" s="146"/>
      <c r="D8" s="147">
        <f>D13*D15</f>
        <v>305000</v>
      </c>
      <c r="E8" s="148"/>
      <c r="G8" s="146" t="s">
        <v>130</v>
      </c>
      <c r="H8" s="146"/>
      <c r="I8" s="147"/>
      <c r="J8" s="148"/>
      <c r="L8" s="146" t="s">
        <v>129</v>
      </c>
      <c r="M8" s="146"/>
      <c r="N8" s="147">
        <f>N14*N16</f>
        <v>305000</v>
      </c>
      <c r="O8" s="148"/>
      <c r="Q8" s="146" t="s">
        <v>130</v>
      </c>
      <c r="R8" s="146"/>
      <c r="S8" s="147"/>
      <c r="T8" s="148"/>
    </row>
    <row r="9" spans="2:20" hidden="1" x14ac:dyDescent="0.15">
      <c r="B9" s="146" t="s">
        <v>131</v>
      </c>
      <c r="C9" s="146"/>
      <c r="D9" s="147" t="s">
        <v>132</v>
      </c>
      <c r="E9" s="148"/>
      <c r="G9" s="146" t="s">
        <v>133</v>
      </c>
      <c r="H9" s="146"/>
      <c r="I9" s="147"/>
      <c r="J9" s="148"/>
      <c r="L9" s="146" t="s">
        <v>131</v>
      </c>
      <c r="M9" s="146"/>
      <c r="N9" s="147" t="s">
        <v>132</v>
      </c>
      <c r="O9" s="148"/>
      <c r="Q9" s="146" t="s">
        <v>133</v>
      </c>
      <c r="R9" s="146"/>
      <c r="S9" s="147"/>
      <c r="T9" s="148"/>
    </row>
    <row r="10" spans="2:20" hidden="1" x14ac:dyDescent="0.15">
      <c r="B10" s="146" t="s">
        <v>134</v>
      </c>
      <c r="C10" s="146"/>
      <c r="D10" s="147">
        <v>43084</v>
      </c>
      <c r="E10" s="148"/>
      <c r="G10" s="109" t="s">
        <v>135</v>
      </c>
      <c r="H10" s="109"/>
      <c r="I10" s="147"/>
      <c r="J10" s="148"/>
      <c r="L10" s="146" t="s">
        <v>134</v>
      </c>
      <c r="M10" s="146"/>
      <c r="N10" s="147">
        <v>43084</v>
      </c>
      <c r="O10" s="148"/>
      <c r="Q10" s="109" t="s">
        <v>135</v>
      </c>
      <c r="R10" s="109"/>
      <c r="S10" s="147"/>
      <c r="T10" s="148"/>
    </row>
    <row r="11" spans="2:20" hidden="1" x14ac:dyDescent="0.15">
      <c r="B11" s="146" t="s">
        <v>136</v>
      </c>
      <c r="C11" s="146"/>
      <c r="D11" s="147">
        <v>3935</v>
      </c>
      <c r="E11" s="148"/>
      <c r="G11" s="146" t="s">
        <v>137</v>
      </c>
      <c r="H11" s="146"/>
      <c r="I11" s="147"/>
      <c r="J11" s="148"/>
      <c r="L11" s="146" t="s">
        <v>136</v>
      </c>
      <c r="M11" s="146"/>
      <c r="N11" s="147">
        <v>3935</v>
      </c>
      <c r="O11" s="148"/>
      <c r="Q11" s="146" t="s">
        <v>137</v>
      </c>
      <c r="R11" s="146"/>
      <c r="S11" s="147"/>
      <c r="T11" s="148"/>
    </row>
    <row r="12" spans="2:20" hidden="1" x14ac:dyDescent="0.15">
      <c r="B12" s="146" t="s">
        <v>138</v>
      </c>
      <c r="C12" s="146"/>
      <c r="D12" s="147">
        <v>3800</v>
      </c>
      <c r="E12" s="148"/>
      <c r="G12" s="146" t="s">
        <v>139</v>
      </c>
      <c r="H12" s="146"/>
      <c r="I12" s="147"/>
      <c r="J12" s="148"/>
      <c r="L12" s="146" t="s">
        <v>163</v>
      </c>
      <c r="M12" s="146"/>
      <c r="N12" s="147">
        <v>3800</v>
      </c>
      <c r="O12" s="148"/>
      <c r="Q12" s="146" t="s">
        <v>167</v>
      </c>
      <c r="R12" s="146"/>
      <c r="S12" s="147"/>
      <c r="T12" s="148"/>
    </row>
    <row r="13" spans="2:20" hidden="1" x14ac:dyDescent="0.15">
      <c r="B13" s="146" t="s">
        <v>140</v>
      </c>
      <c r="C13" s="146"/>
      <c r="D13" s="147">
        <v>61</v>
      </c>
      <c r="E13" s="148"/>
      <c r="G13" s="146" t="s">
        <v>141</v>
      </c>
      <c r="H13" s="146"/>
      <c r="I13" s="147"/>
      <c r="J13" s="148"/>
      <c r="L13" s="146" t="s">
        <v>164</v>
      </c>
      <c r="M13" s="146"/>
      <c r="N13" s="147">
        <v>3800</v>
      </c>
      <c r="O13" s="148"/>
      <c r="Q13" s="146" t="s">
        <v>168</v>
      </c>
      <c r="R13" s="146"/>
      <c r="S13" s="147"/>
      <c r="T13" s="148"/>
    </row>
    <row r="14" spans="2:20" hidden="1" x14ac:dyDescent="0.15">
      <c r="B14" s="146" t="s">
        <v>142</v>
      </c>
      <c r="C14" s="146"/>
      <c r="D14" s="147" t="s">
        <v>143</v>
      </c>
      <c r="E14" s="148"/>
      <c r="G14" s="146" t="s">
        <v>144</v>
      </c>
      <c r="H14" s="146"/>
      <c r="I14" s="110"/>
      <c r="J14" s="111"/>
      <c r="L14" s="146" t="s">
        <v>140</v>
      </c>
      <c r="M14" s="146"/>
      <c r="N14" s="147">
        <v>61</v>
      </c>
      <c r="O14" s="148"/>
      <c r="Q14" s="146" t="s">
        <v>141</v>
      </c>
      <c r="R14" s="146"/>
      <c r="S14" s="147"/>
      <c r="T14" s="148"/>
    </row>
    <row r="15" spans="2:20" hidden="1" x14ac:dyDescent="0.15">
      <c r="B15" s="146" t="s">
        <v>145</v>
      </c>
      <c r="C15" s="146"/>
      <c r="D15" s="147">
        <v>5000</v>
      </c>
      <c r="E15" s="148"/>
      <c r="G15" s="146" t="s">
        <v>146</v>
      </c>
      <c r="H15" s="146"/>
      <c r="I15" s="147"/>
      <c r="J15" s="148"/>
      <c r="L15" s="146" t="s">
        <v>142</v>
      </c>
      <c r="M15" s="146"/>
      <c r="N15" s="147" t="s">
        <v>143</v>
      </c>
      <c r="O15" s="148"/>
      <c r="Q15" s="146" t="s">
        <v>144</v>
      </c>
      <c r="R15" s="146"/>
      <c r="S15" s="110"/>
      <c r="T15" s="111"/>
    </row>
    <row r="16" spans="2:20" ht="11.25" hidden="1" thickBot="1" x14ac:dyDescent="0.2">
      <c r="B16" s="143" t="s">
        <v>147</v>
      </c>
      <c r="C16" s="143"/>
      <c r="D16" s="144" t="s">
        <v>148</v>
      </c>
      <c r="E16" s="145"/>
      <c r="G16" s="143" t="s">
        <v>149</v>
      </c>
      <c r="H16" s="143"/>
      <c r="I16" s="144"/>
      <c r="J16" s="145"/>
      <c r="L16" s="146" t="s">
        <v>145</v>
      </c>
      <c r="M16" s="146"/>
      <c r="N16" s="147">
        <v>5000</v>
      </c>
      <c r="O16" s="148"/>
      <c r="Q16" s="146" t="s">
        <v>146</v>
      </c>
      <c r="R16" s="146"/>
      <c r="S16" s="147"/>
      <c r="T16" s="148"/>
    </row>
    <row r="17" spans="2:25" ht="12" hidden="1" thickTop="1" thickBot="1" x14ac:dyDescent="0.2">
      <c r="L17" s="143" t="s">
        <v>147</v>
      </c>
      <c r="M17" s="143"/>
      <c r="N17" s="144" t="s">
        <v>148</v>
      </c>
      <c r="O17" s="145"/>
      <c r="Q17" s="143" t="s">
        <v>149</v>
      </c>
      <c r="R17" s="143"/>
      <c r="S17" s="144"/>
      <c r="T17" s="145"/>
    </row>
    <row r="19" spans="2:25" x14ac:dyDescent="0.15">
      <c r="B19" s="112" t="s">
        <v>150</v>
      </c>
    </row>
    <row r="21" spans="2:25" ht="11.25" thickBot="1" x14ac:dyDescent="0.2">
      <c r="B21" s="113"/>
      <c r="C21" s="113"/>
      <c r="D21" s="113"/>
      <c r="E21" s="113"/>
      <c r="G21" s="113"/>
      <c r="H21" s="113"/>
      <c r="I21" s="113"/>
      <c r="J21" s="113"/>
      <c r="L21" s="113"/>
      <c r="M21" s="113"/>
      <c r="N21" s="113"/>
      <c r="O21" s="113"/>
      <c r="Q21" s="113"/>
      <c r="R21" s="113"/>
      <c r="S21" s="113"/>
      <c r="T21" s="113"/>
      <c r="V21" s="113"/>
      <c r="W21" s="113"/>
      <c r="X21" s="113"/>
      <c r="Y21" s="113"/>
    </row>
    <row r="22" spans="2:25" ht="12.75" thickTop="1" thickBot="1" x14ac:dyDescent="0.2">
      <c r="B22" s="140" t="s">
        <v>188</v>
      </c>
      <c r="C22" s="140"/>
      <c r="D22" s="140"/>
      <c r="E22" s="140"/>
      <c r="G22" s="140" t="s">
        <v>189</v>
      </c>
      <c r="H22" s="140"/>
      <c r="I22" s="140"/>
      <c r="J22" s="140"/>
      <c r="L22" s="142" t="s">
        <v>189</v>
      </c>
      <c r="M22" s="142"/>
      <c r="N22" s="142"/>
      <c r="O22" s="142"/>
      <c r="Q22" s="140" t="s">
        <v>188</v>
      </c>
      <c r="R22" s="140"/>
      <c r="S22" s="140"/>
      <c r="T22" s="140"/>
      <c r="V22" s="142" t="s">
        <v>189</v>
      </c>
      <c r="W22" s="142"/>
      <c r="X22" s="142"/>
      <c r="Y22" s="142"/>
    </row>
    <row r="23" spans="2:25" ht="12" thickTop="1" x14ac:dyDescent="0.15">
      <c r="B23" s="133" t="s">
        <v>122</v>
      </c>
      <c r="C23" s="133"/>
      <c r="D23" s="139">
        <f ca="1">TODAY()</f>
        <v>43189</v>
      </c>
      <c r="E23" s="141"/>
      <c r="G23" s="133" t="s">
        <v>122</v>
      </c>
      <c r="H23" s="133"/>
      <c r="I23" s="139">
        <f ca="1">TODAY()</f>
        <v>43189</v>
      </c>
      <c r="J23" s="141"/>
      <c r="L23" s="133" t="s">
        <v>122</v>
      </c>
      <c r="M23" s="133"/>
      <c r="N23" s="139">
        <f ca="1">TODAY()</f>
        <v>43189</v>
      </c>
      <c r="O23" s="141"/>
      <c r="Q23" s="133" t="s">
        <v>122</v>
      </c>
      <c r="R23" s="133"/>
      <c r="S23" s="139">
        <f ca="1">TODAY()-1</f>
        <v>43188</v>
      </c>
      <c r="T23" s="141"/>
      <c r="V23" s="133" t="s">
        <v>122</v>
      </c>
      <c r="W23" s="133"/>
      <c r="X23" s="139">
        <f ca="1">TODAY()-1</f>
        <v>43188</v>
      </c>
      <c r="Y23" s="141"/>
    </row>
    <row r="24" spans="2:25" ht="11.25" x14ac:dyDescent="0.15">
      <c r="B24" s="133" t="s">
        <v>124</v>
      </c>
      <c r="C24" s="133"/>
      <c r="D24" s="134" t="s">
        <v>186</v>
      </c>
      <c r="E24" s="135"/>
      <c r="G24" s="133" t="s">
        <v>124</v>
      </c>
      <c r="H24" s="133"/>
      <c r="I24" s="134" t="s">
        <v>186</v>
      </c>
      <c r="J24" s="135"/>
      <c r="L24" s="133" t="s">
        <v>124</v>
      </c>
      <c r="M24" s="133"/>
      <c r="N24" s="134" t="s">
        <v>36</v>
      </c>
      <c r="O24" s="135"/>
      <c r="Q24" s="133" t="s">
        <v>124</v>
      </c>
      <c r="R24" s="133"/>
      <c r="S24" s="134" t="s">
        <v>36</v>
      </c>
      <c r="T24" s="135"/>
      <c r="V24" s="133" t="s">
        <v>124</v>
      </c>
      <c r="W24" s="133"/>
      <c r="X24" s="134" t="s">
        <v>36</v>
      </c>
      <c r="Y24" s="135"/>
    </row>
    <row r="25" spans="2:25" ht="11.25" x14ac:dyDescent="0.15">
      <c r="B25" s="133" t="s">
        <v>127</v>
      </c>
      <c r="C25" s="133"/>
      <c r="D25" s="134" t="s">
        <v>5</v>
      </c>
      <c r="E25" s="135"/>
      <c r="G25" s="133" t="s">
        <v>127</v>
      </c>
      <c r="H25" s="133"/>
      <c r="I25" s="134" t="s">
        <v>5</v>
      </c>
      <c r="J25" s="135"/>
      <c r="L25" s="133" t="s">
        <v>127</v>
      </c>
      <c r="M25" s="133"/>
      <c r="N25" s="134" t="s">
        <v>196</v>
      </c>
      <c r="O25" s="135"/>
      <c r="Q25" s="133" t="s">
        <v>127</v>
      </c>
      <c r="R25" s="133"/>
      <c r="S25" s="134" t="s">
        <v>187</v>
      </c>
      <c r="T25" s="135"/>
      <c r="V25" s="133" t="s">
        <v>127</v>
      </c>
      <c r="W25" s="133"/>
      <c r="X25" s="134" t="s">
        <v>187</v>
      </c>
      <c r="Y25" s="135"/>
    </row>
    <row r="26" spans="2:25" ht="11.25" x14ac:dyDescent="0.15">
      <c r="B26" s="133" t="s">
        <v>129</v>
      </c>
      <c r="C26" s="133"/>
      <c r="D26" s="134">
        <f>D31*D33</f>
        <v>388800</v>
      </c>
      <c r="E26" s="135"/>
      <c r="G26" s="133" t="s">
        <v>179</v>
      </c>
      <c r="H26" s="133"/>
      <c r="I26" s="134">
        <f>I31*I33</f>
        <v>271800</v>
      </c>
      <c r="J26" s="135"/>
      <c r="L26" s="133" t="s">
        <v>129</v>
      </c>
      <c r="M26" s="133"/>
      <c r="N26" s="134">
        <f>N31*N33</f>
        <v>275000</v>
      </c>
      <c r="O26" s="135"/>
      <c r="Q26" s="133" t="s">
        <v>129</v>
      </c>
      <c r="R26" s="133"/>
      <c r="S26" s="134">
        <f>S31*S33</f>
        <v>235799.99999999997</v>
      </c>
      <c r="T26" s="135"/>
      <c r="V26" s="133" t="s">
        <v>129</v>
      </c>
      <c r="W26" s="133"/>
      <c r="X26" s="134">
        <f>X31*X33</f>
        <v>235799.99999999997</v>
      </c>
      <c r="Y26" s="135"/>
    </row>
    <row r="27" spans="2:25" ht="11.25" x14ac:dyDescent="0.15">
      <c r="B27" s="133" t="s">
        <v>131</v>
      </c>
      <c r="C27" s="133"/>
      <c r="D27" s="134" t="s">
        <v>132</v>
      </c>
      <c r="E27" s="135"/>
      <c r="G27" s="133" t="s">
        <v>131</v>
      </c>
      <c r="H27" s="133"/>
      <c r="I27" s="134" t="s">
        <v>198</v>
      </c>
      <c r="J27" s="135"/>
      <c r="L27" s="133" t="s">
        <v>131</v>
      </c>
      <c r="M27" s="133"/>
      <c r="N27" s="134" t="s">
        <v>190</v>
      </c>
      <c r="O27" s="135"/>
      <c r="Q27" s="133" t="s">
        <v>131</v>
      </c>
      <c r="R27" s="133"/>
      <c r="S27" s="134" t="s">
        <v>191</v>
      </c>
      <c r="T27" s="135"/>
      <c r="V27" s="133" t="s">
        <v>131</v>
      </c>
      <c r="W27" s="133"/>
      <c r="X27" s="134" t="s">
        <v>190</v>
      </c>
      <c r="Y27" s="135"/>
    </row>
    <row r="28" spans="2:25" ht="11.25" x14ac:dyDescent="0.15">
      <c r="B28" s="133" t="s">
        <v>134</v>
      </c>
      <c r="C28" s="133"/>
      <c r="D28" s="139">
        <v>43182</v>
      </c>
      <c r="E28" s="135"/>
      <c r="G28" s="133" t="s">
        <v>134</v>
      </c>
      <c r="H28" s="133"/>
      <c r="I28" s="139">
        <v>43182</v>
      </c>
      <c r="J28" s="135"/>
      <c r="L28" s="133" t="s">
        <v>134</v>
      </c>
      <c r="M28" s="133"/>
      <c r="N28" s="139">
        <v>43219</v>
      </c>
      <c r="O28" s="135"/>
      <c r="Q28" s="133" t="s">
        <v>134</v>
      </c>
      <c r="R28" s="133"/>
      <c r="S28" s="139">
        <v>43201</v>
      </c>
      <c r="T28" s="135"/>
      <c r="V28" s="133" t="s">
        <v>134</v>
      </c>
      <c r="W28" s="133"/>
      <c r="X28" s="139">
        <v>43201</v>
      </c>
      <c r="Y28" s="135"/>
    </row>
    <row r="29" spans="2:25" ht="11.25" x14ac:dyDescent="0.15">
      <c r="B29" s="133" t="s">
        <v>136</v>
      </c>
      <c r="C29" s="133"/>
      <c r="D29" s="134">
        <v>3856</v>
      </c>
      <c r="E29" s="135"/>
      <c r="G29" s="133" t="s">
        <v>136</v>
      </c>
      <c r="H29" s="133"/>
      <c r="I29" s="134">
        <v>3856</v>
      </c>
      <c r="J29" s="135"/>
      <c r="L29" s="133" t="s">
        <v>136</v>
      </c>
      <c r="M29" s="133"/>
      <c r="N29" s="134">
        <v>3760</v>
      </c>
      <c r="O29" s="135"/>
      <c r="Q29" s="133" t="s">
        <v>136</v>
      </c>
      <c r="R29" s="133"/>
      <c r="S29" s="134">
        <v>524</v>
      </c>
      <c r="T29" s="135"/>
      <c r="V29" s="133" t="s">
        <v>136</v>
      </c>
      <c r="W29" s="133"/>
      <c r="X29" s="134">
        <v>524</v>
      </c>
      <c r="Y29" s="135"/>
    </row>
    <row r="30" spans="2:25" ht="11.25" x14ac:dyDescent="0.15">
      <c r="B30" s="133" t="s">
        <v>138</v>
      </c>
      <c r="C30" s="133"/>
      <c r="D30" s="134">
        <v>3800</v>
      </c>
      <c r="E30" s="135"/>
      <c r="G30" s="133" t="s">
        <v>138</v>
      </c>
      <c r="H30" s="133"/>
      <c r="I30" s="134">
        <v>3930</v>
      </c>
      <c r="J30" s="135"/>
      <c r="L30" s="133" t="s">
        <v>138</v>
      </c>
      <c r="M30" s="133"/>
      <c r="N30" s="134">
        <v>3700</v>
      </c>
      <c r="O30" s="135"/>
      <c r="Q30" s="133" t="s">
        <v>138</v>
      </c>
      <c r="R30" s="133"/>
      <c r="S30" s="134">
        <v>524</v>
      </c>
      <c r="T30" s="135"/>
      <c r="V30" s="133" t="s">
        <v>138</v>
      </c>
      <c r="W30" s="133"/>
      <c r="X30" s="134">
        <v>524</v>
      </c>
      <c r="Y30" s="135"/>
    </row>
    <row r="31" spans="2:25" ht="11.25" x14ac:dyDescent="0.15">
      <c r="B31" s="133" t="s">
        <v>140</v>
      </c>
      <c r="C31" s="133"/>
      <c r="D31" s="134">
        <v>38.880000000000003</v>
      </c>
      <c r="E31" s="135"/>
      <c r="G31" s="133" t="s">
        <v>199</v>
      </c>
      <c r="H31" s="133"/>
      <c r="I31" s="134">
        <v>27.18</v>
      </c>
      <c r="J31" s="135"/>
      <c r="L31" s="133" t="s">
        <v>140</v>
      </c>
      <c r="M31" s="133"/>
      <c r="N31" s="134">
        <v>55</v>
      </c>
      <c r="O31" s="135"/>
      <c r="Q31" s="133" t="s">
        <v>140</v>
      </c>
      <c r="R31" s="133"/>
      <c r="S31" s="134">
        <v>23.58</v>
      </c>
      <c r="T31" s="135"/>
      <c r="V31" s="133" t="s">
        <v>140</v>
      </c>
      <c r="W31" s="133"/>
      <c r="X31" s="134">
        <v>23.58</v>
      </c>
      <c r="Y31" s="135"/>
    </row>
    <row r="32" spans="2:25" ht="11.25" x14ac:dyDescent="0.15">
      <c r="B32" s="133" t="s">
        <v>142</v>
      </c>
      <c r="C32" s="133"/>
      <c r="D32" s="134" t="s">
        <v>197</v>
      </c>
      <c r="E32" s="135"/>
      <c r="G32" s="133" t="s">
        <v>200</v>
      </c>
      <c r="H32" s="133"/>
      <c r="I32" s="134" t="s">
        <v>197</v>
      </c>
      <c r="J32" s="135"/>
      <c r="L32" s="133" t="s">
        <v>142</v>
      </c>
      <c r="M32" s="133"/>
      <c r="N32" s="134" t="s">
        <v>195</v>
      </c>
      <c r="O32" s="135"/>
      <c r="Q32" s="133" t="s">
        <v>142</v>
      </c>
      <c r="R32" s="133"/>
      <c r="S32" s="134" t="s">
        <v>192</v>
      </c>
      <c r="T32" s="135"/>
      <c r="V32" s="133" t="s">
        <v>142</v>
      </c>
      <c r="W32" s="133"/>
      <c r="X32" s="134" t="s">
        <v>192</v>
      </c>
      <c r="Y32" s="135"/>
    </row>
    <row r="33" spans="2:25" ht="11.25" x14ac:dyDescent="0.15">
      <c r="B33" s="133" t="s">
        <v>145</v>
      </c>
      <c r="C33" s="133"/>
      <c r="D33" s="134">
        <v>10000</v>
      </c>
      <c r="E33" s="135"/>
      <c r="G33" s="133" t="s">
        <v>201</v>
      </c>
      <c r="H33" s="133"/>
      <c r="I33" s="134">
        <v>10000</v>
      </c>
      <c r="J33" s="135"/>
      <c r="L33" s="133" t="s">
        <v>145</v>
      </c>
      <c r="M33" s="133"/>
      <c r="N33" s="134">
        <v>5000</v>
      </c>
      <c r="O33" s="135"/>
      <c r="Q33" s="133" t="s">
        <v>145</v>
      </c>
      <c r="R33" s="133"/>
      <c r="S33" s="134">
        <v>10000</v>
      </c>
      <c r="T33" s="135"/>
      <c r="V33" s="133" t="s">
        <v>145</v>
      </c>
      <c r="W33" s="133"/>
      <c r="X33" s="134">
        <v>10000</v>
      </c>
      <c r="Y33" s="135"/>
    </row>
    <row r="34" spans="2:25" ht="12" thickBot="1" x14ac:dyDescent="0.2">
      <c r="B34" s="136" t="s">
        <v>147</v>
      </c>
      <c r="C34" s="136"/>
      <c r="D34" s="137" t="s">
        <v>148</v>
      </c>
      <c r="E34" s="138"/>
      <c r="G34" s="136" t="s">
        <v>147</v>
      </c>
      <c r="H34" s="136"/>
      <c r="I34" s="137" t="s">
        <v>148</v>
      </c>
      <c r="J34" s="138"/>
      <c r="L34" s="136" t="s">
        <v>147</v>
      </c>
      <c r="M34" s="136"/>
      <c r="N34" s="137" t="s">
        <v>148</v>
      </c>
      <c r="O34" s="138"/>
      <c r="Q34" s="136" t="s">
        <v>147</v>
      </c>
      <c r="R34" s="136"/>
      <c r="S34" s="137" t="s">
        <v>148</v>
      </c>
      <c r="T34" s="138"/>
      <c r="V34" s="136" t="s">
        <v>147</v>
      </c>
      <c r="W34" s="136"/>
      <c r="X34" s="137" t="s">
        <v>148</v>
      </c>
      <c r="Y34" s="138"/>
    </row>
    <row r="35" spans="2:25" ht="11.25" thickTop="1" x14ac:dyDescent="0.15"/>
    <row r="36" spans="2:25" ht="12" thickBot="1" x14ac:dyDescent="0.2">
      <c r="B36" s="140" t="s">
        <v>235</v>
      </c>
      <c r="C36" s="140"/>
      <c r="D36" s="140"/>
      <c r="E36" s="140"/>
      <c r="G36" s="140" t="s">
        <v>234</v>
      </c>
      <c r="H36" s="140"/>
      <c r="I36" s="140"/>
      <c r="J36" s="140"/>
      <c r="L36" s="140" t="s">
        <v>121</v>
      </c>
      <c r="M36" s="140"/>
      <c r="N36" s="140"/>
      <c r="O36" s="140"/>
    </row>
    <row r="37" spans="2:25" ht="12" thickTop="1" x14ac:dyDescent="0.15">
      <c r="B37" s="133" t="s">
        <v>122</v>
      </c>
      <c r="C37" s="133"/>
      <c r="D37" s="139">
        <f ca="1">TODAY()</f>
        <v>43189</v>
      </c>
      <c r="E37" s="141"/>
      <c r="G37" s="133" t="s">
        <v>122</v>
      </c>
      <c r="H37" s="133"/>
      <c r="I37" s="139">
        <v>43187</v>
      </c>
      <c r="J37" s="141"/>
      <c r="L37" s="133" t="s">
        <v>122</v>
      </c>
      <c r="M37" s="133"/>
      <c r="N37" s="139"/>
      <c r="O37" s="141"/>
    </row>
    <row r="38" spans="2:25" ht="11.25" x14ac:dyDescent="0.15">
      <c r="B38" s="133" t="s">
        <v>124</v>
      </c>
      <c r="C38" s="133"/>
      <c r="D38" s="134" t="s">
        <v>186</v>
      </c>
      <c r="E38" s="135"/>
      <c r="G38" s="133" t="s">
        <v>124</v>
      </c>
      <c r="H38" s="133"/>
      <c r="I38" s="134" t="s">
        <v>233</v>
      </c>
      <c r="J38" s="135"/>
      <c r="L38" s="133" t="s">
        <v>124</v>
      </c>
      <c r="M38" s="133"/>
      <c r="N38" s="134"/>
      <c r="O38" s="135"/>
    </row>
    <row r="39" spans="2:25" ht="11.25" x14ac:dyDescent="0.15">
      <c r="B39" s="133" t="s">
        <v>127</v>
      </c>
      <c r="C39" s="133"/>
      <c r="D39" s="134" t="s">
        <v>233</v>
      </c>
      <c r="E39" s="135"/>
      <c r="G39" s="133" t="s">
        <v>127</v>
      </c>
      <c r="H39" s="133"/>
      <c r="I39" s="134" t="s">
        <v>186</v>
      </c>
      <c r="J39" s="135"/>
      <c r="L39" s="133" t="s">
        <v>127</v>
      </c>
      <c r="M39" s="133"/>
      <c r="N39" s="134"/>
      <c r="O39" s="135"/>
    </row>
    <row r="40" spans="2:25" ht="11.25" x14ac:dyDescent="0.15">
      <c r="B40" s="133" t="s">
        <v>179</v>
      </c>
      <c r="C40" s="133"/>
      <c r="D40" s="134">
        <v>0</v>
      </c>
      <c r="E40" s="135"/>
      <c r="G40" s="133" t="s">
        <v>179</v>
      </c>
      <c r="H40" s="133"/>
      <c r="I40" s="134">
        <v>0</v>
      </c>
      <c r="J40" s="135"/>
      <c r="L40" s="133" t="s">
        <v>129</v>
      </c>
      <c r="M40" s="133"/>
      <c r="N40" s="134"/>
      <c r="O40" s="135"/>
    </row>
    <row r="41" spans="2:25" ht="11.25" x14ac:dyDescent="0.15">
      <c r="B41" s="133" t="s">
        <v>131</v>
      </c>
      <c r="C41" s="133"/>
      <c r="D41" s="134" t="s">
        <v>191</v>
      </c>
      <c r="E41" s="135"/>
      <c r="G41" s="133" t="s">
        <v>131</v>
      </c>
      <c r="H41" s="133"/>
      <c r="I41" s="134" t="s">
        <v>231</v>
      </c>
      <c r="J41" s="135"/>
      <c r="L41" s="133" t="s">
        <v>131</v>
      </c>
      <c r="M41" s="133"/>
      <c r="N41" s="134"/>
      <c r="O41" s="135"/>
    </row>
    <row r="42" spans="2:25" ht="11.25" x14ac:dyDescent="0.15">
      <c r="B42" s="133" t="s">
        <v>134</v>
      </c>
      <c r="C42" s="133"/>
      <c r="D42" s="139">
        <v>43217</v>
      </c>
      <c r="E42" s="135"/>
      <c r="G42" s="133" t="s">
        <v>134</v>
      </c>
      <c r="H42" s="133"/>
      <c r="I42" s="139">
        <v>43217</v>
      </c>
      <c r="J42" s="135"/>
      <c r="L42" s="133" t="s">
        <v>134</v>
      </c>
      <c r="M42" s="133"/>
      <c r="N42" s="139"/>
      <c r="O42" s="135"/>
    </row>
    <row r="43" spans="2:25" ht="11.25" x14ac:dyDescent="0.15">
      <c r="B43" s="133" t="s">
        <v>136</v>
      </c>
      <c r="C43" s="133"/>
      <c r="D43" s="134">
        <v>3216</v>
      </c>
      <c r="E43" s="135"/>
      <c r="G43" s="133" t="s">
        <v>136</v>
      </c>
      <c r="H43" s="133"/>
      <c r="I43" s="134">
        <v>3216</v>
      </c>
      <c r="J43" s="135"/>
      <c r="L43" s="133" t="s">
        <v>136</v>
      </c>
      <c r="M43" s="133"/>
      <c r="N43" s="134"/>
      <c r="O43" s="135"/>
    </row>
    <row r="44" spans="2:25" ht="11.25" x14ac:dyDescent="0.15">
      <c r="B44" s="133" t="s">
        <v>138</v>
      </c>
      <c r="C44" s="133"/>
      <c r="D44" s="134">
        <f>D43*1.03</f>
        <v>3312.48</v>
      </c>
      <c r="E44" s="135"/>
      <c r="G44" s="133" t="s">
        <v>138</v>
      </c>
      <c r="H44" s="133"/>
      <c r="I44" s="134">
        <f>I43*0.97</f>
        <v>3119.52</v>
      </c>
      <c r="J44" s="135"/>
      <c r="L44" s="133" t="s">
        <v>138</v>
      </c>
      <c r="M44" s="133"/>
      <c r="N44" s="134"/>
      <c r="O44" s="135"/>
    </row>
    <row r="45" spans="2:25" ht="11.25" x14ac:dyDescent="0.15">
      <c r="B45" s="133" t="s">
        <v>199</v>
      </c>
      <c r="C45" s="133"/>
      <c r="D45" s="134">
        <v>0</v>
      </c>
      <c r="E45" s="135"/>
      <c r="G45" s="133" t="s">
        <v>199</v>
      </c>
      <c r="H45" s="133"/>
      <c r="I45" s="134">
        <v>0</v>
      </c>
      <c r="J45" s="135"/>
      <c r="L45" s="133" t="s">
        <v>140</v>
      </c>
      <c r="M45" s="133"/>
      <c r="N45" s="134"/>
      <c r="O45" s="135"/>
    </row>
    <row r="46" spans="2:25" ht="11.25" x14ac:dyDescent="0.15">
      <c r="B46" s="133" t="s">
        <v>200</v>
      </c>
      <c r="C46" s="133"/>
      <c r="D46" s="134" t="s">
        <v>232</v>
      </c>
      <c r="E46" s="135"/>
      <c r="G46" s="133" t="s">
        <v>142</v>
      </c>
      <c r="H46" s="133"/>
      <c r="I46" s="134" t="s">
        <v>232</v>
      </c>
      <c r="J46" s="135"/>
      <c r="L46" s="133" t="s">
        <v>142</v>
      </c>
      <c r="M46" s="133"/>
      <c r="N46" s="134"/>
      <c r="O46" s="135"/>
    </row>
    <row r="47" spans="2:25" ht="11.25" x14ac:dyDescent="0.15">
      <c r="B47" s="133" t="s">
        <v>201</v>
      </c>
      <c r="C47" s="133"/>
      <c r="D47" s="134">
        <v>3600</v>
      </c>
      <c r="E47" s="135"/>
      <c r="G47" s="133" t="s">
        <v>145</v>
      </c>
      <c r="H47" s="133"/>
      <c r="I47" s="134">
        <v>3000</v>
      </c>
      <c r="J47" s="135"/>
      <c r="L47" s="133" t="s">
        <v>145</v>
      </c>
      <c r="M47" s="133"/>
      <c r="N47" s="134"/>
      <c r="O47" s="135"/>
    </row>
    <row r="48" spans="2:25" ht="12" thickBot="1" x14ac:dyDescent="0.2">
      <c r="B48" s="136" t="s">
        <v>147</v>
      </c>
      <c r="C48" s="136"/>
      <c r="D48" s="137" t="s">
        <v>148</v>
      </c>
      <c r="E48" s="138"/>
      <c r="G48" s="136" t="s">
        <v>147</v>
      </c>
      <c r="H48" s="136"/>
      <c r="I48" s="137" t="s">
        <v>148</v>
      </c>
      <c r="J48" s="138"/>
      <c r="L48" s="136" t="s">
        <v>147</v>
      </c>
      <c r="M48" s="136"/>
      <c r="N48" s="137"/>
      <c r="O48" s="138"/>
    </row>
    <row r="49" ht="11.25" thickTop="1" x14ac:dyDescent="0.15"/>
  </sheetData>
  <mergeCells count="301">
    <mergeCell ref="B46:C46"/>
    <mergeCell ref="D46:E46"/>
    <mergeCell ref="B47:C47"/>
    <mergeCell ref="D47:E47"/>
    <mergeCell ref="B48:C48"/>
    <mergeCell ref="D48:E48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  <mergeCell ref="B36:E36"/>
    <mergeCell ref="B37:C37"/>
    <mergeCell ref="D37:E37"/>
    <mergeCell ref="B38:C38"/>
    <mergeCell ref="D38:E38"/>
    <mergeCell ref="B39:C39"/>
    <mergeCell ref="D39:E39"/>
    <mergeCell ref="B40:C40"/>
    <mergeCell ref="D40:E40"/>
    <mergeCell ref="G33:H33"/>
    <mergeCell ref="I33:J33"/>
    <mergeCell ref="G34:H34"/>
    <mergeCell ref="I34:J34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G26:H26"/>
    <mergeCell ref="I30:J30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G23:H23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L22:O22"/>
    <mergeCell ref="L23:M23"/>
    <mergeCell ref="N23:O23"/>
    <mergeCell ref="L24:M24"/>
    <mergeCell ref="N24:O24"/>
    <mergeCell ref="L25:M25"/>
    <mergeCell ref="N25:O25"/>
    <mergeCell ref="L26:M26"/>
    <mergeCell ref="N26:O26"/>
    <mergeCell ref="L32:M32"/>
    <mergeCell ref="N32:O32"/>
    <mergeCell ref="L33:M33"/>
    <mergeCell ref="N33:O33"/>
    <mergeCell ref="L34:M34"/>
    <mergeCell ref="N34:O34"/>
    <mergeCell ref="L27:M27"/>
    <mergeCell ref="N27:O27"/>
    <mergeCell ref="L28:M28"/>
    <mergeCell ref="N28:O28"/>
    <mergeCell ref="L29:M29"/>
    <mergeCell ref="N29:O29"/>
    <mergeCell ref="L30:M30"/>
    <mergeCell ref="N30:O30"/>
    <mergeCell ref="L31:M31"/>
    <mergeCell ref="N31:O31"/>
    <mergeCell ref="Q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V27:W27"/>
    <mergeCell ref="X27:Y27"/>
    <mergeCell ref="V28:W28"/>
    <mergeCell ref="X28:Y28"/>
    <mergeCell ref="V29:W29"/>
    <mergeCell ref="X29:Y29"/>
    <mergeCell ref="V30:W30"/>
    <mergeCell ref="X30:Y30"/>
    <mergeCell ref="V31:W31"/>
    <mergeCell ref="X31:Y31"/>
    <mergeCell ref="V22:Y22"/>
    <mergeCell ref="V23:W23"/>
    <mergeCell ref="X23:Y23"/>
    <mergeCell ref="V24:W24"/>
    <mergeCell ref="X24:Y24"/>
    <mergeCell ref="V25:W25"/>
    <mergeCell ref="X25:Y25"/>
    <mergeCell ref="V26:W26"/>
    <mergeCell ref="X26:Y26"/>
    <mergeCell ref="V32:W32"/>
    <mergeCell ref="X32:Y32"/>
    <mergeCell ref="V33:W33"/>
    <mergeCell ref="X33:Y33"/>
    <mergeCell ref="V34:W34"/>
    <mergeCell ref="X34:Y34"/>
    <mergeCell ref="Q32:R32"/>
    <mergeCell ref="S32:T32"/>
    <mergeCell ref="Q33:R33"/>
    <mergeCell ref="S33:T33"/>
    <mergeCell ref="Q34:R34"/>
    <mergeCell ref="S34:T34"/>
    <mergeCell ref="G47:H47"/>
    <mergeCell ref="I47:J47"/>
    <mergeCell ref="G48:H48"/>
    <mergeCell ref="I48:J48"/>
    <mergeCell ref="G41:H41"/>
    <mergeCell ref="I41:J41"/>
    <mergeCell ref="G42:H42"/>
    <mergeCell ref="I42:J42"/>
    <mergeCell ref="G43:H43"/>
    <mergeCell ref="I43:J43"/>
    <mergeCell ref="G44:H44"/>
    <mergeCell ref="I44:J44"/>
    <mergeCell ref="G45:H45"/>
    <mergeCell ref="I45:J45"/>
    <mergeCell ref="L36:O36"/>
    <mergeCell ref="L37:M37"/>
    <mergeCell ref="N37:O37"/>
    <mergeCell ref="L38:M38"/>
    <mergeCell ref="L39:M39"/>
    <mergeCell ref="L40:M40"/>
    <mergeCell ref="N40:O40"/>
    <mergeCell ref="G46:H46"/>
    <mergeCell ref="I46:J46"/>
    <mergeCell ref="G36:J36"/>
    <mergeCell ref="G37:H37"/>
    <mergeCell ref="I37:J37"/>
    <mergeCell ref="G38:H38"/>
    <mergeCell ref="I38:J38"/>
    <mergeCell ref="G39:H39"/>
    <mergeCell ref="I39:J39"/>
    <mergeCell ref="G40:H40"/>
    <mergeCell ref="I40:J40"/>
    <mergeCell ref="L46:M46"/>
    <mergeCell ref="N46:O46"/>
    <mergeCell ref="L47:M47"/>
    <mergeCell ref="N47:O47"/>
    <mergeCell ref="L48:M48"/>
    <mergeCell ref="N48:O48"/>
    <mergeCell ref="N38:O38"/>
    <mergeCell ref="N39:O39"/>
    <mergeCell ref="L41:M41"/>
    <mergeCell ref="N41:O41"/>
    <mergeCell ref="L42:M42"/>
    <mergeCell ref="N42:O42"/>
    <mergeCell ref="L43:M43"/>
    <mergeCell ref="N43:O43"/>
    <mergeCell ref="L44:M44"/>
    <mergeCell ref="N44:O44"/>
    <mergeCell ref="L45:M45"/>
    <mergeCell ref="N45:O4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42"/>
  <sheetViews>
    <sheetView tabSelected="1" topLeftCell="I1" zoomScaleNormal="100" workbookViewId="0">
      <selection activeCell="N29" sqref="N29"/>
    </sheetView>
  </sheetViews>
  <sheetFormatPr defaultColWidth="9" defaultRowHeight="11.25" x14ac:dyDescent="0.15"/>
  <cols>
    <col min="1" max="1" width="8.125" style="6" customWidth="1"/>
    <col min="2" max="2" width="27" style="6" customWidth="1"/>
    <col min="3" max="3" width="19.375" style="6" customWidth="1"/>
    <col min="4" max="4" width="13.875" style="6" bestFit="1" customWidth="1"/>
    <col min="5" max="6" width="9" style="6"/>
    <col min="7" max="7" width="14.75" style="6" bestFit="1" customWidth="1"/>
    <col min="8" max="8" width="15" style="6" customWidth="1"/>
    <col min="9" max="10" width="22.625" style="6" customWidth="1"/>
    <col min="11" max="11" width="7.25" style="6" customWidth="1"/>
    <col min="12" max="12" width="15.75" style="6" customWidth="1"/>
    <col min="13" max="13" width="7.75" style="6" customWidth="1"/>
    <col min="14" max="14" width="10" style="6" customWidth="1"/>
    <col min="15" max="15" width="8.625" style="6" customWidth="1"/>
    <col min="16" max="16" width="13" style="6" bestFit="1" customWidth="1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16384" width="9" style="6"/>
  </cols>
  <sheetData>
    <row r="1" spans="1:25" ht="13.5" customHeight="1" thickBot="1" x14ac:dyDescent="0.2">
      <c r="B1" s="154" t="s">
        <v>37</v>
      </c>
      <c r="C1" s="154"/>
    </row>
    <row r="2" spans="1:25" ht="12" thickTop="1" x14ac:dyDescent="0.15">
      <c r="B2" s="3" t="s">
        <v>0</v>
      </c>
      <c r="C2" s="4">
        <v>43111</v>
      </c>
      <c r="R2" s="6">
        <v>2000</v>
      </c>
    </row>
    <row r="3" spans="1:25" ht="13.5" x14ac:dyDescent="0.15">
      <c r="A3" s="39" t="s">
        <v>194</v>
      </c>
      <c r="B3" s="3" t="s">
        <v>1</v>
      </c>
      <c r="C3" s="3">
        <v>0.02</v>
      </c>
      <c r="R3" s="6">
        <f>R2*0.03</f>
        <v>60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5" ht="12.75" thickTop="1" thickBot="1" x14ac:dyDescent="0.2">
      <c r="B7" s="18" t="s">
        <v>170</v>
      </c>
      <c r="C7" s="18" t="s">
        <v>2</v>
      </c>
      <c r="D7" s="17" t="s">
        <v>181</v>
      </c>
      <c r="E7" s="17" t="s">
        <v>180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182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22</v>
      </c>
      <c r="E8" s="21">
        <f t="shared" ref="E8:E21" ca="1" si="0">TODAY()</f>
        <v>43189</v>
      </c>
      <c r="F8" s="21">
        <f ca="1">E8+H8</f>
        <v>43269</v>
      </c>
      <c r="G8" s="19">
        <v>3800</v>
      </c>
      <c r="H8" s="19">
        <v>80</v>
      </c>
      <c r="I8" s="22">
        <f>H8/365</f>
        <v>0.21917808219178081</v>
      </c>
      <c r="J8" s="22">
        <v>0</v>
      </c>
      <c r="K8" s="23">
        <v>0.3</v>
      </c>
      <c r="L8" s="24">
        <f>_xll.dnetGBlackScholesNGreeks("price",$Q8,$P8,$G8,$I8,$C$3,$J8,$K8,$C$4)*R8</f>
        <v>-86.144019145592438</v>
      </c>
      <c r="M8" s="25"/>
      <c r="N8" s="24">
        <f>M8/10000*I8*P8</f>
        <v>0</v>
      </c>
      <c r="O8" s="24">
        <f>IF(L8&lt;=0,ABS(L8)+N8,L8-N8)</f>
        <v>86.144019145592438</v>
      </c>
      <c r="P8" s="20">
        <f>RTD("wdf.rtq",,D8,"LastPrice")</f>
        <v>3494</v>
      </c>
      <c r="Q8" s="19" t="s">
        <v>27</v>
      </c>
      <c r="R8" s="19">
        <f>IF(S8="中金买入",1,-1)</f>
        <v>-1</v>
      </c>
      <c r="S8" s="19" t="s">
        <v>31</v>
      </c>
      <c r="T8" s="26">
        <f>O8/P8</f>
        <v>2.465484234275685E-2</v>
      </c>
      <c r="U8" s="24">
        <f>_xll.dnetGBlackScholesNGreeks("delta",$Q8,$P8,$G8,$I8,$C$3,$J8,$K8,$C$4)*R8</f>
        <v>-0.29760638897187164</v>
      </c>
      <c r="V8" s="24">
        <f>_xll.dnetGBlackScholesNGreeks("vega",$Q8,$P8,$G8,$I8,$C$3,$J8,$K8,$C$4)*R8</f>
        <v>-5.652262468261938</v>
      </c>
    </row>
    <row r="9" spans="1:25" ht="10.5" customHeight="1" x14ac:dyDescent="0.15">
      <c r="A9" s="34"/>
      <c r="B9" s="13" t="s">
        <v>172</v>
      </c>
      <c r="C9" s="10" t="s">
        <v>161</v>
      </c>
      <c r="D9" s="10" t="s">
        <v>221</v>
      </c>
      <c r="E9" s="8">
        <f t="shared" ca="1" si="0"/>
        <v>43189</v>
      </c>
      <c r="F9" s="8">
        <f t="shared" ref="F9" ca="1" si="1">E9+H9</f>
        <v>43280</v>
      </c>
      <c r="G9" s="10">
        <v>11500</v>
      </c>
      <c r="H9" s="10">
        <v>91</v>
      </c>
      <c r="I9" s="12">
        <f>H9/365</f>
        <v>0.24931506849315069</v>
      </c>
      <c r="J9" s="12">
        <v>0</v>
      </c>
      <c r="K9" s="9">
        <v>0.21</v>
      </c>
      <c r="L9" s="13">
        <f>_xll.dnetGBlackScholesNGreeks("price",$Q9,$P9,$G9,$I9,$C$3,$J9,$K9,$C$4)*R9</f>
        <v>-16.660535922061911</v>
      </c>
      <c r="M9" s="15"/>
      <c r="N9" s="13">
        <f t="shared" ref="N9" si="2">M9/10000*I9*P9</f>
        <v>0</v>
      </c>
      <c r="O9" s="13">
        <f t="shared" ref="O9" si="3">IF(L9&lt;=0,ABS(L9)+N9,L9-N9)</f>
        <v>16.660535922061911</v>
      </c>
      <c r="P9" s="11">
        <f>RTD("wdf.rtq",,D9,"LastPrice")</f>
        <v>13960</v>
      </c>
      <c r="Q9" s="10" t="s">
        <v>85</v>
      </c>
      <c r="R9" s="10">
        <f t="shared" ref="R9" si="4">IF(S9="中金买入",1,-1)</f>
        <v>-1</v>
      </c>
      <c r="S9" s="10" t="s">
        <v>20</v>
      </c>
      <c r="T9" s="14">
        <f t="shared" ref="T9" si="5">O9/P9</f>
        <v>1.193448131952859E-3</v>
      </c>
      <c r="U9" s="13">
        <f>_xll.dnetGBlackScholesNGreeks("delta",$Q9,$P9,$G9,$I9,$C$3,$J9,$K9,$C$4)*R9</f>
        <v>2.8499129834358428E-2</v>
      </c>
      <c r="V9" s="13">
        <f>_xll.dnetGBlackScholesNGreeks("vega",$Q9,$P9,$G9,$I9,$C$3,$J9,$K9,$C$4)*R9</f>
        <v>-4.543504719264746</v>
      </c>
      <c r="X9" s="6">
        <f>2000*U9</f>
        <v>56.998259668716855</v>
      </c>
    </row>
    <row r="11" spans="1:25" ht="10.5" customHeight="1" x14ac:dyDescent="0.15">
      <c r="A11" s="34"/>
      <c r="B11" s="13" t="s">
        <v>172</v>
      </c>
      <c r="C11" s="10" t="s">
        <v>161</v>
      </c>
      <c r="D11" s="10" t="s">
        <v>223</v>
      </c>
      <c r="E11" s="8">
        <f t="shared" ca="1" si="0"/>
        <v>43189</v>
      </c>
      <c r="F11" s="8">
        <f t="shared" ref="F11:F12" ca="1" si="6">E11+H11</f>
        <v>43204</v>
      </c>
      <c r="G11" s="10">
        <v>278.35000000000002</v>
      </c>
      <c r="H11" s="10">
        <v>15</v>
      </c>
      <c r="I11" s="12">
        <f>(H11-2)/365</f>
        <v>3.5616438356164383E-2</v>
      </c>
      <c r="J11" s="12">
        <v>0</v>
      </c>
      <c r="K11" s="9">
        <v>0.09</v>
      </c>
      <c r="L11" s="13">
        <f>_xll.dnetGBlackScholesNGreeks("price",$Q11,$P11,$G11,$I11,$C$3,$J11,$K11,$C$4)*R11</f>
        <v>0.12697194127405709</v>
      </c>
      <c r="M11" s="15"/>
      <c r="N11" s="13">
        <f t="shared" ref="N11:N12" si="7">M11/10000*I11*P11</f>
        <v>0</v>
      </c>
      <c r="O11" s="13">
        <f t="shared" ref="O11:O12" si="8">IF(L11&lt;=0,ABS(L11)+N11,L11-N11)</f>
        <v>0.12697194127405709</v>
      </c>
      <c r="P11" s="11">
        <f>RTD("wdf.rtq",,D11,"LastPrice")</f>
        <v>271.2</v>
      </c>
      <c r="Q11" s="10" t="s">
        <v>39</v>
      </c>
      <c r="R11" s="10">
        <f t="shared" ref="R11:R12" si="9">IF(S11="中金买入",1,-1)</f>
        <v>1</v>
      </c>
      <c r="S11" s="10" t="s">
        <v>151</v>
      </c>
      <c r="T11" s="14">
        <f t="shared" ref="T11:T12" si="10">O11/P11</f>
        <v>4.6818562416687718E-4</v>
      </c>
      <c r="U11" s="13">
        <f>_xll.dnetGBlackScholesNGreeks("delta",$Q11,$P11,$G11,$I11,$C$3,$J11,$K11,$C$4)*R11</f>
        <v>6.3758790269652366E-2</v>
      </c>
      <c r="V11" s="13">
        <f>_xll.dnetGBlackScholesNGreeks("vega",$Q11,$P11,$G11,$I11,$C$3,$J11,$K11,$C$4)*R11</f>
        <v>6.3724321152578867E-2</v>
      </c>
      <c r="X11" s="6">
        <f>2000*U11</f>
        <v>127.51758053930473</v>
      </c>
    </row>
    <row r="12" spans="1:25" ht="10.5" customHeight="1" x14ac:dyDescent="0.15">
      <c r="A12" s="34"/>
      <c r="B12" s="13" t="s">
        <v>172</v>
      </c>
      <c r="C12" s="10" t="s">
        <v>161</v>
      </c>
      <c r="D12" s="10" t="s">
        <v>223</v>
      </c>
      <c r="E12" s="8">
        <f t="shared" ca="1" si="0"/>
        <v>43189</v>
      </c>
      <c r="F12" s="8">
        <f t="shared" ca="1" si="6"/>
        <v>43204</v>
      </c>
      <c r="G12" s="10">
        <v>274.95</v>
      </c>
      <c r="H12" s="10">
        <v>15</v>
      </c>
      <c r="I12" s="12">
        <f>(H12-2)/365</f>
        <v>3.5616438356164383E-2</v>
      </c>
      <c r="J12" s="12">
        <v>0</v>
      </c>
      <c r="K12" s="9">
        <v>0.09</v>
      </c>
      <c r="L12" s="13">
        <f>_xll.dnetGBlackScholesNGreeks("price",$Q12,$P12,$G12,$I12,$C$3,$J12,$K12,$C$4)*R12</f>
        <v>4.2961404036465467</v>
      </c>
      <c r="M12" s="15"/>
      <c r="N12" s="13">
        <f t="shared" si="7"/>
        <v>0</v>
      </c>
      <c r="O12" s="13">
        <f t="shared" si="8"/>
        <v>4.2961404036465467</v>
      </c>
      <c r="P12" s="11">
        <f>RTD("wdf.rtq",,D12,"LastPrice")</f>
        <v>271.2</v>
      </c>
      <c r="Q12" s="10" t="s">
        <v>85</v>
      </c>
      <c r="R12" s="10">
        <f t="shared" si="9"/>
        <v>1</v>
      </c>
      <c r="S12" s="10" t="s">
        <v>151</v>
      </c>
      <c r="T12" s="14">
        <f t="shared" si="10"/>
        <v>1.5841225677162785E-2</v>
      </c>
      <c r="U12" s="13">
        <f>_xll.dnetGBlackScholesNGreeks("delta",$Q12,$P12,$G12,$I12,$C$3,$J12,$K12,$C$4)*R12</f>
        <v>-0.78758987617533194</v>
      </c>
      <c r="V12" s="13">
        <f>_xll.dnetGBlackScholesNGreeks("vega",$Q12,$P12,$G12,$I12,$C$3,$J12,$K12,$C$4)*R12</f>
        <v>0.14769094333608734</v>
      </c>
      <c r="X12" s="6">
        <f>2000*U12</f>
        <v>-1575.1797523506639</v>
      </c>
    </row>
    <row r="14" spans="1:25" ht="10.5" customHeight="1" x14ac:dyDescent="0.15">
      <c r="A14" s="34"/>
      <c r="B14" s="13" t="s">
        <v>172</v>
      </c>
      <c r="C14" s="10" t="s">
        <v>161</v>
      </c>
      <c r="D14" s="10" t="s">
        <v>236</v>
      </c>
      <c r="E14" s="8">
        <f t="shared" ca="1" si="0"/>
        <v>43189</v>
      </c>
      <c r="F14" s="8">
        <f t="shared" ref="F14" ca="1" si="11">E14+H14</f>
        <v>43273</v>
      </c>
      <c r="G14" s="10">
        <v>11500</v>
      </c>
      <c r="H14" s="10">
        <v>84</v>
      </c>
      <c r="I14" s="12">
        <f>(H14)/365</f>
        <v>0.23013698630136986</v>
      </c>
      <c r="J14" s="12">
        <v>0</v>
      </c>
      <c r="K14" s="9">
        <v>0.22</v>
      </c>
      <c r="L14" s="13">
        <f>_xll.dnetGBlackScholesNGreeks("price",$Q14,$P14,$G14,$I14,$C$3,$J14,$K14,$C$4)*R14</f>
        <v>-17.295843423896429</v>
      </c>
      <c r="M14" s="15"/>
      <c r="N14" s="13">
        <f t="shared" ref="N14" si="12">M14/10000*I14*P14</f>
        <v>0</v>
      </c>
      <c r="O14" s="13">
        <f t="shared" ref="O14" si="13">IF(L14&lt;=0,ABS(L14)+N14,L14-N14)</f>
        <v>17.295843423896429</v>
      </c>
      <c r="P14" s="11">
        <f>RTD("wdf.rtq",,D14,"LastPrice")</f>
        <v>13960</v>
      </c>
      <c r="Q14" s="10" t="s">
        <v>85</v>
      </c>
      <c r="R14" s="10">
        <f t="shared" ref="R14" si="14">IF(S14="中金买入",1,-1)</f>
        <v>-1</v>
      </c>
      <c r="S14" s="10" t="s">
        <v>20</v>
      </c>
      <c r="T14" s="14">
        <f t="shared" ref="T14" si="15">O14/P14</f>
        <v>1.2389572653220937E-3</v>
      </c>
      <c r="U14" s="157">
        <f>_xll.dnetGBlackScholesNGreeks("delta",$Q14,$P14,$G14,$I14,$C$3,$J14,$K14,$C$4)*R14</f>
        <v>2.9276672026412598E-2</v>
      </c>
      <c r="V14" s="13">
        <f>_xll.dnetGBlackScholesNGreeks("vega",$Q14,$P14,$G14,$I14,$C$3,$J14,$K14,$C$4)*R14</f>
        <v>-4.463818540155728</v>
      </c>
      <c r="X14" s="6">
        <f>2000*U14</f>
        <v>58.553344052825196</v>
      </c>
    </row>
    <row r="15" spans="1:25" ht="10.5" customHeight="1" x14ac:dyDescent="0.15">
      <c r="A15" s="34"/>
      <c r="B15" s="13"/>
      <c r="C15" s="10"/>
      <c r="D15" s="10"/>
      <c r="E15" s="8"/>
      <c r="F15" s="8"/>
      <c r="G15" s="158"/>
      <c r="H15" s="10"/>
      <c r="I15" s="12"/>
      <c r="J15" s="12"/>
      <c r="K15" s="9"/>
      <c r="L15" s="13"/>
      <c r="M15" s="15"/>
      <c r="N15" s="13"/>
      <c r="O15" s="13"/>
      <c r="P15" s="11"/>
      <c r="Q15" s="10"/>
      <c r="R15" s="10"/>
      <c r="S15" s="10"/>
      <c r="T15" s="14"/>
      <c r="U15" s="13"/>
      <c r="V15" s="13"/>
    </row>
    <row r="16" spans="1:25" ht="10.5" customHeight="1" x14ac:dyDescent="0.15">
      <c r="A16" s="34"/>
      <c r="B16" s="13"/>
      <c r="C16" s="10"/>
      <c r="D16" s="10"/>
      <c r="E16" s="8"/>
      <c r="F16" s="8"/>
      <c r="G16" s="10"/>
      <c r="H16" s="10"/>
      <c r="I16" s="12"/>
      <c r="J16" s="12"/>
      <c r="K16" s="9"/>
      <c r="L16" s="13"/>
      <c r="M16" s="15"/>
      <c r="N16" s="13"/>
      <c r="O16" s="13"/>
      <c r="P16" s="11"/>
      <c r="Q16" s="10"/>
      <c r="R16" s="10"/>
      <c r="S16" s="10"/>
      <c r="T16" s="14"/>
      <c r="U16" s="13"/>
      <c r="V16" s="13"/>
    </row>
    <row r="17" spans="1:22" ht="10.5" customHeight="1" x14ac:dyDescent="0.15">
      <c r="A17" s="34"/>
      <c r="B17" s="13"/>
      <c r="C17" s="10"/>
      <c r="D17" s="10"/>
      <c r="E17" s="8"/>
      <c r="F17" s="8"/>
      <c r="G17" s="10"/>
      <c r="H17" s="10"/>
      <c r="I17" s="12"/>
      <c r="J17" s="12"/>
      <c r="K17" s="9"/>
      <c r="L17" s="13"/>
      <c r="M17" s="15"/>
      <c r="N17" s="13"/>
      <c r="O17" s="13"/>
      <c r="P17" s="11"/>
      <c r="Q17" s="10"/>
      <c r="R17" s="10"/>
      <c r="S17" s="10"/>
      <c r="T17" s="14"/>
      <c r="U17" s="13"/>
      <c r="V17" s="13"/>
    </row>
    <row r="18" spans="1:22" ht="10.5" customHeight="1" x14ac:dyDescent="0.15">
      <c r="A18" s="34"/>
      <c r="B18" s="13"/>
      <c r="C18" s="10"/>
      <c r="D18" s="10"/>
      <c r="E18" s="8"/>
      <c r="F18" s="8"/>
      <c r="G18" s="10"/>
      <c r="H18" s="10"/>
      <c r="I18" s="12"/>
      <c r="J18" s="12"/>
      <c r="K18" s="9"/>
      <c r="L18" s="13"/>
      <c r="M18" s="15"/>
      <c r="N18" s="13"/>
      <c r="O18" s="13"/>
      <c r="P18" s="11"/>
      <c r="Q18" s="10"/>
      <c r="R18" s="10"/>
      <c r="S18" s="10"/>
      <c r="T18" s="14"/>
      <c r="U18" s="13"/>
      <c r="V18" s="13"/>
    </row>
    <row r="20" spans="1:22" ht="10.5" customHeight="1" x14ac:dyDescent="0.15">
      <c r="A20" s="34"/>
      <c r="B20" s="13"/>
      <c r="C20" s="10"/>
      <c r="D20" s="10"/>
      <c r="E20" s="8"/>
      <c r="F20" s="8"/>
      <c r="G20" s="10"/>
      <c r="H20" s="10"/>
      <c r="I20" s="12"/>
      <c r="J20" s="12"/>
      <c r="K20" s="9"/>
      <c r="L20" s="13"/>
      <c r="M20" s="15"/>
      <c r="N20" s="13"/>
      <c r="O20" s="13"/>
      <c r="P20" s="11"/>
      <c r="Q20" s="10"/>
      <c r="R20" s="10"/>
      <c r="S20" s="10"/>
      <c r="T20" s="14"/>
      <c r="U20" s="13"/>
      <c r="V20" s="13"/>
    </row>
    <row r="21" spans="1:22" ht="10.5" customHeight="1" x14ac:dyDescent="0.15">
      <c r="A21" s="34"/>
      <c r="B21" s="13"/>
      <c r="C21" s="10"/>
      <c r="D21" s="10"/>
      <c r="E21" s="8"/>
      <c r="F21" s="8"/>
      <c r="G21" s="10"/>
      <c r="H21" s="10"/>
      <c r="I21" s="12"/>
      <c r="J21" s="12"/>
      <c r="K21" s="9"/>
      <c r="L21" s="13"/>
      <c r="M21" s="15"/>
      <c r="N21" s="13"/>
      <c r="O21" s="13"/>
      <c r="P21" s="11"/>
      <c r="Q21" s="10"/>
      <c r="R21" s="10"/>
      <c r="S21" s="10"/>
      <c r="T21" s="14"/>
      <c r="U21" s="13"/>
      <c r="V21" s="13"/>
    </row>
    <row r="23" spans="1:22" ht="10.5" customHeight="1" x14ac:dyDescent="0.15">
      <c r="A23" s="34"/>
      <c r="B23" s="13"/>
      <c r="C23" s="10"/>
      <c r="D23" s="10"/>
      <c r="E23" s="8"/>
      <c r="F23" s="8"/>
      <c r="G23" s="10"/>
      <c r="H23" s="10"/>
      <c r="I23" s="12"/>
      <c r="J23" s="12"/>
      <c r="K23" s="9"/>
      <c r="L23" s="13"/>
      <c r="M23" s="15"/>
      <c r="N23" s="13"/>
      <c r="O23" s="13"/>
      <c r="P23" s="11"/>
      <c r="Q23" s="10"/>
      <c r="R23" s="10"/>
      <c r="S23" s="10"/>
      <c r="T23" s="14"/>
      <c r="U23" s="13"/>
      <c r="V23" s="13"/>
    </row>
    <row r="24" spans="1:22" ht="10.5" customHeight="1" x14ac:dyDescent="0.15">
      <c r="A24" s="34"/>
      <c r="B24" s="13"/>
      <c r="C24" s="10"/>
      <c r="D24" s="10"/>
      <c r="E24" s="8"/>
      <c r="F24" s="8"/>
      <c r="G24" s="10"/>
      <c r="H24" s="10"/>
      <c r="I24" s="12"/>
      <c r="J24" s="12"/>
      <c r="K24" s="9"/>
      <c r="L24" s="13"/>
      <c r="M24" s="15"/>
      <c r="N24" s="13"/>
      <c r="O24" s="13"/>
      <c r="P24" s="11"/>
      <c r="Q24" s="10"/>
      <c r="R24" s="10"/>
      <c r="S24" s="10"/>
      <c r="T24" s="14"/>
      <c r="U24" s="13"/>
      <c r="V24" s="13"/>
    </row>
    <row r="25" spans="1:22" ht="10.5" customHeight="1" x14ac:dyDescent="0.15">
      <c r="A25" s="34"/>
      <c r="B25" s="13"/>
      <c r="C25" s="10"/>
      <c r="D25" s="10"/>
      <c r="E25" s="8"/>
      <c r="F25" s="8"/>
      <c r="G25" s="10"/>
      <c r="H25" s="10"/>
      <c r="I25" s="12"/>
      <c r="J25" s="12"/>
      <c r="K25" s="9"/>
      <c r="L25" s="13"/>
      <c r="M25" s="15"/>
      <c r="N25" s="13"/>
      <c r="O25" s="13"/>
      <c r="P25" s="11"/>
      <c r="Q25" s="10"/>
      <c r="R25" s="10"/>
      <c r="S25" s="10"/>
      <c r="T25" s="14"/>
      <c r="U25" s="13"/>
      <c r="V25" s="13"/>
    </row>
    <row r="27" spans="1:22" ht="10.5" customHeight="1" x14ac:dyDescent="0.15">
      <c r="A27" s="34"/>
      <c r="B27" s="13"/>
      <c r="C27" s="10"/>
      <c r="D27" s="10"/>
      <c r="E27" s="8"/>
      <c r="F27" s="8"/>
      <c r="G27" s="10"/>
      <c r="H27" s="10"/>
      <c r="I27" s="12"/>
      <c r="J27" s="12"/>
      <c r="K27" s="9"/>
      <c r="L27" s="13"/>
      <c r="M27" s="15"/>
      <c r="N27" s="13"/>
      <c r="O27" s="13"/>
      <c r="P27" s="11"/>
      <c r="Q27" s="10"/>
      <c r="R27" s="10"/>
      <c r="S27" s="10"/>
      <c r="T27" s="14"/>
      <c r="U27" s="13"/>
      <c r="V27" s="13"/>
    </row>
    <row r="28" spans="1:22" ht="10.5" customHeight="1" x14ac:dyDescent="0.15">
      <c r="A28" s="34"/>
      <c r="B28" s="13"/>
      <c r="C28" s="10"/>
      <c r="D28" s="10"/>
      <c r="E28" s="8"/>
      <c r="F28" s="8"/>
      <c r="G28" s="10"/>
      <c r="H28" s="10"/>
      <c r="I28" s="12"/>
      <c r="J28" s="12"/>
      <c r="K28" s="9"/>
      <c r="L28" s="13"/>
      <c r="M28" s="15"/>
      <c r="N28" s="13"/>
      <c r="O28" s="13"/>
      <c r="P28" s="11"/>
      <c r="Q28" s="10"/>
      <c r="R28" s="10"/>
      <c r="S28" s="10"/>
      <c r="T28" s="14"/>
      <c r="U28" s="13"/>
      <c r="V28" s="13"/>
    </row>
    <row r="29" spans="1:22" x14ac:dyDescent="0.15">
      <c r="L29" s="120"/>
    </row>
    <row r="30" spans="1:22" ht="10.5" customHeight="1" x14ac:dyDescent="0.15">
      <c r="A30" s="34"/>
      <c r="B30" s="13"/>
      <c r="C30" s="10"/>
      <c r="D30" s="10"/>
      <c r="E30" s="8"/>
      <c r="F30" s="8"/>
      <c r="G30" s="10"/>
      <c r="H30" s="10"/>
      <c r="I30" s="12"/>
      <c r="J30" s="12"/>
      <c r="K30" s="9"/>
      <c r="L30" s="13"/>
      <c r="M30" s="15"/>
      <c r="N30" s="13"/>
      <c r="O30" s="13"/>
      <c r="P30" s="11"/>
      <c r="Q30" s="10"/>
      <c r="R30" s="10"/>
      <c r="S30" s="10"/>
      <c r="T30" s="14"/>
      <c r="U30" s="13"/>
      <c r="V30" s="13"/>
    </row>
    <row r="31" spans="1:22" ht="10.5" customHeight="1" x14ac:dyDescent="0.15">
      <c r="A31" s="34"/>
      <c r="B31" s="13"/>
      <c r="C31" s="10"/>
      <c r="D31" s="10"/>
      <c r="E31" s="8"/>
      <c r="F31" s="8"/>
      <c r="G31" s="10"/>
      <c r="H31" s="10"/>
      <c r="I31" s="12"/>
      <c r="J31" s="12"/>
      <c r="K31" s="9"/>
      <c r="L31" s="13"/>
      <c r="M31" s="15"/>
      <c r="N31" s="13"/>
      <c r="O31" s="13"/>
      <c r="P31" s="11"/>
      <c r="Q31" s="10"/>
      <c r="R31" s="10"/>
      <c r="S31" s="10"/>
      <c r="T31" s="14"/>
      <c r="U31" s="13"/>
      <c r="V31" s="13"/>
    </row>
    <row r="33" spans="1:22" ht="10.5" customHeight="1" x14ac:dyDescent="0.15">
      <c r="A33" s="34"/>
      <c r="B33" s="13"/>
      <c r="C33" s="10"/>
      <c r="D33" s="10"/>
      <c r="E33" s="8"/>
      <c r="F33" s="8"/>
      <c r="G33" s="10"/>
      <c r="H33" s="10"/>
      <c r="I33" s="12"/>
      <c r="J33" s="12"/>
      <c r="K33" s="9"/>
      <c r="L33" s="13"/>
      <c r="M33" s="15"/>
      <c r="N33" s="13"/>
      <c r="O33" s="13"/>
      <c r="P33" s="11"/>
      <c r="Q33" s="10"/>
      <c r="R33" s="10"/>
      <c r="S33" s="10"/>
      <c r="T33" s="14"/>
      <c r="U33" s="13"/>
      <c r="V33" s="13"/>
    </row>
    <row r="34" spans="1:22" s="121" customFormat="1" ht="10.5" customHeight="1" x14ac:dyDescent="0.15">
      <c r="B34" s="122"/>
      <c r="C34" s="123"/>
      <c r="D34" s="123"/>
      <c r="E34" s="124"/>
      <c r="F34" s="124"/>
      <c r="G34" s="123"/>
      <c r="H34" s="123"/>
      <c r="I34" s="125"/>
      <c r="J34" s="125"/>
      <c r="K34" s="126"/>
      <c r="L34" s="122"/>
      <c r="M34" s="127"/>
      <c r="N34" s="122"/>
      <c r="O34" s="122"/>
      <c r="P34" s="128"/>
      <c r="Q34" s="123"/>
      <c r="R34" s="123"/>
      <c r="S34" s="123"/>
      <c r="T34" s="129"/>
      <c r="U34" s="122"/>
      <c r="V34" s="122"/>
    </row>
    <row r="38" spans="1:22" x14ac:dyDescent="0.15">
      <c r="C38" s="130"/>
    </row>
    <row r="40" spans="1:22" x14ac:dyDescent="0.15">
      <c r="D40" s="131"/>
    </row>
    <row r="42" spans="1:22" x14ac:dyDescent="0.15">
      <c r="D42" s="131"/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S8:S9 S11:S12 S33:S34 S23:S25 S20:S21 S27:S28 S30:S31 S14:S18</xm:sqref>
        </x14:dataValidation>
        <x14:dataValidation type="list" allowBlank="1" showInputMessage="1" showErrorMessage="1">
          <x14:formula1>
            <xm:f>configs!$C$1:$C$2</xm:f>
          </x14:formula1>
          <xm:sqref>Q8:Q9 Q11:Q12 Q33:Q34 Q23:Q25 Q20:Q21 Q27:Q28 Q30:Q31 Q14:Q18</xm:sqref>
        </x14:dataValidation>
        <x14:dataValidation type="list" allowBlank="1" showInputMessage="1">
          <x14:formula1>
            <xm:f>configs!$A$1:$A$36</xm:f>
          </x14:formula1>
          <xm:sqref>C8:C9 C11:C12 C33:C34 C23:C25 C20:C21 C27:C28 C30:C31 C14:C18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43"/>
  <sheetViews>
    <sheetView topLeftCell="A25" zoomScale="85" zoomScaleNormal="85" workbookViewId="0">
      <selection activeCell="N48" sqref="N48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9" style="6"/>
    <col min="5" max="5" width="11.625" style="6" bestFit="1" customWidth="1"/>
    <col min="6" max="6" width="10.5" style="6" bestFit="1" customWidth="1"/>
    <col min="7" max="7" width="11.5" style="6" customWidth="1"/>
    <col min="8" max="9" width="8.125" style="6" customWidth="1"/>
    <col min="10" max="10" width="9.25" style="6" bestFit="1" customWidth="1"/>
    <col min="11" max="11" width="7.25" style="6" customWidth="1"/>
    <col min="12" max="12" width="9.25" style="6" bestFit="1" customWidth="1"/>
    <col min="13" max="13" width="10.125" style="6" customWidth="1"/>
    <col min="14" max="14" width="6.5" style="6" customWidth="1"/>
    <col min="15" max="15" width="15.25" style="6" customWidth="1"/>
    <col min="16" max="16" width="10.5" style="6" bestFit="1" customWidth="1"/>
    <col min="17" max="17" width="9" style="6"/>
    <col min="18" max="18" width="9.375" style="6" customWidth="1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 x14ac:dyDescent="0.2">
      <c r="B1" s="155" t="s">
        <v>37</v>
      </c>
      <c r="C1" s="154"/>
    </row>
    <row r="2" spans="1:22" ht="12" thickTop="1" x14ac:dyDescent="0.15">
      <c r="B2" s="29" t="s">
        <v>0</v>
      </c>
      <c r="C2" s="4">
        <v>43061</v>
      </c>
    </row>
    <row r="3" spans="1:22" x14ac:dyDescent="0.15">
      <c r="B3" s="29" t="s">
        <v>1</v>
      </c>
      <c r="C3" s="29">
        <v>0.02</v>
      </c>
    </row>
    <row r="4" spans="1:22" ht="12" thickBot="1" x14ac:dyDescent="0.2">
      <c r="B4" s="30" t="s">
        <v>18</v>
      </c>
      <c r="C4" s="30">
        <v>0.01</v>
      </c>
    </row>
    <row r="5" spans="1:22" ht="12" thickTop="1" x14ac:dyDescent="0.15"/>
    <row r="6" spans="1:22" ht="12" thickBo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 x14ac:dyDescent="0.2">
      <c r="A7" s="39"/>
      <c r="B7" s="40" t="s">
        <v>29</v>
      </c>
      <c r="C7" s="40" t="s">
        <v>2</v>
      </c>
      <c r="D7" s="41" t="s">
        <v>181</v>
      </c>
      <c r="E7" s="41" t="s">
        <v>183</v>
      </c>
      <c r="F7" s="41" t="s">
        <v>10</v>
      </c>
      <c r="G7" s="41" t="s">
        <v>7</v>
      </c>
      <c r="H7" s="41" t="s">
        <v>11</v>
      </c>
      <c r="I7" s="41" t="s">
        <v>12</v>
      </c>
      <c r="J7" s="41" t="s">
        <v>47</v>
      </c>
      <c r="K7" s="41" t="s">
        <v>13</v>
      </c>
      <c r="L7" s="41" t="s">
        <v>14</v>
      </c>
      <c r="M7" s="41" t="s">
        <v>26</v>
      </c>
      <c r="N7" s="41" t="s">
        <v>28</v>
      </c>
      <c r="O7" s="41" t="s">
        <v>182</v>
      </c>
      <c r="P7" s="41" t="s">
        <v>8</v>
      </c>
      <c r="Q7" s="41" t="s">
        <v>23</v>
      </c>
      <c r="R7" s="41"/>
      <c r="S7" s="41" t="s">
        <v>30</v>
      </c>
      <c r="T7" s="40" t="s">
        <v>33</v>
      </c>
      <c r="U7" s="40" t="s">
        <v>16</v>
      </c>
      <c r="V7" s="40" t="s">
        <v>17</v>
      </c>
    </row>
    <row r="8" spans="1:22" ht="14.25" thickTop="1" x14ac:dyDescent="0.15">
      <c r="A8" s="42"/>
      <c r="B8" s="43" t="s">
        <v>173</v>
      </c>
      <c r="C8" s="44" t="s">
        <v>160</v>
      </c>
      <c r="D8" s="44" t="s">
        <v>159</v>
      </c>
      <c r="E8" s="46">
        <f ca="1">TODAY()</f>
        <v>43189</v>
      </c>
      <c r="F8" s="46">
        <f ca="1">E8+H8</f>
        <v>43219</v>
      </c>
      <c r="G8" s="44">
        <v>100</v>
      </c>
      <c r="H8" s="44">
        <v>30</v>
      </c>
      <c r="I8" s="47">
        <f>H8/365</f>
        <v>8.2191780821917804E-2</v>
      </c>
      <c r="J8" s="47">
        <v>0</v>
      </c>
      <c r="K8" s="48">
        <v>0.32</v>
      </c>
      <c r="L8" s="43">
        <f>_xll.dnetGBlackScholesNGreeks("price",$Q8,$P8,$G8,$I8,$C$3,$J8,$K8,$C$4)*R8</f>
        <v>-3.6526499295562971</v>
      </c>
      <c r="M8" s="49"/>
      <c r="N8" s="43"/>
      <c r="O8" s="43">
        <f t="shared" ref="O8:O13" si="0">IF(L8&lt;=0,ABS(L8)+N8,L8-N8)</f>
        <v>3.6526499295562971</v>
      </c>
      <c r="P8" s="45">
        <v>100</v>
      </c>
      <c r="Q8" s="44" t="s">
        <v>39</v>
      </c>
      <c r="R8" s="44">
        <f>IF(S8="中金买入",1,-1)</f>
        <v>-1</v>
      </c>
      <c r="S8" s="48" t="s">
        <v>20</v>
      </c>
      <c r="T8" s="50"/>
      <c r="U8" s="43">
        <f>_xll.dnetGBlackScholesNGreeks("delta",$Q8,$P8,$G8,$I8,$C$3,$J8,$K8,$C$4)*R8</f>
        <v>-0.51744199617651532</v>
      </c>
      <c r="V8" s="43">
        <f>_xll.dnetGBlackScholesNGreeks("vega",$Q8,$P8,$G8,$I8,$C$3,$J8,$K8,$C$4)*R8</f>
        <v>-0.11406523569462124</v>
      </c>
    </row>
    <row r="9" spans="1:22" ht="13.5" x14ac:dyDescent="0.15">
      <c r="A9" s="42"/>
      <c r="B9" s="51" t="s">
        <v>174</v>
      </c>
      <c r="C9" s="52" t="s">
        <v>160</v>
      </c>
      <c r="D9" s="52" t="s">
        <v>159</v>
      </c>
      <c r="E9" s="54">
        <f ca="1">E8</f>
        <v>43189</v>
      </c>
      <c r="F9" s="54">
        <f ca="1">F8</f>
        <v>43219</v>
      </c>
      <c r="G9" s="52">
        <v>100</v>
      </c>
      <c r="H9" s="52">
        <f>H8</f>
        <v>30</v>
      </c>
      <c r="I9" s="55">
        <f>H9/365</f>
        <v>8.2191780821917804E-2</v>
      </c>
      <c r="J9" s="55">
        <f>J8</f>
        <v>0</v>
      </c>
      <c r="K9" s="56">
        <v>0.3</v>
      </c>
      <c r="L9" s="51">
        <f>_xll.dnetGBlackScholesNGreeks("price",$Q9,$P9,$G9,$I9,$C$3,$J9,$K9,$C$4)*R9</f>
        <v>3.4245046917201378</v>
      </c>
      <c r="M9" s="57"/>
      <c r="N9" s="51"/>
      <c r="O9" s="51">
        <f t="shared" si="0"/>
        <v>3.4245046917201378</v>
      </c>
      <c r="P9" s="53">
        <v>100</v>
      </c>
      <c r="Q9" s="52" t="s">
        <v>39</v>
      </c>
      <c r="R9" s="52">
        <f>IF(S9="中金买入",1,-1)</f>
        <v>1</v>
      </c>
      <c r="S9" s="56" t="s">
        <v>151</v>
      </c>
      <c r="T9" s="58"/>
      <c r="U9" s="51">
        <f>_xll.dnetGBlackScholesNGreeks("delta",$Q9,$P9,$G9,$I9,$C$3,$J9,$K9,$C$4)*R9</f>
        <v>0.51630126926376363</v>
      </c>
      <c r="V9" s="51">
        <f>_xll.dnetGBlackScholesNGreeks("vega",$Q9,$P9,$G9,$I9,$C$3,$J9,$K9,$C$4)*R9</f>
        <v>0.11407976820886745</v>
      </c>
    </row>
    <row r="10" spans="1:22" ht="14.25" thickBot="1" x14ac:dyDescent="0.2">
      <c r="A10" s="42"/>
      <c r="B10" s="59" t="s">
        <v>175</v>
      </c>
      <c r="C10" s="60" t="s">
        <v>160</v>
      </c>
      <c r="D10" s="60" t="str">
        <f>D9</f>
        <v>RB1805</v>
      </c>
      <c r="E10" s="62">
        <f ca="1">E9</f>
        <v>43189</v>
      </c>
      <c r="F10" s="62">
        <f ca="1">F9</f>
        <v>43219</v>
      </c>
      <c r="G10" s="60" t="str">
        <f>G8 &amp; "|" &amp; G9</f>
        <v>100|100</v>
      </c>
      <c r="H10" s="60">
        <f>H9</f>
        <v>30</v>
      </c>
      <c r="I10" s="63">
        <f>I9</f>
        <v>8.2191780821917804E-2</v>
      </c>
      <c r="J10" s="63"/>
      <c r="K10" s="60"/>
      <c r="L10" s="59">
        <f>L9+L8</f>
        <v>-0.22814523783615925</v>
      </c>
      <c r="M10" s="60"/>
      <c r="N10" s="59">
        <f>M10/10000*I10*P10</f>
        <v>0</v>
      </c>
      <c r="O10" s="59">
        <f t="shared" si="0"/>
        <v>0.22814523783615925</v>
      </c>
      <c r="P10" s="61">
        <f>P9</f>
        <v>100</v>
      </c>
      <c r="Q10" s="60"/>
      <c r="R10" s="60"/>
      <c r="S10" s="56" t="s">
        <v>151</v>
      </c>
      <c r="T10" s="64">
        <f>O10/P10</f>
        <v>2.2814523783615927E-3</v>
      </c>
      <c r="U10" s="64">
        <f>U9+U8</f>
        <v>-1.1407269127516884E-3</v>
      </c>
      <c r="V10" s="64">
        <f>V9+V8</f>
        <v>1.4532514246212713E-5</v>
      </c>
    </row>
    <row r="11" spans="1:22" ht="14.25" thickTop="1" x14ac:dyDescent="0.15">
      <c r="A11" s="65"/>
      <c r="B11" s="43" t="s">
        <v>173</v>
      </c>
      <c r="C11" s="44" t="s">
        <v>160</v>
      </c>
      <c r="D11" s="44" t="s">
        <v>202</v>
      </c>
      <c r="E11" s="46">
        <f ca="1">TODAY()</f>
        <v>43189</v>
      </c>
      <c r="F11" s="46">
        <f ca="1">E11+H11</f>
        <v>43219</v>
      </c>
      <c r="G11" s="44">
        <v>3300</v>
      </c>
      <c r="H11" s="44">
        <v>30</v>
      </c>
      <c r="I11" s="47">
        <f>H11/365</f>
        <v>8.2191780821917804E-2</v>
      </c>
      <c r="J11" s="47">
        <v>0</v>
      </c>
      <c r="K11" s="48">
        <v>0.22500000000000001</v>
      </c>
      <c r="L11" s="43">
        <f>_xll.dnetGBlackScholesNGreeks("price",$Q11,$P11,$G11,$I11,$C$3,$J11,$K11,$C$4)*R11</f>
        <v>-90.230908575917056</v>
      </c>
      <c r="M11" s="49"/>
      <c r="N11" s="43"/>
      <c r="O11" s="43">
        <f t="shared" si="0"/>
        <v>90.230908575917056</v>
      </c>
      <c r="P11" s="117">
        <f>RTD("wdf.rtq",,D11,"LastPrice")</f>
        <v>3289</v>
      </c>
      <c r="Q11" s="44" t="s">
        <v>85</v>
      </c>
      <c r="R11" s="44">
        <f>IF(S11="中金买入",1,-1)</f>
        <v>-1</v>
      </c>
      <c r="S11" s="48" t="s">
        <v>20</v>
      </c>
      <c r="T11" s="50"/>
      <c r="U11" s="43">
        <f>_xll.dnetGBlackScholesNGreeks("delta",$Q11,$P11,$G11,$I11,$C$3,$J11,$K11,$C$4)*R11</f>
        <v>0.50694834799287491</v>
      </c>
      <c r="V11" s="43">
        <f>_xll.dnetGBlackScholesNGreeks("vega",$Q11,$P11,$G11,$I11,$C$3,$J11,$K11,$C$4)*R11</f>
        <v>-3.754830020574218</v>
      </c>
    </row>
    <row r="12" spans="1:22" ht="13.5" x14ac:dyDescent="0.15">
      <c r="A12" s="65"/>
      <c r="B12" s="51" t="s">
        <v>174</v>
      </c>
      <c r="C12" s="52" t="s">
        <v>160</v>
      </c>
      <c r="D12" s="52" t="str">
        <f t="shared" ref="D12:F13" si="1">D11</f>
        <v>rb1810</v>
      </c>
      <c r="E12" s="54">
        <f t="shared" ca="1" si="1"/>
        <v>43189</v>
      </c>
      <c r="F12" s="54">
        <f t="shared" ca="1" si="1"/>
        <v>43219</v>
      </c>
      <c r="G12" s="52">
        <v>4000</v>
      </c>
      <c r="H12" s="52">
        <f>H11</f>
        <v>30</v>
      </c>
      <c r="I12" s="55">
        <f>H12/365</f>
        <v>8.2191780821917804E-2</v>
      </c>
      <c r="J12" s="55">
        <f>J11</f>
        <v>0</v>
      </c>
      <c r="K12" s="56">
        <v>0.2</v>
      </c>
      <c r="L12" s="51">
        <f>_xll.dnetGBlackScholesNGreeks("price",$Q12,$P12,$G12,$I12,$C$3,$J12,$K12,$C$4)*R12</f>
        <v>1.7080897906434744E-2</v>
      </c>
      <c r="M12" s="57"/>
      <c r="N12" s="51"/>
      <c r="O12" s="51">
        <f t="shared" si="0"/>
        <v>1.7080897906434744E-2</v>
      </c>
      <c r="P12" s="95">
        <f>P11</f>
        <v>3289</v>
      </c>
      <c r="Q12" s="52" t="s">
        <v>39</v>
      </c>
      <c r="R12" s="52">
        <f>IF(S12="中金买入",1,-1)</f>
        <v>1</v>
      </c>
      <c r="S12" s="56" t="s">
        <v>151</v>
      </c>
      <c r="T12" s="58"/>
      <c r="U12" s="51">
        <f>_xll.dnetGBlackScholesNGreeks("delta",$Q12,$P12,$G12,$I12,$C$3,$J12,$K12,$C$4)*R12</f>
        <v>3.5582425913505134E-4</v>
      </c>
      <c r="V12" s="51">
        <f>_xll.dnetGBlackScholesNGreeks("vega",$Q12,$P12,$G12,$I12,$C$3,$J12,$K12,$C$4)*R12</f>
        <v>1.273469129556537E-2</v>
      </c>
    </row>
    <row r="13" spans="1:22" ht="14.25" thickBot="1" x14ac:dyDescent="0.2">
      <c r="A13" s="65"/>
      <c r="B13" s="59" t="s">
        <v>175</v>
      </c>
      <c r="C13" s="60" t="s">
        <v>160</v>
      </c>
      <c r="D13" s="60" t="str">
        <f t="shared" si="1"/>
        <v>rb1810</v>
      </c>
      <c r="E13" s="62">
        <f t="shared" ca="1" si="1"/>
        <v>43189</v>
      </c>
      <c r="F13" s="62">
        <f t="shared" ca="1" si="1"/>
        <v>43219</v>
      </c>
      <c r="G13" s="60" t="str">
        <f>G11 &amp; "|" &amp; G12</f>
        <v>3300|4000</v>
      </c>
      <c r="H13" s="60">
        <f>H12</f>
        <v>30</v>
      </c>
      <c r="I13" s="63">
        <f>I12</f>
        <v>8.2191780821917804E-2</v>
      </c>
      <c r="J13" s="63"/>
      <c r="K13" s="60"/>
      <c r="L13" s="59">
        <f>L12+L11</f>
        <v>-90.213827678010617</v>
      </c>
      <c r="M13" s="60"/>
      <c r="N13" s="59">
        <f>M13/10000*I13*P13</f>
        <v>0</v>
      </c>
      <c r="O13" s="59">
        <f t="shared" si="0"/>
        <v>90.213827678010617</v>
      </c>
      <c r="P13" s="118">
        <f>P12</f>
        <v>3289</v>
      </c>
      <c r="Q13" s="60"/>
      <c r="R13" s="60"/>
      <c r="S13" s="56" t="s">
        <v>151</v>
      </c>
      <c r="T13" s="64">
        <f>O13/P13</f>
        <v>2.7428953383402437E-2</v>
      </c>
      <c r="U13" s="64">
        <f>U12+U11</f>
        <v>0.50730417225200997</v>
      </c>
      <c r="V13" s="64">
        <f>V12+V11</f>
        <v>-3.7420953292786527</v>
      </c>
    </row>
    <row r="14" spans="1:22" ht="14.25" thickTop="1" x14ac:dyDescent="0.15">
      <c r="A14" s="65"/>
      <c r="B14" s="43" t="s">
        <v>173</v>
      </c>
      <c r="C14" s="44" t="s">
        <v>160</v>
      </c>
      <c r="D14" s="44" t="s">
        <v>202</v>
      </c>
      <c r="E14" s="46">
        <f ca="1">TODAY()</f>
        <v>43189</v>
      </c>
      <c r="F14" s="46">
        <f ca="1">E14+H14</f>
        <v>43219</v>
      </c>
      <c r="G14" s="44">
        <v>3400</v>
      </c>
      <c r="H14" s="44">
        <v>30</v>
      </c>
      <c r="I14" s="47">
        <f>H14/365</f>
        <v>8.2191780821917804E-2</v>
      </c>
      <c r="J14" s="47">
        <v>0</v>
      </c>
      <c r="K14" s="48">
        <v>0.22500000000000001</v>
      </c>
      <c r="L14" s="43">
        <f>_xll.dnetGBlackScholesNGreeks("price",$Q14,$P14,$G14,$I14,$C$3,$J14,$K14,$C$4)*R14</f>
        <v>-152.44361440820421</v>
      </c>
      <c r="M14" s="49"/>
      <c r="N14" s="43"/>
      <c r="O14" s="43">
        <f t="shared" ref="O14:O28" si="2">IF(L14&lt;=0,ABS(L14)+N14,L14-N14)</f>
        <v>152.44361440820421</v>
      </c>
      <c r="P14" s="117">
        <f>RTD("wdf.rtq",,D14,"LastPrice")</f>
        <v>3289</v>
      </c>
      <c r="Q14" s="44" t="s">
        <v>85</v>
      </c>
      <c r="R14" s="44">
        <f>IF(S14="中金买入",1,-1)</f>
        <v>-1</v>
      </c>
      <c r="S14" s="48" t="s">
        <v>20</v>
      </c>
      <c r="T14" s="50"/>
      <c r="U14" s="43">
        <f>_xll.dnetGBlackScholesNGreeks("delta",$Q14,$P14,$G14,$I14,$C$3,$J14,$K14,$C$4)*R14</f>
        <v>0.68408025379085302</v>
      </c>
      <c r="V14" s="43">
        <f>_xll.dnetGBlackScholesNGreeks("vega",$Q14,$P14,$G14,$I14,$C$3,$J14,$K14,$C$4)*R14</f>
        <v>-3.3423944549349471</v>
      </c>
    </row>
    <row r="15" spans="1:22" ht="13.5" x14ac:dyDescent="0.15">
      <c r="A15" s="65"/>
      <c r="B15" s="51" t="s">
        <v>174</v>
      </c>
      <c r="C15" s="52" t="s">
        <v>160</v>
      </c>
      <c r="D15" s="52" t="str">
        <f t="shared" ref="D15:F16" si="3">D14</f>
        <v>rb1810</v>
      </c>
      <c r="E15" s="54">
        <f t="shared" ca="1" si="3"/>
        <v>43189</v>
      </c>
      <c r="F15" s="54">
        <f t="shared" ca="1" si="3"/>
        <v>43219</v>
      </c>
      <c r="G15" s="52">
        <v>4000</v>
      </c>
      <c r="H15" s="52">
        <f>H14</f>
        <v>30</v>
      </c>
      <c r="I15" s="55">
        <f>H15/365</f>
        <v>8.2191780821917804E-2</v>
      </c>
      <c r="J15" s="55">
        <f>J14</f>
        <v>0</v>
      </c>
      <c r="K15" s="56">
        <v>0.2</v>
      </c>
      <c r="L15" s="51">
        <f>_xll.dnetGBlackScholesNGreeks("price",$Q15,$P15,$G15,$I15,$C$3,$J15,$K15,$C$4)*R15</f>
        <v>1.7080897906434744E-2</v>
      </c>
      <c r="M15" s="57"/>
      <c r="N15" s="51"/>
      <c r="O15" s="51">
        <f t="shared" si="2"/>
        <v>1.7080897906434744E-2</v>
      </c>
      <c r="P15" s="95">
        <f>P14</f>
        <v>3289</v>
      </c>
      <c r="Q15" s="52" t="s">
        <v>39</v>
      </c>
      <c r="R15" s="52">
        <f>IF(S15="中金买入",1,-1)</f>
        <v>1</v>
      </c>
      <c r="S15" s="56" t="s">
        <v>151</v>
      </c>
      <c r="T15" s="58"/>
      <c r="U15" s="51">
        <f>_xll.dnetGBlackScholesNGreeks("delta",$Q15,$P15,$G15,$I15,$C$3,$J15,$K15,$C$4)*R15</f>
        <v>3.5582425913505134E-4</v>
      </c>
      <c r="V15" s="51">
        <f>_xll.dnetGBlackScholesNGreeks("vega",$Q15,$P15,$G15,$I15,$C$3,$J15,$K15,$C$4)*R15</f>
        <v>1.273469129556537E-2</v>
      </c>
    </row>
    <row r="16" spans="1:22" ht="14.25" thickBot="1" x14ac:dyDescent="0.2">
      <c r="A16" s="65"/>
      <c r="B16" s="59" t="s">
        <v>175</v>
      </c>
      <c r="C16" s="60" t="s">
        <v>160</v>
      </c>
      <c r="D16" s="60" t="str">
        <f t="shared" si="3"/>
        <v>rb1810</v>
      </c>
      <c r="E16" s="62">
        <f t="shared" ca="1" si="3"/>
        <v>43189</v>
      </c>
      <c r="F16" s="62">
        <f t="shared" ca="1" si="3"/>
        <v>43219</v>
      </c>
      <c r="G16" s="60" t="str">
        <f>G14 &amp; "|" &amp; G15</f>
        <v>3400|4000</v>
      </c>
      <c r="H16" s="60">
        <f>H15</f>
        <v>30</v>
      </c>
      <c r="I16" s="63">
        <f>I15</f>
        <v>8.2191780821917804E-2</v>
      </c>
      <c r="J16" s="63"/>
      <c r="K16" s="60"/>
      <c r="L16" s="59">
        <f>L15+L14</f>
        <v>-152.42653351029779</v>
      </c>
      <c r="M16" s="60"/>
      <c r="N16" s="59">
        <f>M16/10000*I16*P16</f>
        <v>0</v>
      </c>
      <c r="O16" s="59">
        <f t="shared" si="2"/>
        <v>152.42653351029779</v>
      </c>
      <c r="P16" s="118">
        <f>P15</f>
        <v>3289</v>
      </c>
      <c r="Q16" s="60"/>
      <c r="R16" s="60"/>
      <c r="S16" s="56" t="s">
        <v>151</v>
      </c>
      <c r="T16" s="64">
        <f>O16/P16</f>
        <v>4.6344339772057701E-2</v>
      </c>
      <c r="U16" s="64">
        <f>U15+U14</f>
        <v>0.68443607804998807</v>
      </c>
      <c r="V16" s="64">
        <f>V15+V14</f>
        <v>-3.3296597636393819</v>
      </c>
    </row>
    <row r="17" spans="1:22" ht="14.25" thickTop="1" x14ac:dyDescent="0.15">
      <c r="A17" s="65"/>
      <c r="B17" s="43" t="s">
        <v>173</v>
      </c>
      <c r="C17" s="44" t="s">
        <v>160</v>
      </c>
      <c r="D17" s="44" t="s">
        <v>202</v>
      </c>
      <c r="E17" s="46">
        <f ca="1">TODAY()</f>
        <v>43189</v>
      </c>
      <c r="F17" s="46">
        <f ca="1">E17+H17</f>
        <v>43219</v>
      </c>
      <c r="G17" s="44">
        <v>3500</v>
      </c>
      <c r="H17" s="44">
        <v>30</v>
      </c>
      <c r="I17" s="47">
        <f>H17/365</f>
        <v>8.2191780821917804E-2</v>
      </c>
      <c r="J17" s="47">
        <v>0</v>
      </c>
      <c r="K17" s="48">
        <v>0.22500000000000001</v>
      </c>
      <c r="L17" s="43">
        <f>_xll.dnetGBlackScholesNGreeks("price",$Q17,$P17,$G17,$I17,$C$3,$J17,$K17,$C$4)*R17</f>
        <v>-230.1362542118236</v>
      </c>
      <c r="M17" s="49"/>
      <c r="N17" s="43"/>
      <c r="O17" s="43">
        <f t="shared" si="2"/>
        <v>230.1362542118236</v>
      </c>
      <c r="P17" s="117">
        <f>RTD("wdf.rtq",,D17,"LastPrice")</f>
        <v>3289</v>
      </c>
      <c r="Q17" s="44" t="s">
        <v>85</v>
      </c>
      <c r="R17" s="44">
        <f>IF(S17="中金买入",1,-1)</f>
        <v>-1</v>
      </c>
      <c r="S17" s="48" t="s">
        <v>20</v>
      </c>
      <c r="T17" s="50"/>
      <c r="U17" s="43">
        <f>_xll.dnetGBlackScholesNGreeks("delta",$Q17,$P17,$G17,$I17,$C$3,$J17,$K17,$C$4)*R17</f>
        <v>0.8228969890069493</v>
      </c>
      <c r="V17" s="43">
        <f>_xll.dnetGBlackScholesNGreeks("vega",$Q17,$P17,$G17,$I17,$C$3,$J17,$K17,$C$4)*R17</f>
        <v>-2.4316774000785699</v>
      </c>
    </row>
    <row r="18" spans="1:22" ht="13.5" x14ac:dyDescent="0.15">
      <c r="A18" s="65"/>
      <c r="B18" s="51" t="s">
        <v>174</v>
      </c>
      <c r="C18" s="52" t="s">
        <v>160</v>
      </c>
      <c r="D18" s="52" t="str">
        <f t="shared" ref="D18:F19" si="4">D17</f>
        <v>rb1810</v>
      </c>
      <c r="E18" s="54">
        <f t="shared" ca="1" si="4"/>
        <v>43189</v>
      </c>
      <c r="F18" s="54">
        <f t="shared" ca="1" si="4"/>
        <v>43219</v>
      </c>
      <c r="G18" s="52">
        <v>4000</v>
      </c>
      <c r="H18" s="52">
        <f>H17</f>
        <v>30</v>
      </c>
      <c r="I18" s="55">
        <f>H18/365</f>
        <v>8.2191780821917804E-2</v>
      </c>
      <c r="J18" s="55">
        <f>J17</f>
        <v>0</v>
      </c>
      <c r="K18" s="56">
        <v>0.2</v>
      </c>
      <c r="L18" s="51">
        <f>_xll.dnetGBlackScholesNGreeks("price",$Q18,$P18,$G18,$I18,$C$3,$J18,$K18,$C$4)*R18</f>
        <v>1.7080897906434744E-2</v>
      </c>
      <c r="M18" s="57"/>
      <c r="N18" s="51"/>
      <c r="O18" s="51">
        <f t="shared" si="2"/>
        <v>1.7080897906434744E-2</v>
      </c>
      <c r="P18" s="95">
        <f>P17</f>
        <v>3289</v>
      </c>
      <c r="Q18" s="52" t="s">
        <v>39</v>
      </c>
      <c r="R18" s="52">
        <f>IF(S18="中金买入",1,-1)</f>
        <v>1</v>
      </c>
      <c r="S18" s="56" t="s">
        <v>151</v>
      </c>
      <c r="T18" s="58"/>
      <c r="U18" s="51">
        <f>_xll.dnetGBlackScholesNGreeks("delta",$Q18,$P18,$G18,$I18,$C$3,$J18,$K18,$C$4)*R18</f>
        <v>3.5582425913505134E-4</v>
      </c>
      <c r="V18" s="51">
        <f>_xll.dnetGBlackScholesNGreeks("vega",$Q18,$P18,$G18,$I18,$C$3,$J18,$K18,$C$4)*R18</f>
        <v>1.273469129556537E-2</v>
      </c>
    </row>
    <row r="19" spans="1:22" ht="14.25" thickBot="1" x14ac:dyDescent="0.2">
      <c r="A19" s="65"/>
      <c r="B19" s="59" t="s">
        <v>175</v>
      </c>
      <c r="C19" s="60" t="s">
        <v>160</v>
      </c>
      <c r="D19" s="60" t="str">
        <f t="shared" si="4"/>
        <v>rb1810</v>
      </c>
      <c r="E19" s="62">
        <f t="shared" ca="1" si="4"/>
        <v>43189</v>
      </c>
      <c r="F19" s="62">
        <f t="shared" ca="1" si="4"/>
        <v>43219</v>
      </c>
      <c r="G19" s="60" t="str">
        <f>G17 &amp; "|" &amp; G18</f>
        <v>3500|4000</v>
      </c>
      <c r="H19" s="60">
        <f>H18</f>
        <v>30</v>
      </c>
      <c r="I19" s="63">
        <f>I18</f>
        <v>8.2191780821917804E-2</v>
      </c>
      <c r="J19" s="63"/>
      <c r="K19" s="60"/>
      <c r="L19" s="59">
        <f>L18+L17</f>
        <v>-230.11917331391717</v>
      </c>
      <c r="M19" s="60"/>
      <c r="N19" s="59">
        <f>M19/10000*I19*P19</f>
        <v>0</v>
      </c>
      <c r="O19" s="59">
        <f t="shared" si="2"/>
        <v>230.11917331391717</v>
      </c>
      <c r="P19" s="118">
        <f>P18</f>
        <v>3289</v>
      </c>
      <c r="Q19" s="60"/>
      <c r="R19" s="60"/>
      <c r="S19" s="56" t="s">
        <v>151</v>
      </c>
      <c r="T19" s="64">
        <f>O19/P19</f>
        <v>6.9966303835183083E-2</v>
      </c>
      <c r="U19" s="64">
        <f>U18+U17</f>
        <v>0.82325281326608435</v>
      </c>
      <c r="V19" s="64">
        <f>V18+V17</f>
        <v>-2.4189427087830047</v>
      </c>
    </row>
    <row r="20" spans="1:22" s="98" customFormat="1" ht="14.25" thickTop="1" x14ac:dyDescent="0.15">
      <c r="A20" s="97"/>
      <c r="B20" s="43" t="s">
        <v>173</v>
      </c>
      <c r="C20" s="44" t="s">
        <v>160</v>
      </c>
      <c r="D20" s="44" t="s">
        <v>202</v>
      </c>
      <c r="E20" s="46">
        <f ca="1">TODAY()</f>
        <v>43189</v>
      </c>
      <c r="F20" s="46">
        <f ca="1">E20+H20</f>
        <v>43279</v>
      </c>
      <c r="G20" s="44">
        <v>3300</v>
      </c>
      <c r="H20" s="44">
        <v>90</v>
      </c>
      <c r="I20" s="47">
        <f>H20/365</f>
        <v>0.24657534246575341</v>
      </c>
      <c r="J20" s="47">
        <v>0</v>
      </c>
      <c r="K20" s="48">
        <v>0.22500000000000001</v>
      </c>
      <c r="L20" s="43">
        <f>_xll.dnetGBlackScholesNGreeks("price",$Q20,$P20,$G20,$I20,$C$3,$J20,$K20,$C$4)*R20</f>
        <v>-151.58398119335334</v>
      </c>
      <c r="M20" s="49"/>
      <c r="N20" s="43"/>
      <c r="O20" s="43">
        <f t="shared" si="2"/>
        <v>151.58398119335334</v>
      </c>
      <c r="P20" s="117">
        <f>RTD("wdf.rtq",,D20,"LastPrice")</f>
        <v>3289</v>
      </c>
      <c r="Q20" s="44" t="s">
        <v>85</v>
      </c>
      <c r="R20" s="44">
        <f>IF(S20="中金买入",1,-1)</f>
        <v>-1</v>
      </c>
      <c r="S20" s="48" t="s">
        <v>20</v>
      </c>
      <c r="T20" s="50"/>
      <c r="U20" s="43">
        <f>_xll.dnetGBlackScholesNGreeks("delta",$Q20,$P20,$G20,$I20,$C$3,$J20,$K20,$C$4)*R20</f>
        <v>0.48722838721459993</v>
      </c>
      <c r="V20" s="43">
        <f>_xll.dnetGBlackScholesNGreeks("vega",$Q20,$P20,$G20,$I20,$C$3,$J20,$K20,$C$4)*R20</f>
        <v>-6.4812631234509581</v>
      </c>
    </row>
    <row r="21" spans="1:22" s="96" customFormat="1" ht="13.5" x14ac:dyDescent="0.15">
      <c r="A21" s="99"/>
      <c r="B21" s="51" t="s">
        <v>174</v>
      </c>
      <c r="C21" s="52" t="s">
        <v>160</v>
      </c>
      <c r="D21" s="52" t="str">
        <f t="shared" ref="D21:F22" si="5">D20</f>
        <v>rb1810</v>
      </c>
      <c r="E21" s="54">
        <f t="shared" ca="1" si="5"/>
        <v>43189</v>
      </c>
      <c r="F21" s="54">
        <f t="shared" ca="1" si="5"/>
        <v>43279</v>
      </c>
      <c r="G21" s="52">
        <v>4000</v>
      </c>
      <c r="H21" s="52">
        <f>H20</f>
        <v>90</v>
      </c>
      <c r="I21" s="55">
        <f>H21/365</f>
        <v>0.24657534246575341</v>
      </c>
      <c r="J21" s="55">
        <f>J20</f>
        <v>0</v>
      </c>
      <c r="K21" s="56">
        <v>0.2</v>
      </c>
      <c r="L21" s="51">
        <f>_xll.dnetGBlackScholesNGreeks("price",$Q21,$P21,$G21,$I21,$C$3,$J21,$K21,$C$4)*R21</f>
        <v>3.2881143397458743</v>
      </c>
      <c r="M21" s="57"/>
      <c r="N21" s="51"/>
      <c r="O21" s="51">
        <f t="shared" si="2"/>
        <v>3.2881143397458743</v>
      </c>
      <c r="P21" s="95">
        <f>P20</f>
        <v>3289</v>
      </c>
      <c r="Q21" s="52" t="s">
        <v>39</v>
      </c>
      <c r="R21" s="52">
        <f>IF(S21="中金买入",1,-1)</f>
        <v>1</v>
      </c>
      <c r="S21" s="56" t="s">
        <v>151</v>
      </c>
      <c r="T21" s="58"/>
      <c r="U21" s="51">
        <f>_xll.dnetGBlackScholesNGreeks("delta",$Q21,$P21,$G21,$I21,$C$3,$J21,$K21,$C$4)*R21</f>
        <v>2.7231497858082321E-2</v>
      </c>
      <c r="V21" s="51">
        <f>_xll.dnetGBlackScholesNGreeks("vega",$Q21,$P21,$G21,$I21,$C$3,$J21,$K21,$C$4)*R21</f>
        <v>1.0258952936988308</v>
      </c>
    </row>
    <row r="22" spans="1:22" s="96" customFormat="1" ht="14.25" thickBot="1" x14ac:dyDescent="0.2">
      <c r="A22" s="99"/>
      <c r="B22" s="59" t="s">
        <v>175</v>
      </c>
      <c r="C22" s="60" t="s">
        <v>160</v>
      </c>
      <c r="D22" s="60" t="str">
        <f t="shared" si="5"/>
        <v>rb1810</v>
      </c>
      <c r="E22" s="62">
        <f t="shared" ca="1" si="5"/>
        <v>43189</v>
      </c>
      <c r="F22" s="62">
        <f t="shared" ca="1" si="5"/>
        <v>43279</v>
      </c>
      <c r="G22" s="60" t="str">
        <f>G20 &amp; "|" &amp; G21</f>
        <v>3300|4000</v>
      </c>
      <c r="H22" s="60">
        <f>H21</f>
        <v>90</v>
      </c>
      <c r="I22" s="63">
        <f>I21</f>
        <v>0.24657534246575341</v>
      </c>
      <c r="J22" s="63"/>
      <c r="K22" s="60"/>
      <c r="L22" s="59">
        <f>L21+L20</f>
        <v>-148.29586685360746</v>
      </c>
      <c r="M22" s="60"/>
      <c r="N22" s="59">
        <f>M22/10000*I22*P22</f>
        <v>0</v>
      </c>
      <c r="O22" s="59">
        <f t="shared" si="2"/>
        <v>148.29586685360746</v>
      </c>
      <c r="P22" s="118">
        <f>P21</f>
        <v>3289</v>
      </c>
      <c r="Q22" s="60"/>
      <c r="R22" s="60"/>
      <c r="S22" s="56" t="s">
        <v>151</v>
      </c>
      <c r="T22" s="64">
        <f>O22/P22</f>
        <v>4.508843625831787E-2</v>
      </c>
      <c r="U22" s="64">
        <f>U21+U20</f>
        <v>0.51445988507268225</v>
      </c>
      <c r="V22" s="64">
        <f>V21+V20</f>
        <v>-5.4553678297521273</v>
      </c>
    </row>
    <row r="23" spans="1:22" s="96" customFormat="1" ht="14.25" thickTop="1" x14ac:dyDescent="0.15">
      <c r="A23" s="99"/>
      <c r="B23" s="43" t="s">
        <v>173</v>
      </c>
      <c r="C23" s="44" t="s">
        <v>160</v>
      </c>
      <c r="D23" s="44" t="s">
        <v>202</v>
      </c>
      <c r="E23" s="46">
        <f ca="1">TODAY()</f>
        <v>43189</v>
      </c>
      <c r="F23" s="46">
        <f ca="1">E23+H23</f>
        <v>43279</v>
      </c>
      <c r="G23" s="44">
        <v>3400</v>
      </c>
      <c r="H23" s="44">
        <v>90</v>
      </c>
      <c r="I23" s="47">
        <f>H23/365</f>
        <v>0.24657534246575341</v>
      </c>
      <c r="J23" s="47">
        <v>0</v>
      </c>
      <c r="K23" s="48">
        <v>0.22500000000000001</v>
      </c>
      <c r="L23" s="43">
        <f>_xll.dnetGBlackScholesNGreeks("price",$Q23,$P23,$G23,$I23,$C$3,$J23,$K23,$C$4)*R23</f>
        <v>-209.97677506805417</v>
      </c>
      <c r="M23" s="49"/>
      <c r="N23" s="43"/>
      <c r="O23" s="43">
        <f t="shared" si="2"/>
        <v>209.97677506805417</v>
      </c>
      <c r="P23" s="117">
        <f>RTD("wdf.rtq",,D23,"LastPrice")</f>
        <v>3289</v>
      </c>
      <c r="Q23" s="44" t="s">
        <v>85</v>
      </c>
      <c r="R23" s="44">
        <f>IF(S23="中金买入",1,-1)</f>
        <v>-1</v>
      </c>
      <c r="S23" s="48" t="s">
        <v>20</v>
      </c>
      <c r="T23" s="50"/>
      <c r="U23" s="43">
        <f>_xll.dnetGBlackScholesNGreeks("delta",$Q23,$P23,$G23,$I23,$C$3,$J23,$K23,$C$4)*R23</f>
        <v>0.59237808284251514</v>
      </c>
      <c r="V23" s="43">
        <f>_xll.dnetGBlackScholesNGreeks("vega",$Q23,$P23,$G23,$I23,$C$3,$J23,$K23,$C$4)*R23</f>
        <v>-6.2970164409300651</v>
      </c>
    </row>
    <row r="24" spans="1:22" s="96" customFormat="1" ht="13.5" x14ac:dyDescent="0.15">
      <c r="A24" s="99"/>
      <c r="B24" s="51" t="s">
        <v>174</v>
      </c>
      <c r="C24" s="52" t="s">
        <v>160</v>
      </c>
      <c r="D24" s="52" t="str">
        <f t="shared" ref="D24:F25" si="6">D23</f>
        <v>rb1810</v>
      </c>
      <c r="E24" s="54">
        <f t="shared" ca="1" si="6"/>
        <v>43189</v>
      </c>
      <c r="F24" s="54">
        <f t="shared" ca="1" si="6"/>
        <v>43279</v>
      </c>
      <c r="G24" s="52">
        <v>4000</v>
      </c>
      <c r="H24" s="52">
        <f>H23</f>
        <v>90</v>
      </c>
      <c r="I24" s="55">
        <f>H24/365</f>
        <v>0.24657534246575341</v>
      </c>
      <c r="J24" s="55">
        <f>J23</f>
        <v>0</v>
      </c>
      <c r="K24" s="56">
        <v>0.2</v>
      </c>
      <c r="L24" s="51">
        <f>_xll.dnetGBlackScholesNGreeks("price",$Q24,$P24,$G24,$I24,$C$3,$J24,$K24,$C$4)*R24</f>
        <v>3.2881143397458743</v>
      </c>
      <c r="M24" s="57"/>
      <c r="N24" s="51"/>
      <c r="O24" s="51">
        <f t="shared" si="2"/>
        <v>3.2881143397458743</v>
      </c>
      <c r="P24" s="95">
        <f>P23</f>
        <v>3289</v>
      </c>
      <c r="Q24" s="52" t="s">
        <v>39</v>
      </c>
      <c r="R24" s="52">
        <f>IF(S24="中金买入",1,-1)</f>
        <v>1</v>
      </c>
      <c r="S24" s="56" t="s">
        <v>151</v>
      </c>
      <c r="T24" s="58"/>
      <c r="U24" s="51">
        <f>_xll.dnetGBlackScholesNGreeks("delta",$Q24,$P24,$G24,$I24,$C$3,$J24,$K24,$C$4)*R24</f>
        <v>2.7231497858082321E-2</v>
      </c>
      <c r="V24" s="51">
        <f>_xll.dnetGBlackScholesNGreeks("vega",$Q24,$P24,$G24,$I24,$C$3,$J24,$K24,$C$4)*R24</f>
        <v>1.0258952936988308</v>
      </c>
    </row>
    <row r="25" spans="1:22" s="96" customFormat="1" ht="14.25" thickBot="1" x14ac:dyDescent="0.2">
      <c r="A25" s="99"/>
      <c r="B25" s="59" t="s">
        <v>175</v>
      </c>
      <c r="C25" s="60" t="s">
        <v>160</v>
      </c>
      <c r="D25" s="60" t="str">
        <f t="shared" si="6"/>
        <v>rb1810</v>
      </c>
      <c r="E25" s="62">
        <f t="shared" ca="1" si="6"/>
        <v>43189</v>
      </c>
      <c r="F25" s="62">
        <f t="shared" ca="1" si="6"/>
        <v>43279</v>
      </c>
      <c r="G25" s="60" t="str">
        <f>G23 &amp; "|" &amp; G24</f>
        <v>3400|4000</v>
      </c>
      <c r="H25" s="60">
        <f>H24</f>
        <v>90</v>
      </c>
      <c r="I25" s="63">
        <f>I24</f>
        <v>0.24657534246575341</v>
      </c>
      <c r="J25" s="63"/>
      <c r="K25" s="60"/>
      <c r="L25" s="59">
        <f>L24+L23</f>
        <v>-206.68866072830829</v>
      </c>
      <c r="M25" s="60"/>
      <c r="N25" s="59">
        <f>M25/10000*I25*P25</f>
        <v>0</v>
      </c>
      <c r="O25" s="59">
        <f t="shared" si="2"/>
        <v>206.68866072830829</v>
      </c>
      <c r="P25" s="118">
        <f>P24</f>
        <v>3289</v>
      </c>
      <c r="Q25" s="60"/>
      <c r="R25" s="60"/>
      <c r="S25" s="56" t="s">
        <v>151</v>
      </c>
      <c r="T25" s="64">
        <f>O25/P25</f>
        <v>6.2842402167317818E-2</v>
      </c>
      <c r="U25" s="64">
        <f>U24+U23</f>
        <v>0.61960958070059746</v>
      </c>
      <c r="V25" s="64">
        <f>V24+V23</f>
        <v>-5.2711211472312343</v>
      </c>
    </row>
    <row r="26" spans="1:22" s="96" customFormat="1" ht="14.25" thickTop="1" x14ac:dyDescent="0.15">
      <c r="A26" s="99"/>
      <c r="B26" s="43" t="s">
        <v>173</v>
      </c>
      <c r="C26" s="44" t="s">
        <v>160</v>
      </c>
      <c r="D26" s="44" t="s">
        <v>202</v>
      </c>
      <c r="E26" s="46">
        <f ca="1">TODAY()</f>
        <v>43189</v>
      </c>
      <c r="F26" s="46">
        <f ca="1">E26+H26</f>
        <v>43373</v>
      </c>
      <c r="G26" s="44">
        <v>3600</v>
      </c>
      <c r="H26" s="44">
        <v>184</v>
      </c>
      <c r="I26" s="47">
        <f>H26/365</f>
        <v>0.50410958904109593</v>
      </c>
      <c r="J26" s="47">
        <v>0</v>
      </c>
      <c r="K26" s="48">
        <v>0.155</v>
      </c>
      <c r="L26" s="43">
        <f>_xll.dnetGBlackScholesNGreeks("price",$Q26,$P26,$G26,$I26,$C$3,$J26,$K26,$C$4)*R26</f>
        <v>351.2621627409244</v>
      </c>
      <c r="M26" s="49"/>
      <c r="N26" s="43"/>
      <c r="O26" s="43">
        <f t="shared" si="2"/>
        <v>351.2621627409244</v>
      </c>
      <c r="P26" s="117">
        <f>RTD("wdf.rtq",,D26,"LastPrice")</f>
        <v>3289</v>
      </c>
      <c r="Q26" s="44" t="s">
        <v>85</v>
      </c>
      <c r="R26" s="44">
        <f>IF(S26="中金买入",1,-1)</f>
        <v>1</v>
      </c>
      <c r="S26" s="48" t="s">
        <v>151</v>
      </c>
      <c r="T26" s="50"/>
      <c r="U26" s="43">
        <f>_xll.dnetGBlackScholesNGreeks("delta",$Q26,$P26,$G26,$I26,$C$3,$J26,$K26,$C$4)*R26</f>
        <v>-0.77034380708482786</v>
      </c>
      <c r="V26" s="43">
        <f>_xll.dnetGBlackScholesNGreeks("vega",$Q26,$P26,$G26,$I26,$C$3,$J26,$K26,$C$4)*R26</f>
        <v>6.8704200473989658</v>
      </c>
    </row>
    <row r="27" spans="1:22" s="96" customFormat="1" ht="13.5" x14ac:dyDescent="0.15">
      <c r="A27" s="99"/>
      <c r="B27" s="51" t="s">
        <v>174</v>
      </c>
      <c r="C27" s="52" t="s">
        <v>160</v>
      </c>
      <c r="D27" s="52" t="str">
        <f t="shared" ref="D27:F28" si="7">D26</f>
        <v>rb1810</v>
      </c>
      <c r="E27" s="54">
        <f t="shared" ca="1" si="7"/>
        <v>43189</v>
      </c>
      <c r="F27" s="54">
        <f t="shared" ca="1" si="7"/>
        <v>43373</v>
      </c>
      <c r="G27" s="52">
        <v>4000</v>
      </c>
      <c r="H27" s="52">
        <f>H26</f>
        <v>184</v>
      </c>
      <c r="I27" s="55">
        <f>H27/365</f>
        <v>0.50410958904109593</v>
      </c>
      <c r="J27" s="55">
        <f>J26</f>
        <v>0</v>
      </c>
      <c r="K27" s="56">
        <v>0.18</v>
      </c>
      <c r="L27" s="51">
        <f>_xll.dnetGBlackScholesNGreeks("price",$Q27,$P27,$G27,$I27,$C$3,$J27,$K27,$C$4)*R27</f>
        <v>-12.497400441340062</v>
      </c>
      <c r="M27" s="57"/>
      <c r="N27" s="51"/>
      <c r="O27" s="51">
        <f t="shared" si="2"/>
        <v>12.497400441340062</v>
      </c>
      <c r="P27" s="95">
        <f>P26</f>
        <v>3289</v>
      </c>
      <c r="Q27" s="52" t="s">
        <v>39</v>
      </c>
      <c r="R27" s="52">
        <f>IF(S27="中金买入",1,-1)</f>
        <v>-1</v>
      </c>
      <c r="S27" s="56" t="s">
        <v>20</v>
      </c>
      <c r="T27" s="58"/>
      <c r="U27" s="51">
        <f>_xll.dnetGBlackScholesNGreeks("delta",$Q27,$P27,$G27,$I27,$C$3,$J27,$K27,$C$4)*R27</f>
        <v>-7.0410881342297671E-2</v>
      </c>
      <c r="V27" s="51">
        <f>_xll.dnetGBlackScholesNGreeks("vega",$Q27,$P27,$G27,$I27,$C$3,$J27,$K27,$C$4)*R27</f>
        <v>-3.1397367558755462</v>
      </c>
    </row>
    <row r="28" spans="1:22" s="96" customFormat="1" ht="14.25" thickBot="1" x14ac:dyDescent="0.2">
      <c r="A28" s="99"/>
      <c r="B28" s="59" t="s">
        <v>175</v>
      </c>
      <c r="C28" s="60" t="s">
        <v>160</v>
      </c>
      <c r="D28" s="60" t="str">
        <f t="shared" si="7"/>
        <v>rb1810</v>
      </c>
      <c r="E28" s="62">
        <f t="shared" ca="1" si="7"/>
        <v>43189</v>
      </c>
      <c r="F28" s="62">
        <f t="shared" ca="1" si="7"/>
        <v>43373</v>
      </c>
      <c r="G28" s="60" t="str">
        <f>G26 &amp; "|" &amp; G27</f>
        <v>3600|4000</v>
      </c>
      <c r="H28" s="60">
        <f>H27</f>
        <v>184</v>
      </c>
      <c r="I28" s="63">
        <f>I27</f>
        <v>0.50410958904109593</v>
      </c>
      <c r="J28" s="63"/>
      <c r="K28" s="60"/>
      <c r="L28" s="59">
        <f>L27+L26</f>
        <v>338.76476229958433</v>
      </c>
      <c r="M28" s="60"/>
      <c r="N28" s="59">
        <f>M28/10000*I28*P28</f>
        <v>0</v>
      </c>
      <c r="O28" s="59">
        <f t="shared" si="2"/>
        <v>338.76476229958433</v>
      </c>
      <c r="P28" s="118">
        <f>P27</f>
        <v>3289</v>
      </c>
      <c r="Q28" s="60"/>
      <c r="R28" s="60"/>
      <c r="S28" s="56" t="s">
        <v>151</v>
      </c>
      <c r="T28" s="64">
        <f>O28/P28</f>
        <v>0.10299931964110196</v>
      </c>
      <c r="U28" s="64">
        <f>U27+U26</f>
        <v>-0.84075468842712553</v>
      </c>
      <c r="V28" s="64">
        <f>V27+V26</f>
        <v>3.7306832915234196</v>
      </c>
    </row>
    <row r="29" spans="1:22" s="98" customFormat="1" ht="14.25" thickTop="1" x14ac:dyDescent="0.15">
      <c r="A29" s="97"/>
      <c r="B29" s="43" t="s">
        <v>173</v>
      </c>
      <c r="C29" s="44" t="s">
        <v>160</v>
      </c>
      <c r="D29" s="44" t="s">
        <v>207</v>
      </c>
      <c r="E29" s="46">
        <f ca="1">TODAY()</f>
        <v>43189</v>
      </c>
      <c r="F29" s="46">
        <f ca="1">E29+H29</f>
        <v>43219</v>
      </c>
      <c r="G29" s="44">
        <v>92</v>
      </c>
      <c r="H29" s="44">
        <v>30</v>
      </c>
      <c r="I29" s="47">
        <f>H29/365</f>
        <v>8.2191780821917804E-2</v>
      </c>
      <c r="J29" s="47">
        <v>0</v>
      </c>
      <c r="K29" s="48">
        <v>0.24</v>
      </c>
      <c r="L29" s="43">
        <f>_xll.dnetGBlackScholesNGreeks("price",$Q29,$P29,$G29,$I29,$C$3,$J29,$K29,$C$4)*R29</f>
        <v>-0.36061626839030225</v>
      </c>
      <c r="M29" s="49"/>
      <c r="N29" s="43"/>
      <c r="O29" s="43">
        <f t="shared" ref="O29:O34" si="8">IF(L29&lt;=0,ABS(L29)+N29,L29-N29)</f>
        <v>0.36061626839030225</v>
      </c>
      <c r="P29" s="117">
        <v>100</v>
      </c>
      <c r="Q29" s="44" t="s">
        <v>85</v>
      </c>
      <c r="R29" s="44">
        <f>IF(S29="中金买入",1,-1)</f>
        <v>-1</v>
      </c>
      <c r="S29" s="48" t="s">
        <v>20</v>
      </c>
      <c r="T29" s="50"/>
      <c r="U29" s="43">
        <f>_xll.dnetGBlackScholesNGreeks("delta",$Q29,$P29,$G29,$I29,$C$3,$J29,$K29,$C$4)*R29</f>
        <v>0.10616326771595297</v>
      </c>
      <c r="V29" s="43">
        <f>_xll.dnetGBlackScholesNGreeks("vega",$Q29,$P29,$G29,$I29,$C$3,$J29,$K29,$C$4)*R29</f>
        <v>-5.2489438908342123E-2</v>
      </c>
    </row>
    <row r="30" spans="1:22" s="96" customFormat="1" ht="13.5" x14ac:dyDescent="0.15">
      <c r="A30" s="99"/>
      <c r="B30" s="51" t="s">
        <v>174</v>
      </c>
      <c r="C30" s="52" t="s">
        <v>160</v>
      </c>
      <c r="D30" s="52" t="str">
        <f t="shared" ref="D30:F30" si="9">D29</f>
        <v>i1809</v>
      </c>
      <c r="E30" s="54">
        <f t="shared" ca="1" si="9"/>
        <v>43189</v>
      </c>
      <c r="F30" s="54">
        <f t="shared" ca="1" si="9"/>
        <v>43219</v>
      </c>
      <c r="G30" s="52">
        <v>105</v>
      </c>
      <c r="H30" s="52">
        <f>H29</f>
        <v>30</v>
      </c>
      <c r="I30" s="55">
        <f>H30/365</f>
        <v>8.2191780821917804E-2</v>
      </c>
      <c r="J30" s="55">
        <f>J29</f>
        <v>0</v>
      </c>
      <c r="K30" s="56">
        <v>0.21</v>
      </c>
      <c r="L30" s="51">
        <f>_xll.dnetGBlackScholesNGreeks("price",$Q30,$P30,$G30,$I30,$C$3,$J30,$K30,$C$4)*R30</f>
        <v>0.72669566514838735</v>
      </c>
      <c r="M30" s="57"/>
      <c r="N30" s="51"/>
      <c r="O30" s="51">
        <f t="shared" si="8"/>
        <v>0.72669566514838735</v>
      </c>
      <c r="P30" s="95">
        <f>P29</f>
        <v>100</v>
      </c>
      <c r="Q30" s="52" t="s">
        <v>39</v>
      </c>
      <c r="R30" s="52">
        <f>IF(S30="中金买入",1,-1)</f>
        <v>1</v>
      </c>
      <c r="S30" s="56" t="s">
        <v>151</v>
      </c>
      <c r="T30" s="58"/>
      <c r="U30" s="51">
        <f>_xll.dnetGBlackScholesNGreeks("delta",$Q30,$P30,$G30,$I30,$C$3,$J30,$K30,$C$4)*R30</f>
        <v>0.21725094276838774</v>
      </c>
      <c r="V30" s="51">
        <f>_xll.dnetGBlackScholesNGreeks("vega",$Q30,$P30,$G30,$I30,$C$3,$J30,$K30,$C$4)*R30</f>
        <v>8.4167489640684323E-2</v>
      </c>
    </row>
    <row r="31" spans="1:22" s="96" customFormat="1" ht="14.25" thickBot="1" x14ac:dyDescent="0.2">
      <c r="A31" s="99"/>
      <c r="B31" s="59" t="s">
        <v>175</v>
      </c>
      <c r="C31" s="60" t="s">
        <v>160</v>
      </c>
      <c r="D31" s="60" t="str">
        <f t="shared" ref="D31:F31" si="10">D30</f>
        <v>i1809</v>
      </c>
      <c r="E31" s="62">
        <f t="shared" ca="1" si="10"/>
        <v>43189</v>
      </c>
      <c r="F31" s="62">
        <f t="shared" ca="1" si="10"/>
        <v>43219</v>
      </c>
      <c r="G31" s="60" t="str">
        <f>G29 &amp; "|" &amp; G30</f>
        <v>92|105</v>
      </c>
      <c r="H31" s="60">
        <f>H30</f>
        <v>30</v>
      </c>
      <c r="I31" s="63">
        <f>I30</f>
        <v>8.2191780821917804E-2</v>
      </c>
      <c r="J31" s="63"/>
      <c r="K31" s="60"/>
      <c r="L31" s="59">
        <f>L30+L29</f>
        <v>0.3660793967580851</v>
      </c>
      <c r="M31" s="60">
        <v>50</v>
      </c>
      <c r="N31" s="59">
        <f>M31/10000*I31*P31</f>
        <v>4.1095890410958902E-2</v>
      </c>
      <c r="O31" s="59">
        <f t="shared" si="8"/>
        <v>0.32498350634712619</v>
      </c>
      <c r="P31" s="118">
        <f>P30</f>
        <v>100</v>
      </c>
      <c r="Q31" s="60"/>
      <c r="R31" s="60"/>
      <c r="S31" s="56" t="s">
        <v>151</v>
      </c>
      <c r="T31" s="64">
        <f>O31/P31</f>
        <v>3.2498350634712621E-3</v>
      </c>
      <c r="U31" s="64">
        <f>U30+U29</f>
        <v>0.32341421048434071</v>
      </c>
      <c r="V31" s="64">
        <f>V30+V29</f>
        <v>3.16780507323422E-2</v>
      </c>
    </row>
    <row r="32" spans="1:22" s="96" customFormat="1" ht="14.25" thickTop="1" x14ac:dyDescent="0.15">
      <c r="A32" s="99"/>
      <c r="B32" s="43" t="s">
        <v>173</v>
      </c>
      <c r="C32" s="44" t="s">
        <v>160</v>
      </c>
      <c r="D32" s="44" t="s">
        <v>207</v>
      </c>
      <c r="E32" s="46">
        <f ca="1">TODAY()</f>
        <v>43189</v>
      </c>
      <c r="F32" s="46">
        <f ca="1">E32+H32</f>
        <v>43219</v>
      </c>
      <c r="G32" s="44">
        <v>95</v>
      </c>
      <c r="H32" s="44">
        <v>30</v>
      </c>
      <c r="I32" s="47">
        <f>H32/365</f>
        <v>8.2191780821917804E-2</v>
      </c>
      <c r="J32" s="47">
        <v>0</v>
      </c>
      <c r="K32" s="48">
        <v>0.24</v>
      </c>
      <c r="L32" s="43">
        <f>_xll.dnetGBlackScholesNGreeks("price",$Q32,$P32,$G32,$I32,$C$3,$J32,$K32,$C$4)*R32</f>
        <v>-0.88478777957798371</v>
      </c>
      <c r="M32" s="49"/>
      <c r="N32" s="43"/>
      <c r="O32" s="43">
        <f t="shared" si="8"/>
        <v>0.88478777957798371</v>
      </c>
      <c r="P32" s="117">
        <v>100</v>
      </c>
      <c r="Q32" s="44" t="s">
        <v>85</v>
      </c>
      <c r="R32" s="44">
        <f>IF(S32="中金买入",1,-1)</f>
        <v>-1</v>
      </c>
      <c r="S32" s="48" t="s">
        <v>20</v>
      </c>
      <c r="T32" s="50"/>
      <c r="U32" s="43">
        <f>_xll.dnetGBlackScholesNGreeks("delta",$Q32,$P32,$G32,$I32,$C$3,$J32,$K32,$C$4)*R32</f>
        <v>0.21737278669018423</v>
      </c>
      <c r="V32" s="43">
        <f>_xll.dnetGBlackScholesNGreeks("vega",$Q32,$P32,$G32,$I32,$C$3,$J32,$K32,$C$4)*R32</f>
        <v>-8.421063147348562E-2</v>
      </c>
    </row>
    <row r="33" spans="1:22" s="96" customFormat="1" ht="13.5" x14ac:dyDescent="0.15">
      <c r="A33" s="99"/>
      <c r="B33" s="51" t="s">
        <v>174</v>
      </c>
      <c r="C33" s="52" t="s">
        <v>160</v>
      </c>
      <c r="D33" s="52" t="str">
        <f t="shared" ref="D33:F33" si="11">D32</f>
        <v>i1809</v>
      </c>
      <c r="E33" s="54">
        <f t="shared" ca="1" si="11"/>
        <v>43189</v>
      </c>
      <c r="F33" s="54">
        <f t="shared" ca="1" si="11"/>
        <v>43219</v>
      </c>
      <c r="G33" s="52">
        <v>102.5</v>
      </c>
      <c r="H33" s="52">
        <f>H32</f>
        <v>30</v>
      </c>
      <c r="I33" s="55">
        <f>H33/365</f>
        <v>8.2191780821917804E-2</v>
      </c>
      <c r="J33" s="55">
        <f>J32</f>
        <v>0</v>
      </c>
      <c r="K33" s="56">
        <v>0.21</v>
      </c>
      <c r="L33" s="51">
        <f>_xll.dnetGBlackScholesNGreeks("price",$Q33,$P33,$G33,$I33,$C$3,$J33,$K33,$C$4)*R33</f>
        <v>1.3808360714662911</v>
      </c>
      <c r="M33" s="57"/>
      <c r="N33" s="51"/>
      <c r="O33" s="51">
        <f t="shared" si="8"/>
        <v>1.3808360714662911</v>
      </c>
      <c r="P33" s="95">
        <f>P32</f>
        <v>100</v>
      </c>
      <c r="Q33" s="52" t="s">
        <v>39</v>
      </c>
      <c r="R33" s="52">
        <f>IF(S33="中金买入",1,-1)</f>
        <v>1</v>
      </c>
      <c r="S33" s="56" t="s">
        <v>151</v>
      </c>
      <c r="T33" s="58"/>
      <c r="U33" s="51">
        <f>_xll.dnetGBlackScholesNGreeks("delta",$Q33,$P33,$G33,$I33,$C$3,$J33,$K33,$C$4)*R33</f>
        <v>0.351380281727387</v>
      </c>
      <c r="V33" s="51">
        <f>_xll.dnetGBlackScholesNGreeks("vega",$Q33,$P33,$G33,$I33,$C$3,$J33,$K33,$C$4)*R33</f>
        <v>0.1062109636871611</v>
      </c>
    </row>
    <row r="34" spans="1:22" s="96" customFormat="1" ht="14.25" thickBot="1" x14ac:dyDescent="0.2">
      <c r="A34" s="99"/>
      <c r="B34" s="59" t="s">
        <v>175</v>
      </c>
      <c r="C34" s="60" t="s">
        <v>160</v>
      </c>
      <c r="D34" s="60" t="str">
        <f t="shared" ref="D34:F34" si="12">D33</f>
        <v>i1809</v>
      </c>
      <c r="E34" s="62">
        <f t="shared" ca="1" si="12"/>
        <v>43189</v>
      </c>
      <c r="F34" s="62">
        <f t="shared" ca="1" si="12"/>
        <v>43219</v>
      </c>
      <c r="G34" s="60" t="str">
        <f>G32 &amp; "|" &amp; G33</f>
        <v>95|102.5</v>
      </c>
      <c r="H34" s="60">
        <f>H33</f>
        <v>30</v>
      </c>
      <c r="I34" s="63">
        <f>I33</f>
        <v>8.2191780821917804E-2</v>
      </c>
      <c r="J34" s="63"/>
      <c r="K34" s="60"/>
      <c r="L34" s="59">
        <f>L33+L32</f>
        <v>0.49604829188830735</v>
      </c>
      <c r="M34" s="60">
        <v>50</v>
      </c>
      <c r="N34" s="59">
        <f>M34/10000*I34*P34</f>
        <v>4.1095890410958902E-2</v>
      </c>
      <c r="O34" s="59">
        <f t="shared" si="8"/>
        <v>0.45495240147734844</v>
      </c>
      <c r="P34" s="118">
        <f>P33</f>
        <v>100</v>
      </c>
      <c r="Q34" s="60"/>
      <c r="R34" s="60"/>
      <c r="S34" s="56" t="s">
        <v>151</v>
      </c>
      <c r="T34" s="64">
        <f>O34/P34</f>
        <v>4.5495240147734846E-3</v>
      </c>
      <c r="U34" s="64">
        <f>U33+U32</f>
        <v>0.56875306841757123</v>
      </c>
      <c r="V34" s="64">
        <f>V33+V32</f>
        <v>2.2000332213675478E-2</v>
      </c>
    </row>
    <row r="35" spans="1:22" s="96" customFormat="1" ht="14.25" thickTop="1" x14ac:dyDescent="0.15">
      <c r="A35" s="100"/>
      <c r="B35" s="43" t="s">
        <v>173</v>
      </c>
      <c r="C35" s="44" t="s">
        <v>160</v>
      </c>
      <c r="D35" s="44" t="s">
        <v>202</v>
      </c>
      <c r="E35" s="46">
        <f ca="1">TODAY()</f>
        <v>43189</v>
      </c>
      <c r="F35" s="46">
        <f ca="1">E35+H35</f>
        <v>43279</v>
      </c>
      <c r="G35" s="44">
        <v>3350</v>
      </c>
      <c r="H35" s="44">
        <v>90</v>
      </c>
      <c r="I35" s="47">
        <f>H35/365</f>
        <v>0.24657534246575341</v>
      </c>
      <c r="J35" s="47">
        <v>0</v>
      </c>
      <c r="K35" s="48">
        <v>0.17</v>
      </c>
      <c r="L35" s="43">
        <f>_xll.dnetGBlackScholesNGreeks("price",$Q35,$P35,$G35,$I35,$C$3,$J35,$K35,$C$4)*R35</f>
        <v>144.18099802058487</v>
      </c>
      <c r="M35" s="49"/>
      <c r="N35" s="43"/>
      <c r="O35" s="43">
        <f t="shared" ref="O35:O37" si="13">IF(L35&lt;=0,ABS(L35)+N35,L35-N35)</f>
        <v>144.18099802058487</v>
      </c>
      <c r="P35" s="117">
        <f>RTD("wdf.rtq",,D35,"LastPrice")</f>
        <v>3289</v>
      </c>
      <c r="Q35" s="44" t="s">
        <v>85</v>
      </c>
      <c r="R35" s="44">
        <f>IF(S35="中金买入",1,-1)</f>
        <v>1</v>
      </c>
      <c r="S35" s="48" t="s">
        <v>151</v>
      </c>
      <c r="T35" s="50"/>
      <c r="U35" s="43">
        <f>_xll.dnetGBlackScholesNGreeks("delta",$Q35,$P35,$G35,$I35,$C$3,$J35,$K35,$C$4)*R35</f>
        <v>-0.56684867030298847</v>
      </c>
      <c r="V35" s="43">
        <f>_xll.dnetGBlackScholesNGreeks("vega",$Q35,$P35,$G35,$I35,$C$3,$J35,$K35,$C$4)*R35</f>
        <v>6.3838736941727348</v>
      </c>
    </row>
    <row r="36" spans="1:22" s="96" customFormat="1" ht="13.5" x14ac:dyDescent="0.15">
      <c r="A36" s="100"/>
      <c r="B36" s="51" t="s">
        <v>174</v>
      </c>
      <c r="C36" s="52" t="s">
        <v>160</v>
      </c>
      <c r="D36" s="52" t="str">
        <f>D35</f>
        <v>rb1810</v>
      </c>
      <c r="E36" s="54">
        <f t="shared" ref="E36:F36" ca="1" si="14">E35</f>
        <v>43189</v>
      </c>
      <c r="F36" s="54">
        <f t="shared" ca="1" si="14"/>
        <v>43279</v>
      </c>
      <c r="G36" s="52">
        <v>3600</v>
      </c>
      <c r="H36" s="52">
        <v>90</v>
      </c>
      <c r="I36" s="55">
        <f>H36/365</f>
        <v>0.24657534246575341</v>
      </c>
      <c r="J36" s="55">
        <f>J35</f>
        <v>0</v>
      </c>
      <c r="K36" s="56">
        <v>0.19500000000000001</v>
      </c>
      <c r="L36" s="51">
        <f>_xll.dnetGBlackScholesNGreeks("price",$Q36,$P36,$G36,$I36,$C$3,$J36,$K36,$C$4)*R36</f>
        <v>-31.304237489159391</v>
      </c>
      <c r="M36" s="57"/>
      <c r="N36" s="51"/>
      <c r="O36" s="51">
        <f t="shared" si="13"/>
        <v>31.304237489159391</v>
      </c>
      <c r="P36" s="95">
        <f>P35</f>
        <v>3289</v>
      </c>
      <c r="Q36" s="52" t="s">
        <v>39</v>
      </c>
      <c r="R36" s="52">
        <f>IF(S36="中金买入",1,-1)</f>
        <v>-1</v>
      </c>
      <c r="S36" s="56" t="s">
        <v>20</v>
      </c>
      <c r="T36" s="58"/>
      <c r="U36" s="51">
        <f>_xll.dnetGBlackScholesNGreeks("delta",$Q36,$P36,$G36,$I36,$C$3,$J36,$K36,$C$4)*R36</f>
        <v>-0.18724230296811584</v>
      </c>
      <c r="V36" s="51">
        <f>_xll.dnetGBlackScholesNGreeks("vega",$Q36,$P36,$G36,$I36,$C$3,$J36,$K36,$C$4)*R36</f>
        <v>-4.3803134725717428</v>
      </c>
    </row>
    <row r="37" spans="1:22" s="102" customFormat="1" ht="14.25" thickBot="1" x14ac:dyDescent="0.2">
      <c r="A37" s="101"/>
      <c r="B37" s="59" t="s">
        <v>175</v>
      </c>
      <c r="C37" s="60" t="s">
        <v>160</v>
      </c>
      <c r="D37" s="60" t="str">
        <f>D36</f>
        <v>rb1810</v>
      </c>
      <c r="E37" s="62">
        <f t="shared" ref="E37:F37" ca="1" si="15">E36</f>
        <v>43189</v>
      </c>
      <c r="F37" s="62">
        <f t="shared" ca="1" si="15"/>
        <v>43279</v>
      </c>
      <c r="G37" s="60" t="str">
        <f>G35 &amp; "|" &amp; G36</f>
        <v>3350|3600</v>
      </c>
      <c r="H37" s="60">
        <f>H36</f>
        <v>90</v>
      </c>
      <c r="I37" s="63">
        <f>I36</f>
        <v>0.24657534246575341</v>
      </c>
      <c r="J37" s="63"/>
      <c r="K37" s="60"/>
      <c r="L37" s="59">
        <f>L36+L35</f>
        <v>112.87676053142548</v>
      </c>
      <c r="M37" s="60"/>
      <c r="N37" s="59">
        <f>M37/10000*I37*P37</f>
        <v>0</v>
      </c>
      <c r="O37" s="59">
        <f t="shared" si="13"/>
        <v>112.87676053142548</v>
      </c>
      <c r="P37" s="118">
        <f>P36</f>
        <v>3289</v>
      </c>
      <c r="Q37" s="60"/>
      <c r="R37" s="60"/>
      <c r="S37" s="56" t="s">
        <v>151</v>
      </c>
      <c r="T37" s="64">
        <f>O37/P37</f>
        <v>3.431947720627105E-2</v>
      </c>
      <c r="U37" s="64">
        <f>U36+U35</f>
        <v>-0.7540909732711043</v>
      </c>
      <c r="V37" s="64">
        <f>V36+V35</f>
        <v>2.003560221600992</v>
      </c>
    </row>
    <row r="38" spans="1:22" s="96" customFormat="1" ht="14.25" thickTop="1" x14ac:dyDescent="0.15">
      <c r="A38" s="100"/>
      <c r="B38" s="43" t="s">
        <v>173</v>
      </c>
      <c r="C38" s="44" t="s">
        <v>160</v>
      </c>
      <c r="D38" s="44" t="s">
        <v>195</v>
      </c>
      <c r="E38" s="46">
        <f ca="1">TODAY()</f>
        <v>43189</v>
      </c>
      <c r="F38" s="46">
        <f ca="1">E38+H38</f>
        <v>43369</v>
      </c>
      <c r="G38" s="44">
        <v>3350</v>
      </c>
      <c r="H38" s="44">
        <v>180</v>
      </c>
      <c r="I38" s="47">
        <f>H38/365</f>
        <v>0.49315068493150682</v>
      </c>
      <c r="J38" s="47">
        <v>0</v>
      </c>
      <c r="K38" s="48">
        <v>0.17</v>
      </c>
      <c r="L38" s="43">
        <f>_xll.dnetGBlackScholesNGreeks("price",$Q38,$P38,$G38,$I38,$C$3,$J38,$K38,$C$4)*R38</f>
        <v>188.49999000673733</v>
      </c>
      <c r="M38" s="49"/>
      <c r="N38" s="43"/>
      <c r="O38" s="43">
        <f t="shared" ref="O38:O40" si="16">IF(L38&lt;=0,ABS(L38)+N38,L38-N38)</f>
        <v>188.49999000673733</v>
      </c>
      <c r="P38" s="117">
        <f>RTD("wdf.rtq",,D38,"LastPrice")</f>
        <v>3289</v>
      </c>
      <c r="Q38" s="44" t="s">
        <v>85</v>
      </c>
      <c r="R38" s="44">
        <f>IF(S38="中金买入",1,-1)</f>
        <v>1</v>
      </c>
      <c r="S38" s="48" t="s">
        <v>151</v>
      </c>
      <c r="T38" s="50"/>
      <c r="U38" s="43">
        <f>_xll.dnetGBlackScholesNGreeks("delta",$Q38,$P38,$G38,$I38,$C$3,$J38,$K38,$C$4)*R38</f>
        <v>-0.53226567318915841</v>
      </c>
      <c r="V38" s="43">
        <f>_xll.dnetGBlackScholesNGreeks("vega",$Q38,$P38,$G38,$I38,$C$3,$J38,$K38,$C$4)*R38</f>
        <v>9.0830783829757138</v>
      </c>
    </row>
    <row r="39" spans="1:22" s="96" customFormat="1" ht="13.5" x14ac:dyDescent="0.15">
      <c r="A39" s="100"/>
      <c r="B39" s="51" t="s">
        <v>174</v>
      </c>
      <c r="C39" s="52" t="s">
        <v>160</v>
      </c>
      <c r="D39" s="52" t="str">
        <f>D38</f>
        <v>rb1810</v>
      </c>
      <c r="E39" s="54">
        <f t="shared" ref="E39:F39" ca="1" si="17">E38</f>
        <v>43189</v>
      </c>
      <c r="F39" s="54">
        <f t="shared" ca="1" si="17"/>
        <v>43369</v>
      </c>
      <c r="G39" s="52">
        <v>3600</v>
      </c>
      <c r="H39" s="52">
        <v>180</v>
      </c>
      <c r="I39" s="55">
        <f>H39/365</f>
        <v>0.49315068493150682</v>
      </c>
      <c r="J39" s="55">
        <f>J38</f>
        <v>0</v>
      </c>
      <c r="K39" s="56">
        <v>0.19500000000000001</v>
      </c>
      <c r="L39" s="51">
        <f>_xll.dnetGBlackScholesNGreeks("price",$Q39,$P39,$G39,$I39,$C$3,$J39,$K39,$C$4)*R39</f>
        <v>-71.23020376295824</v>
      </c>
      <c r="M39" s="57"/>
      <c r="N39" s="51"/>
      <c r="O39" s="51">
        <f t="shared" si="16"/>
        <v>71.23020376295824</v>
      </c>
      <c r="P39" s="95">
        <f>P38</f>
        <v>3289</v>
      </c>
      <c r="Q39" s="52" t="s">
        <v>39</v>
      </c>
      <c r="R39" s="52">
        <f>IF(S39="中金买入",1,-1)</f>
        <v>-1</v>
      </c>
      <c r="S39" s="56" t="s">
        <v>20</v>
      </c>
      <c r="T39" s="58"/>
      <c r="U39" s="51">
        <f>_xll.dnetGBlackScholesNGreeks("delta",$Q39,$P39,$G39,$I39,$C$3,$J39,$K39,$C$4)*R39</f>
        <v>-0.27443291573376882</v>
      </c>
      <c r="V39" s="51">
        <f>_xll.dnetGBlackScholesNGreeks("vega",$Q39,$P39,$G39,$I39,$C$3,$J39,$K39,$C$4)*R39</f>
        <v>-7.6566393321937767</v>
      </c>
    </row>
    <row r="40" spans="1:22" s="102" customFormat="1" ht="14.25" thickBot="1" x14ac:dyDescent="0.2">
      <c r="A40" s="101"/>
      <c r="B40" s="59" t="s">
        <v>175</v>
      </c>
      <c r="C40" s="60" t="s">
        <v>160</v>
      </c>
      <c r="D40" s="60" t="str">
        <f t="shared" ref="D40:F40" si="18">D39</f>
        <v>rb1810</v>
      </c>
      <c r="E40" s="62">
        <f t="shared" ca="1" si="18"/>
        <v>43189</v>
      </c>
      <c r="F40" s="62">
        <f t="shared" ca="1" si="18"/>
        <v>43369</v>
      </c>
      <c r="G40" s="60" t="str">
        <f>G38 &amp; "|" &amp; G39</f>
        <v>3350|3600</v>
      </c>
      <c r="H40" s="60">
        <f>H39</f>
        <v>180</v>
      </c>
      <c r="I40" s="63">
        <f>I39</f>
        <v>0.49315068493150682</v>
      </c>
      <c r="J40" s="63"/>
      <c r="K40" s="60"/>
      <c r="L40" s="59">
        <f>L39+L38</f>
        <v>117.26978624377909</v>
      </c>
      <c r="M40" s="60">
        <v>50</v>
      </c>
      <c r="N40" s="59">
        <f>M40/10000*I40*P40</f>
        <v>8.1098630136986305</v>
      </c>
      <c r="O40" s="59">
        <f t="shared" si="16"/>
        <v>109.15992323008047</v>
      </c>
      <c r="P40" s="118">
        <f>P39</f>
        <v>3289</v>
      </c>
      <c r="Q40" s="60"/>
      <c r="R40" s="60"/>
      <c r="S40" s="56" t="s">
        <v>151</v>
      </c>
      <c r="T40" s="64">
        <f>O40/P40</f>
        <v>3.3189395934959093E-2</v>
      </c>
      <c r="U40" s="64">
        <f>U39+U38</f>
        <v>-0.80669858892292723</v>
      </c>
      <c r="V40" s="64">
        <f>V39+V38</f>
        <v>1.4264390507819371</v>
      </c>
    </row>
    <row r="41" spans="1:22" s="96" customFormat="1" ht="14.25" thickTop="1" x14ac:dyDescent="0.15">
      <c r="A41" s="100"/>
      <c r="B41" s="43" t="s">
        <v>173</v>
      </c>
      <c r="C41" s="44" t="s">
        <v>160</v>
      </c>
      <c r="D41" s="44" t="s">
        <v>224</v>
      </c>
      <c r="E41" s="46">
        <f ca="1">TODAY()</f>
        <v>43189</v>
      </c>
      <c r="F41" s="46">
        <f ca="1">E41+H41</f>
        <v>43269</v>
      </c>
      <c r="G41" s="44">
        <v>13500</v>
      </c>
      <c r="H41" s="44">
        <v>80</v>
      </c>
      <c r="I41" s="47">
        <f>H41/365</f>
        <v>0.21917808219178081</v>
      </c>
      <c r="J41" s="47">
        <v>0</v>
      </c>
      <c r="K41" s="48">
        <v>0.17</v>
      </c>
      <c r="L41" s="43">
        <f>_xll.dnetGBlackScholesNGreeks("price",$Q41,$P41,$G41,$I41,$C$3,$J41,$K41,$C$4)*R41</f>
        <v>266.06834799179524</v>
      </c>
      <c r="M41" s="49"/>
      <c r="N41" s="43"/>
      <c r="O41" s="43">
        <f t="shared" ref="O41:O43" si="19">IF(L41&lt;=0,ABS(L41)+N41,L41-N41)</f>
        <v>266.06834799179524</v>
      </c>
      <c r="P41" s="117">
        <f>RTD("wdf.rtq",,D41,"LastPrice")</f>
        <v>13890</v>
      </c>
      <c r="Q41" s="44" t="s">
        <v>85</v>
      </c>
      <c r="R41" s="44">
        <f>IF(S41="中金买入",1,-1)</f>
        <v>1</v>
      </c>
      <c r="S41" s="48" t="s">
        <v>151</v>
      </c>
      <c r="T41" s="50"/>
      <c r="U41" s="43">
        <f>_xll.dnetGBlackScholesNGreeks("delta",$Q41,$P41,$G41,$I41,$C$3,$J41,$K41,$C$4)*R41</f>
        <v>-0.34394035774312215</v>
      </c>
      <c r="V41" s="43">
        <f>_xll.dnetGBlackScholesNGreeks("vega",$Q41,$P41,$G41,$I41,$C$3,$J41,$K41,$C$4)*R41</f>
        <v>23.86058559655612</v>
      </c>
    </row>
    <row r="42" spans="1:22" s="96" customFormat="1" ht="13.5" x14ac:dyDescent="0.15">
      <c r="A42" s="100"/>
      <c r="B42" s="51" t="s">
        <v>174</v>
      </c>
      <c r="C42" s="52" t="s">
        <v>160</v>
      </c>
      <c r="D42" s="52" t="s">
        <v>226</v>
      </c>
      <c r="E42" s="54">
        <f t="shared" ref="E42:F42" ca="1" si="20">E41</f>
        <v>43189</v>
      </c>
      <c r="F42" s="54">
        <f t="shared" ca="1" si="20"/>
        <v>43269</v>
      </c>
      <c r="G42" s="52">
        <v>14300</v>
      </c>
      <c r="H42" s="52">
        <f>H41</f>
        <v>80</v>
      </c>
      <c r="I42" s="55">
        <f>H42/365</f>
        <v>0.21917808219178081</v>
      </c>
      <c r="J42" s="55">
        <f>J41</f>
        <v>0</v>
      </c>
      <c r="K42" s="56">
        <f>K41+0.02</f>
        <v>0.19</v>
      </c>
      <c r="L42" s="51">
        <f>_xll.dnetGBlackScholesNGreeks("price",$Q42,$P42,$G42,$I42,$C$3,$J42,$K42,$C$4)*R42</f>
        <v>-320.09366936581318</v>
      </c>
      <c r="M42" s="57"/>
      <c r="N42" s="51"/>
      <c r="O42" s="51">
        <f t="shared" si="19"/>
        <v>320.09366936581318</v>
      </c>
      <c r="P42" s="95">
        <f>P41</f>
        <v>13890</v>
      </c>
      <c r="Q42" s="52" t="s">
        <v>39</v>
      </c>
      <c r="R42" s="52">
        <f>IF(S42="中金买入",1,-1)</f>
        <v>-1</v>
      </c>
      <c r="S42" s="56" t="s">
        <v>20</v>
      </c>
      <c r="T42" s="58"/>
      <c r="U42" s="51">
        <f>_xll.dnetGBlackScholesNGreeks("delta",$Q42,$P42,$G42,$I42,$C$3,$J42,$K42,$C$4)*R42</f>
        <v>-0.38705604129063431</v>
      </c>
      <c r="V42" s="51">
        <f>_xll.dnetGBlackScholesNGreeks("vega",$Q42,$P42,$G42,$I42,$C$3,$J42,$K42,$C$4)*R42</f>
        <v>-24.814593554987368</v>
      </c>
    </row>
    <row r="43" spans="1:22" s="102" customFormat="1" ht="14.25" thickBot="1" x14ac:dyDescent="0.2">
      <c r="A43" s="101"/>
      <c r="B43" s="59" t="s">
        <v>175</v>
      </c>
      <c r="C43" s="60" t="s">
        <v>160</v>
      </c>
      <c r="D43" s="60" t="str">
        <f t="shared" ref="D43:F43" si="21">D42</f>
        <v>al1807</v>
      </c>
      <c r="E43" s="62">
        <f t="shared" ca="1" si="21"/>
        <v>43189</v>
      </c>
      <c r="F43" s="62">
        <f t="shared" ca="1" si="21"/>
        <v>43269</v>
      </c>
      <c r="G43" s="60" t="str">
        <f>G41 &amp; "|" &amp; G42</f>
        <v>13500|14300</v>
      </c>
      <c r="H43" s="60">
        <f>H42</f>
        <v>80</v>
      </c>
      <c r="I43" s="63">
        <f>I42</f>
        <v>0.21917808219178081</v>
      </c>
      <c r="J43" s="63"/>
      <c r="K43" s="60"/>
      <c r="L43" s="59">
        <f>L42+L41</f>
        <v>-54.025321374017949</v>
      </c>
      <c r="M43" s="60">
        <v>50</v>
      </c>
      <c r="N43" s="59">
        <f>M43/10000*I43*P43</f>
        <v>15.221917808219176</v>
      </c>
      <c r="O43" s="59">
        <f t="shared" si="19"/>
        <v>69.247239182237124</v>
      </c>
      <c r="P43" s="118">
        <f>P42</f>
        <v>13890</v>
      </c>
      <c r="Q43" s="60"/>
      <c r="R43" s="60"/>
      <c r="S43" s="56" t="s">
        <v>151</v>
      </c>
      <c r="T43" s="64">
        <f>O43/P43</f>
        <v>4.9854023889299584E-3</v>
      </c>
      <c r="U43" s="64">
        <f>U42+U41</f>
        <v>-0.73099639903375646</v>
      </c>
      <c r="V43" s="64">
        <f>V42+V41</f>
        <v>-0.95400795843124797</v>
      </c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configs!$A$1:$A$36</xm:f>
          </x14:formula1>
          <xm:sqref>C8:C43</xm:sqref>
        </x14:dataValidation>
        <x14:dataValidation type="list" allowBlank="1" showInputMessage="1" showErrorMessage="1">
          <x14:formula1>
            <xm:f>configs!$C$1:$C$2</xm:f>
          </x14:formula1>
          <xm:sqref>Q8:Q43</xm:sqref>
        </x14:dataValidation>
        <x14:dataValidation type="list" allowBlank="1" showInputMessage="1" showErrorMessage="1">
          <x14:formula1>
            <xm:f>configs!$B$1:$B$2</xm:f>
          </x14:formula1>
          <xm:sqref>S8:S43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workbookViewId="0">
      <selection activeCell="A12" sqref="A12:XFD13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 x14ac:dyDescent="0.2">
      <c r="B1" s="154" t="s">
        <v>38</v>
      </c>
      <c r="C1" s="154"/>
    </row>
    <row r="2" spans="1:25" ht="12" thickTop="1" x14ac:dyDescent="0.15">
      <c r="B2" s="3" t="s">
        <v>0</v>
      </c>
      <c r="C2" s="4">
        <v>43061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3494</v>
      </c>
      <c r="I8" s="19">
        <v>3800</v>
      </c>
      <c r="J8" s="19">
        <v>3890</v>
      </c>
      <c r="K8" s="19">
        <f>_xll.dnetDiscreteAdjustedBarrier($H8,$J8,$R8,1/365)</f>
        <v>3925.7505698872742</v>
      </c>
      <c r="L8" s="36">
        <v>0.02</v>
      </c>
      <c r="M8" s="21">
        <f ca="1">TODAY()</f>
        <v>43189</v>
      </c>
      <c r="N8" s="21">
        <f ca="1">M8+O8</f>
        <v>43219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-12.763128389014557</v>
      </c>
      <c r="T8" s="25">
        <v>80</v>
      </c>
      <c r="U8" s="24">
        <f>T8/10000*P8*H8</f>
        <v>2.2974246575342465</v>
      </c>
      <c r="V8" s="24">
        <f>IF(S8&lt;=0,ABS(S8)+U8,S8-U8)</f>
        <v>15.060553046548804</v>
      </c>
      <c r="W8" s="26">
        <f>V8/H8</f>
        <v>4.3104044208783074E-3</v>
      </c>
      <c r="X8" s="24">
        <f>_xll.dnetStandardBarrierNGreeks("delta",G8,H8,I8,K8,L8*H8,P8,$C$3,Q8,R8,$C$4)</f>
        <v>7.4070866054931628E-2</v>
      </c>
      <c r="Y8" s="24">
        <f>_xll.dnetStandardBarrierNGreeks("vega",G8,H8,I8,K8,L8*H8,P8,$C$3,Q8,R8,$C$4)</f>
        <v>0.89937120347879151</v>
      </c>
    </row>
    <row r="9" spans="1:25" x14ac:dyDescent="0.15">
      <c r="A9" s="34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37">
        <v>5.0000000000000001E-3</v>
      </c>
      <c r="M9" s="8">
        <f ca="1">TODAY()</f>
        <v>43189</v>
      </c>
      <c r="N9" s="8">
        <f ca="1">M9+O9</f>
        <v>43369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 x14ac:dyDescent="0.1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37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 x14ac:dyDescent="0.1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37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 x14ac:dyDescent="0.1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37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 x14ac:dyDescent="0.1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 x14ac:dyDescent="0.1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 x14ac:dyDescent="0.1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 x14ac:dyDescent="0.1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 x14ac:dyDescent="0.1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 x14ac:dyDescent="0.1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 x14ac:dyDescent="0.1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 x14ac:dyDescent="0.1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 x14ac:dyDescent="0.1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 x14ac:dyDescent="0.1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 x14ac:dyDescent="0.1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 x14ac:dyDescent="0.1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 x14ac:dyDescent="0.1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 x14ac:dyDescent="0.1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 x14ac:dyDescent="0.1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 x14ac:dyDescent="0.1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 x14ac:dyDescent="0.1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 x14ac:dyDescent="0.1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 x14ac:dyDescent="0.1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 x14ac:dyDescent="0.1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 x14ac:dyDescent="0.1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 x14ac:dyDescent="0.1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 x14ac:dyDescent="0.1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 x14ac:dyDescent="0.1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 x14ac:dyDescent="0.1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 x14ac:dyDescent="0.1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 x14ac:dyDescent="0.1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topLeftCell="A13" workbookViewId="0">
      <selection activeCell="I24" sqref="I24"/>
    </sheetView>
  </sheetViews>
  <sheetFormatPr defaultRowHeight="13.5" x14ac:dyDescent="0.15"/>
  <cols>
    <col min="1" max="1" width="10.875" bestFit="1" customWidth="1"/>
  </cols>
  <sheetData>
    <row r="1" spans="1:6" ht="15.75" thickBot="1" x14ac:dyDescent="0.2">
      <c r="A1" s="66">
        <v>43087</v>
      </c>
      <c r="B1" s="67"/>
      <c r="C1" s="68" t="s">
        <v>49</v>
      </c>
      <c r="D1" s="67"/>
      <c r="E1" s="68" t="s">
        <v>50</v>
      </c>
      <c r="F1" s="69"/>
    </row>
    <row r="2" spans="1:6" ht="15.75" thickBot="1" x14ac:dyDescent="0.2">
      <c r="A2" s="70" t="s">
        <v>51</v>
      </c>
      <c r="B2" s="71" t="s">
        <v>52</v>
      </c>
      <c r="C2" s="72" t="s">
        <v>53</v>
      </c>
      <c r="D2" s="72" t="s">
        <v>54</v>
      </c>
      <c r="E2" s="72" t="s">
        <v>55</v>
      </c>
      <c r="F2" s="73" t="s">
        <v>56</v>
      </c>
    </row>
    <row r="3" spans="1:6" ht="15.75" thickBot="1" x14ac:dyDescent="0.2">
      <c r="A3" s="74" t="s">
        <v>57</v>
      </c>
      <c r="B3" s="75" t="s">
        <v>58</v>
      </c>
      <c r="C3" s="76">
        <v>0.20499999999999999</v>
      </c>
      <c r="D3" s="76">
        <v>0.25</v>
      </c>
      <c r="E3" s="76">
        <v>0.21</v>
      </c>
      <c r="F3" s="78">
        <v>0.25</v>
      </c>
    </row>
    <row r="4" spans="1:6" ht="15.75" thickBot="1" x14ac:dyDescent="0.2">
      <c r="A4" s="70" t="s">
        <v>59</v>
      </c>
      <c r="B4" s="71" t="s">
        <v>60</v>
      </c>
      <c r="C4" s="79">
        <v>0.13750000000000001</v>
      </c>
      <c r="D4" s="79">
        <v>0.1825</v>
      </c>
      <c r="E4" s="79">
        <v>0.14499999999999999</v>
      </c>
      <c r="F4" s="80">
        <v>0.185</v>
      </c>
    </row>
    <row r="5" spans="1:6" ht="15.75" thickBot="1" x14ac:dyDescent="0.2">
      <c r="A5" s="74" t="s">
        <v>61</v>
      </c>
      <c r="B5" s="75" t="s">
        <v>62</v>
      </c>
      <c r="C5" s="77"/>
      <c r="D5" s="77"/>
      <c r="E5" s="77"/>
      <c r="F5" s="81"/>
    </row>
    <row r="6" spans="1:6" ht="15.75" thickBot="1" x14ac:dyDescent="0.2">
      <c r="A6" s="70" t="s">
        <v>63</v>
      </c>
      <c r="B6" s="71" t="s">
        <v>64</v>
      </c>
      <c r="C6" s="82">
        <v>0.29499999999999998</v>
      </c>
      <c r="D6" s="82">
        <v>0.35499999999999998</v>
      </c>
      <c r="E6" s="82">
        <v>0.26500000000000001</v>
      </c>
      <c r="F6" s="83">
        <v>0.315</v>
      </c>
    </row>
    <row r="7" spans="1:6" ht="15.75" thickBot="1" x14ac:dyDescent="0.2">
      <c r="A7" s="74" t="s">
        <v>65</v>
      </c>
      <c r="B7" s="75" t="s">
        <v>66</v>
      </c>
      <c r="C7" s="76">
        <v>0.15</v>
      </c>
      <c r="D7" s="76">
        <v>0.19</v>
      </c>
      <c r="E7" s="76">
        <v>0.155</v>
      </c>
      <c r="F7" s="78">
        <v>0.19</v>
      </c>
    </row>
    <row r="8" spans="1:6" ht="15.75" thickBot="1" x14ac:dyDescent="0.2">
      <c r="A8" s="70" t="s">
        <v>67</v>
      </c>
      <c r="B8" s="71" t="s">
        <v>68</v>
      </c>
      <c r="C8" s="82">
        <v>0.32</v>
      </c>
      <c r="D8" s="82">
        <v>0.44</v>
      </c>
      <c r="E8" s="82">
        <v>0.32</v>
      </c>
      <c r="F8" s="83">
        <v>0.42</v>
      </c>
    </row>
    <row r="9" spans="1:6" ht="15.75" thickBot="1" x14ac:dyDescent="0.2">
      <c r="A9" s="74" t="s">
        <v>69</v>
      </c>
      <c r="B9" s="75" t="s">
        <v>70</v>
      </c>
      <c r="C9" s="76">
        <v>0.32</v>
      </c>
      <c r="D9" s="76">
        <v>0.44</v>
      </c>
      <c r="E9" s="76">
        <v>0.32</v>
      </c>
      <c r="F9" s="78">
        <v>0.42</v>
      </c>
    </row>
    <row r="10" spans="1:6" ht="15.75" thickBot="1" x14ac:dyDescent="0.2">
      <c r="A10" s="70" t="s">
        <v>71</v>
      </c>
      <c r="B10" s="71" t="s">
        <v>72</v>
      </c>
      <c r="C10" s="82">
        <v>0.24</v>
      </c>
      <c r="D10" s="82">
        <v>0.32</v>
      </c>
      <c r="E10" s="82">
        <v>0.27</v>
      </c>
      <c r="F10" s="83">
        <v>0.34</v>
      </c>
    </row>
    <row r="11" spans="1:6" ht="15.75" thickBot="1" x14ac:dyDescent="0.2">
      <c r="A11" s="74" t="s">
        <v>73</v>
      </c>
      <c r="B11" s="75" t="s">
        <v>74</v>
      </c>
      <c r="C11" s="76">
        <v>0.32250000000000001</v>
      </c>
      <c r="D11" s="76">
        <v>0.39750000000000002</v>
      </c>
      <c r="E11" s="76">
        <v>0.32500000000000001</v>
      </c>
      <c r="F11" s="78">
        <v>0.39500000000000002</v>
      </c>
    </row>
    <row r="12" spans="1:6" ht="15.75" thickBot="1" x14ac:dyDescent="0.2">
      <c r="A12" s="70" t="s">
        <v>75</v>
      </c>
      <c r="B12" s="71" t="s">
        <v>76</v>
      </c>
      <c r="C12" s="82">
        <v>0.215</v>
      </c>
      <c r="D12" s="82">
        <v>0.28499999999999998</v>
      </c>
      <c r="E12" s="82">
        <v>0.23499999999999999</v>
      </c>
      <c r="F12" s="83">
        <v>0.30499999999999999</v>
      </c>
    </row>
    <row r="13" spans="1:6" ht="15.75" thickBot="1" x14ac:dyDescent="0.2">
      <c r="A13" s="74" t="s">
        <v>77</v>
      </c>
      <c r="B13" s="75" t="s">
        <v>78</v>
      </c>
      <c r="C13" s="76">
        <v>9.2499999999999999E-2</v>
      </c>
      <c r="D13" s="76">
        <v>0.1225</v>
      </c>
      <c r="E13" s="76">
        <v>0.1</v>
      </c>
      <c r="F13" s="78">
        <v>0.13</v>
      </c>
    </row>
    <row r="14" spans="1:6" ht="15.75" thickBot="1" x14ac:dyDescent="0.2">
      <c r="A14" s="70" t="s">
        <v>79</v>
      </c>
      <c r="B14" s="71" t="s">
        <v>80</v>
      </c>
      <c r="C14" s="79">
        <v>0.11</v>
      </c>
      <c r="D14" s="79">
        <v>0.17</v>
      </c>
      <c r="E14" s="79">
        <v>0.14499999999999999</v>
      </c>
      <c r="F14" s="80">
        <v>0.19500000000000001</v>
      </c>
    </row>
    <row r="15" spans="1:6" ht="15.75" thickBot="1" x14ac:dyDescent="0.2">
      <c r="A15" s="74" t="s">
        <v>81</v>
      </c>
      <c r="B15" s="75" t="s">
        <v>82</v>
      </c>
      <c r="C15" s="77"/>
      <c r="D15" s="77"/>
      <c r="E15" s="77"/>
      <c r="F15" s="81"/>
    </row>
    <row r="16" spans="1:6" ht="15.75" thickBot="1" x14ac:dyDescent="0.2">
      <c r="A16" s="70" t="s">
        <v>83</v>
      </c>
      <c r="B16" s="71" t="s">
        <v>84</v>
      </c>
      <c r="C16" s="82">
        <v>0.13</v>
      </c>
      <c r="D16" s="82">
        <v>0.19</v>
      </c>
      <c r="E16" s="82">
        <v>0.185</v>
      </c>
      <c r="F16" s="83">
        <v>0.23499999999999999</v>
      </c>
    </row>
    <row r="17" spans="1:6" ht="15.75" thickBot="1" x14ac:dyDescent="0.2">
      <c r="A17" s="74" t="s">
        <v>85</v>
      </c>
      <c r="B17" s="75" t="s">
        <v>86</v>
      </c>
      <c r="C17" s="84">
        <v>0.14749999999999999</v>
      </c>
      <c r="D17" s="84">
        <v>0.19750000000000001</v>
      </c>
      <c r="E17" s="84">
        <v>0.16</v>
      </c>
      <c r="F17" s="85">
        <v>0.21</v>
      </c>
    </row>
    <row r="18" spans="1:6" ht="15.75" thickBot="1" x14ac:dyDescent="0.2">
      <c r="A18" s="70" t="s">
        <v>87</v>
      </c>
      <c r="B18" s="71" t="s">
        <v>88</v>
      </c>
      <c r="C18" s="86"/>
      <c r="D18" s="86"/>
      <c r="E18" s="86"/>
      <c r="F18" s="87"/>
    </row>
    <row r="19" spans="1:6" ht="15.75" thickBot="1" x14ac:dyDescent="0.2">
      <c r="A19" s="74" t="s">
        <v>89</v>
      </c>
      <c r="B19" s="75" t="s">
        <v>90</v>
      </c>
      <c r="C19" s="77"/>
      <c r="D19" s="77"/>
      <c r="E19" s="77"/>
      <c r="F19" s="81"/>
    </row>
    <row r="20" spans="1:6" ht="15.75" thickBot="1" x14ac:dyDescent="0.2">
      <c r="A20" s="70" t="s">
        <v>91</v>
      </c>
      <c r="B20" s="71" t="s">
        <v>92</v>
      </c>
      <c r="C20" s="79">
        <v>0.09</v>
      </c>
      <c r="D20" s="79">
        <v>0.17</v>
      </c>
      <c r="E20" s="79">
        <v>0.11</v>
      </c>
      <c r="F20" s="80">
        <v>0.19</v>
      </c>
    </row>
    <row r="21" spans="1:6" ht="15.75" thickBot="1" x14ac:dyDescent="0.2">
      <c r="A21" s="74" t="s">
        <v>93</v>
      </c>
      <c r="B21" s="75" t="s">
        <v>94</v>
      </c>
      <c r="C21" s="77"/>
      <c r="D21" s="77"/>
      <c r="E21" s="77"/>
      <c r="F21" s="81"/>
    </row>
    <row r="22" spans="1:6" ht="15.75" thickBot="1" x14ac:dyDescent="0.2">
      <c r="A22" s="70" t="s">
        <v>95</v>
      </c>
      <c r="B22" s="71" t="s">
        <v>96</v>
      </c>
      <c r="C22" s="82">
        <v>0.12</v>
      </c>
      <c r="D22" s="82">
        <v>0.16</v>
      </c>
      <c r="E22" s="82">
        <v>0.13500000000000001</v>
      </c>
      <c r="F22" s="83">
        <v>0.17</v>
      </c>
    </row>
    <row r="23" spans="1:6" ht="15.75" thickBot="1" x14ac:dyDescent="0.2">
      <c r="A23" s="74" t="s">
        <v>97</v>
      </c>
      <c r="B23" s="75" t="s">
        <v>98</v>
      </c>
      <c r="C23" s="76">
        <v>0.12</v>
      </c>
      <c r="D23" s="76">
        <v>0.16</v>
      </c>
      <c r="E23" s="76">
        <v>0.13500000000000001</v>
      </c>
      <c r="F23" s="78">
        <v>0.17499999999999999</v>
      </c>
    </row>
    <row r="24" spans="1:6" ht="15.75" thickBot="1" x14ac:dyDescent="0.2">
      <c r="A24" s="70" t="s">
        <v>39</v>
      </c>
      <c r="B24" s="71" t="s">
        <v>99</v>
      </c>
      <c r="C24" s="82">
        <v>7.7499999999999999E-2</v>
      </c>
      <c r="D24" s="82">
        <v>0.1225</v>
      </c>
      <c r="E24" s="82">
        <v>8.5000000000000006E-2</v>
      </c>
      <c r="F24" s="83">
        <v>0.125</v>
      </c>
    </row>
    <row r="25" spans="1:6" ht="15.75" thickBot="1" x14ac:dyDescent="0.2">
      <c r="A25" s="74" t="s">
        <v>100</v>
      </c>
      <c r="B25" s="75" t="s">
        <v>101</v>
      </c>
      <c r="C25" s="76">
        <v>0.1</v>
      </c>
      <c r="D25" s="76">
        <v>0.15</v>
      </c>
      <c r="E25" s="76">
        <v>0.105</v>
      </c>
      <c r="F25" s="78">
        <v>0.155</v>
      </c>
    </row>
    <row r="26" spans="1:6" ht="15.75" thickBot="1" x14ac:dyDescent="0.2">
      <c r="A26" s="70" t="s">
        <v>102</v>
      </c>
      <c r="B26" s="71" t="s">
        <v>103</v>
      </c>
      <c r="C26" s="79">
        <v>0.2</v>
      </c>
      <c r="D26" s="79">
        <v>0.28000000000000003</v>
      </c>
      <c r="E26" s="79">
        <v>0.2</v>
      </c>
      <c r="F26" s="80">
        <v>0.27</v>
      </c>
    </row>
    <row r="27" spans="1:6" ht="15.75" thickBot="1" x14ac:dyDescent="0.2">
      <c r="A27" s="74" t="s">
        <v>104</v>
      </c>
      <c r="B27" s="75" t="s">
        <v>105</v>
      </c>
      <c r="C27" s="88"/>
      <c r="D27" s="88"/>
      <c r="E27" s="88"/>
      <c r="F27" s="89"/>
    </row>
    <row r="28" spans="1:6" ht="15.75" thickBot="1" x14ac:dyDescent="0.2">
      <c r="A28" s="70" t="s">
        <v>106</v>
      </c>
      <c r="B28" s="71" t="s">
        <v>107</v>
      </c>
      <c r="C28" s="90"/>
      <c r="D28" s="90"/>
      <c r="E28" s="90"/>
      <c r="F28" s="91"/>
    </row>
    <row r="29" spans="1:6" ht="15.75" thickBot="1" x14ac:dyDescent="0.2">
      <c r="A29" s="74" t="s">
        <v>108</v>
      </c>
      <c r="B29" s="75" t="s">
        <v>109</v>
      </c>
      <c r="C29" s="76">
        <v>0.23250000000000001</v>
      </c>
      <c r="D29" s="76">
        <v>0.28749999999999998</v>
      </c>
      <c r="E29" s="76">
        <v>0.22</v>
      </c>
      <c r="F29" s="78">
        <v>0.27</v>
      </c>
    </row>
    <row r="30" spans="1:6" ht="15.75" thickBot="1" x14ac:dyDescent="0.2">
      <c r="A30" s="70" t="s">
        <v>110</v>
      </c>
      <c r="B30" s="71" t="s">
        <v>111</v>
      </c>
      <c r="C30" s="79">
        <v>0.19</v>
      </c>
      <c r="D30" s="79">
        <v>0.23</v>
      </c>
      <c r="E30" s="79">
        <v>0.2</v>
      </c>
      <c r="F30" s="80">
        <v>0.24</v>
      </c>
    </row>
    <row r="31" spans="1:6" ht="15.75" thickBot="1" x14ac:dyDescent="0.2">
      <c r="A31" s="74" t="s">
        <v>112</v>
      </c>
      <c r="B31" s="75" t="s">
        <v>113</v>
      </c>
      <c r="C31" s="77"/>
      <c r="D31" s="77"/>
      <c r="E31" s="77"/>
      <c r="F31" s="81"/>
    </row>
    <row r="32" spans="1:6" ht="15.75" thickBot="1" x14ac:dyDescent="0.2">
      <c r="A32" s="70" t="s">
        <v>114</v>
      </c>
      <c r="B32" s="71" t="s">
        <v>115</v>
      </c>
      <c r="C32" s="82">
        <v>0.3</v>
      </c>
      <c r="D32" s="82">
        <v>0.4</v>
      </c>
      <c r="E32" s="82">
        <v>0.30499999999999999</v>
      </c>
      <c r="F32" s="83">
        <v>0.39500000000000002</v>
      </c>
    </row>
    <row r="33" spans="1:6" ht="15.75" thickBot="1" x14ac:dyDescent="0.2">
      <c r="A33" s="74" t="s">
        <v>116</v>
      </c>
      <c r="B33" s="75" t="s">
        <v>117</v>
      </c>
      <c r="C33" s="76">
        <v>0.1225</v>
      </c>
      <c r="D33" s="76">
        <v>0.16250000000000001</v>
      </c>
      <c r="E33" s="76">
        <v>0.13</v>
      </c>
      <c r="F33" s="78">
        <v>0.17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N9" sqref="N9"/>
    </sheetView>
  </sheetViews>
  <sheetFormatPr defaultRowHeight="13.5" x14ac:dyDescent="0.15"/>
  <cols>
    <col min="1" max="1" width="9" style="1"/>
  </cols>
  <sheetData>
    <row r="1" spans="1:16" x14ac:dyDescent="0.15">
      <c r="A1" s="16" t="s">
        <v>36</v>
      </c>
      <c r="B1" s="2" t="s">
        <v>19</v>
      </c>
      <c r="C1" s="2" t="s">
        <v>24</v>
      </c>
      <c r="K1" s="32" t="s">
        <v>155</v>
      </c>
      <c r="L1" s="32" t="s">
        <v>152</v>
      </c>
      <c r="M1" s="32"/>
      <c r="N1" s="32"/>
      <c r="O1" s="32"/>
      <c r="P1" s="32"/>
    </row>
    <row r="2" spans="1:16" x14ac:dyDescent="0.15">
      <c r="A2" s="16" t="s">
        <v>3</v>
      </c>
      <c r="B2" s="2" t="s">
        <v>21</v>
      </c>
      <c r="C2" s="2" t="s">
        <v>25</v>
      </c>
      <c r="K2" s="32" t="s">
        <v>156</v>
      </c>
      <c r="L2" s="32" t="s">
        <v>157</v>
      </c>
      <c r="M2" s="32"/>
      <c r="N2" s="32"/>
      <c r="O2" s="32"/>
      <c r="P2" s="32"/>
    </row>
    <row r="3" spans="1:16" x14ac:dyDescent="0.15">
      <c r="A3" s="2" t="s">
        <v>5</v>
      </c>
      <c r="C3" s="2" t="s">
        <v>153</v>
      </c>
    </row>
    <row r="4" spans="1:16" x14ac:dyDescent="0.15">
      <c r="A4" s="2" t="s">
        <v>4</v>
      </c>
      <c r="C4" s="2" t="s">
        <v>154</v>
      </c>
    </row>
    <row r="5" spans="1:16" x14ac:dyDescent="0.15">
      <c r="A5" s="2" t="s">
        <v>6</v>
      </c>
    </row>
    <row r="6" spans="1:16" x14ac:dyDescent="0.15">
      <c r="A6" s="2" t="s">
        <v>35</v>
      </c>
    </row>
    <row r="7" spans="1:16" x14ac:dyDescent="0.15">
      <c r="A7" s="2" t="s">
        <v>42</v>
      </c>
    </row>
    <row r="8" spans="1:16" x14ac:dyDescent="0.15">
      <c r="A8" s="2" t="s">
        <v>43</v>
      </c>
    </row>
    <row r="9" spans="1:16" x14ac:dyDescent="0.15">
      <c r="A9" s="2" t="s">
        <v>161</v>
      </c>
    </row>
    <row r="10" spans="1:16" x14ac:dyDescent="0.15">
      <c r="A10" s="2" t="s">
        <v>169</v>
      </c>
    </row>
    <row r="11" spans="1:16" x14ac:dyDescent="0.15">
      <c r="A11" s="2" t="s">
        <v>176</v>
      </c>
    </row>
    <row r="12" spans="1:16" x14ac:dyDescent="0.15">
      <c r="A12" s="2" t="s">
        <v>177</v>
      </c>
    </row>
    <row r="13" spans="1:16" x14ac:dyDescent="0.15">
      <c r="A13" s="2" t="s">
        <v>178</v>
      </c>
    </row>
    <row r="14" spans="1:16" x14ac:dyDescent="0.15">
      <c r="A14" s="2"/>
    </row>
    <row r="15" spans="1:16" x14ac:dyDescent="0.15">
      <c r="A15" s="2"/>
    </row>
    <row r="16" spans="1:16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 x14ac:dyDescent="0.2">
      <c r="B1" s="156" t="s">
        <v>37</v>
      </c>
      <c r="C1" s="156"/>
    </row>
    <row r="2" spans="1:21" ht="12" thickTop="1" x14ac:dyDescent="0.15">
      <c r="B2" s="3" t="s">
        <v>0</v>
      </c>
      <c r="C2" s="4">
        <v>43061</v>
      </c>
    </row>
    <row r="3" spans="1:21" x14ac:dyDescent="0.15">
      <c r="B3" s="3" t="s">
        <v>1</v>
      </c>
      <c r="C3" s="3">
        <v>0.02</v>
      </c>
    </row>
    <row r="4" spans="1:21" ht="12" thickBot="1" x14ac:dyDescent="0.2">
      <c r="B4" s="5" t="s">
        <v>18</v>
      </c>
      <c r="C4" s="5">
        <v>0.01</v>
      </c>
    </row>
    <row r="5" spans="1:21" ht="12" thickTop="1" x14ac:dyDescent="0.15"/>
    <row r="6" spans="1:21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 x14ac:dyDescent="0.15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3494</v>
      </c>
      <c r="I8" s="19">
        <v>3800</v>
      </c>
      <c r="J8" s="21">
        <f ca="1">TODAY()</f>
        <v>43189</v>
      </c>
      <c r="K8" s="21">
        <f ca="1">J8+L8</f>
        <v>43219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27.765189899316397</v>
      </c>
      <c r="P8" s="25">
        <v>80</v>
      </c>
      <c r="Q8" s="24">
        <f>P8/10000*M8*H8*(-E8)</f>
        <v>2.2974246575342465</v>
      </c>
      <c r="R8" s="24">
        <f>O8+Q8</f>
        <v>30.062614556850644</v>
      </c>
      <c r="S8" s="26">
        <f>R8/H8</f>
        <v>8.6040682761450039E-3</v>
      </c>
      <c r="T8" s="24">
        <f>_xll.dnetGBlackScholesNGreeks("delta",$G8,$H8,$I8,$M8,$C$3,$C$4,$N8,$C$4)</f>
        <v>0.17771044906567113</v>
      </c>
      <c r="U8" s="24">
        <f>_xll.dnetGBlackScholesNGreeks("vega",$G8,$H8,$I8,$M8,$C$3,$C$4,$N8)</f>
        <v>2.6056385254135535</v>
      </c>
    </row>
    <row r="9" spans="1:21" x14ac:dyDescent="0.15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43189</v>
      </c>
      <c r="K9" s="8">
        <f ca="1">J9+L9</f>
        <v>43219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 x14ac:dyDescent="0.15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43189</v>
      </c>
      <c r="K10" s="8">
        <f ca="1">J10+L10</f>
        <v>43219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 x14ac:dyDescent="0.15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 x14ac:dyDescent="0.15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 x14ac:dyDescent="0.15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 x14ac:dyDescent="0.15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 x14ac:dyDescent="0.1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 x14ac:dyDescent="0.15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 x14ac:dyDescent="0.15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 x14ac:dyDescent="0.15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 x14ac:dyDescent="0.15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 x14ac:dyDescent="0.15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 x14ac:dyDescent="0.15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 x14ac:dyDescent="0.15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 x14ac:dyDescent="0.15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 x14ac:dyDescent="0.15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 x14ac:dyDescent="0.15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 x14ac:dyDescent="0.15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 x14ac:dyDescent="0.15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 x14ac:dyDescent="0.15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 x14ac:dyDescent="0.15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 x14ac:dyDescent="0.15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 x14ac:dyDescent="0.15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 x14ac:dyDescent="0.15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 x14ac:dyDescent="0.15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 x14ac:dyDescent="0.15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 x14ac:dyDescent="0.15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 x14ac:dyDescent="0.15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 x14ac:dyDescent="0.15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 x14ac:dyDescent="0.15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 x14ac:dyDescent="0.15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quate_van</vt:lpstr>
      <vt:lpstr>quote_sf</vt:lpstr>
      <vt:lpstr>recap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2018-03-30T03:01:16Z</dcterms:modified>
</cp:coreProperties>
</file>