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23" i="1" l="1"/>
  <c r="I23" i="1"/>
  <c r="E23" i="1"/>
  <c r="F23" i="1" s="1"/>
  <c r="R22" i="1"/>
  <c r="I22" i="1"/>
  <c r="N22" i="1" s="1"/>
  <c r="E22" i="1"/>
  <c r="F22" i="1" s="1"/>
  <c r="R21" i="1"/>
  <c r="I21" i="1"/>
  <c r="N21" i="1" s="1"/>
  <c r="E21" i="1"/>
  <c r="F21" i="1" s="1"/>
  <c r="R20" i="1"/>
  <c r="I20" i="1"/>
  <c r="E20" i="1"/>
  <c r="F20" i="1" s="1"/>
  <c r="L21" i="1"/>
  <c r="V22" i="1"/>
  <c r="L20" i="1"/>
  <c r="V20" i="1"/>
  <c r="U21" i="1"/>
  <c r="L23" i="1"/>
  <c r="V23" i="1"/>
  <c r="U20" i="1"/>
  <c r="V21" i="1"/>
  <c r="L22" i="1"/>
  <c r="O22" i="1" l="1"/>
  <c r="T22" i="1" s="1"/>
  <c r="N23" i="1"/>
  <c r="O23" i="1" s="1"/>
  <c r="T23" i="1" s="1"/>
  <c r="O21" i="1"/>
  <c r="T21" i="1" s="1"/>
  <c r="N20" i="1"/>
  <c r="O20" i="1" s="1"/>
  <c r="T20" i="1" s="1"/>
  <c r="U22" i="1"/>
  <c r="U23" i="1"/>
  <c r="I18" i="1" l="1"/>
  <c r="R18" i="1"/>
  <c r="E18" i="1"/>
  <c r="F18" i="1" s="1"/>
  <c r="P18" i="1"/>
  <c r="V18" i="1"/>
  <c r="N18" i="1" l="1"/>
  <c r="L18" i="1"/>
  <c r="U18" i="1"/>
  <c r="O18" i="1" l="1"/>
  <c r="T18" i="1" s="1"/>
  <c r="I17" i="1" l="1"/>
  <c r="I16" i="1"/>
  <c r="R16" i="1"/>
  <c r="E16" i="1"/>
  <c r="F16" i="1" s="1"/>
  <c r="R17" i="1"/>
  <c r="E17" i="1"/>
  <c r="F17" i="1" s="1"/>
  <c r="R15" i="1"/>
  <c r="I15" i="1"/>
  <c r="E15" i="1"/>
  <c r="F15" i="1" s="1"/>
  <c r="R14" i="1"/>
  <c r="I14" i="1"/>
  <c r="E14" i="1"/>
  <c r="F14" i="1" s="1"/>
  <c r="U16" i="1"/>
  <c r="L16" i="1"/>
  <c r="L17" i="1"/>
  <c r="P15" i="1"/>
  <c r="P14" i="1"/>
  <c r="V15" i="1"/>
  <c r="L14" i="1"/>
  <c r="N16" i="1" l="1"/>
  <c r="O16" i="1" s="1"/>
  <c r="T16" i="1" s="1"/>
  <c r="N17" i="1"/>
  <c r="O17" i="1" s="1"/>
  <c r="T17" i="1" s="1"/>
  <c r="N15" i="1"/>
  <c r="N14" i="1"/>
  <c r="O14" i="1" s="1"/>
  <c r="T14" i="1" s="1"/>
  <c r="D26" i="2"/>
  <c r="R13" i="1"/>
  <c r="I13" i="1"/>
  <c r="E13" i="1"/>
  <c r="F13" i="1" s="1"/>
  <c r="R12" i="1"/>
  <c r="I12" i="1"/>
  <c r="E12" i="1"/>
  <c r="F12" i="1" s="1"/>
  <c r="I11" i="1"/>
  <c r="U17" i="1"/>
  <c r="V17" i="1"/>
  <c r="V16" i="1"/>
  <c r="P13" i="1"/>
  <c r="V13" i="1"/>
  <c r="U15" i="1"/>
  <c r="P12" i="1"/>
  <c r="U13" i="1"/>
  <c r="L15" i="1"/>
  <c r="L12" i="1"/>
  <c r="U14" i="1"/>
  <c r="P11" i="1"/>
  <c r="V14" i="1"/>
  <c r="O15" i="1" l="1"/>
  <c r="T15" i="1" s="1"/>
  <c r="N12" i="1"/>
  <c r="O12" i="1" s="1"/>
  <c r="T12" i="1" s="1"/>
  <c r="N13" i="1"/>
  <c r="U12" i="1"/>
  <c r="L13" i="1"/>
  <c r="V12" i="1"/>
  <c r="O13" i="1" l="1"/>
  <c r="T13" i="1" s="1"/>
  <c r="R11" i="1"/>
  <c r="E11" i="1"/>
  <c r="F11" i="1" s="1"/>
  <c r="R10" i="1"/>
  <c r="I10" i="1"/>
  <c r="E10" i="1"/>
  <c r="F10" i="1" s="1"/>
  <c r="V11" i="1"/>
  <c r="L11" i="1"/>
  <c r="V10" i="1"/>
  <c r="N10" i="1" l="1"/>
  <c r="N11" i="1"/>
  <c r="O11" i="1" s="1"/>
  <c r="T11" i="1" s="1"/>
  <c r="E10" i="9"/>
  <c r="U10" i="1"/>
  <c r="U11" i="1"/>
  <c r="L10" i="1"/>
  <c r="O10" i="1" l="1"/>
  <c r="T10" i="1" s="1"/>
  <c r="K9" i="9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V9" i="9"/>
  <c r="U8" i="9"/>
  <c r="M8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T9" i="7"/>
  <c r="T10" i="7"/>
  <c r="H8" i="8"/>
  <c r="K9" i="8"/>
  <c r="H8" i="7"/>
  <c r="U10" i="7"/>
  <c r="U9" i="7"/>
  <c r="O9" i="7"/>
  <c r="U8" i="8" l="1"/>
  <c r="Q9" i="7"/>
  <c r="R9" i="7" s="1"/>
  <c r="S9" i="7" s="1"/>
  <c r="Q10" i="7"/>
  <c r="R10" i="7" s="1"/>
  <c r="S10" i="7" s="1"/>
  <c r="Q8" i="7"/>
  <c r="O8" i="7"/>
  <c r="T8" i="7"/>
  <c r="X9" i="8"/>
  <c r="K8" i="8"/>
  <c r="S9" i="8"/>
  <c r="U8" i="7"/>
  <c r="Y9" i="8"/>
  <c r="V9" i="8" l="1"/>
  <c r="W9" i="8" s="1"/>
  <c r="R8" i="7"/>
  <c r="S8" i="7" s="1"/>
  <c r="X8" i="8"/>
  <c r="Y8" i="8"/>
  <c r="S8" i="8"/>
  <c r="V8" i="8" l="1"/>
  <c r="W8" i="8" s="1"/>
  <c r="R9" i="1"/>
  <c r="R8" i="1"/>
  <c r="I9" i="1" l="1"/>
  <c r="E9" i="1"/>
  <c r="F9" i="1" s="1"/>
  <c r="I8" i="1"/>
  <c r="E8" i="1"/>
  <c r="F8" i="1" s="1"/>
  <c r="U9" i="1"/>
  <c r="V9" i="1"/>
  <c r="P8" i="1"/>
  <c r="L9" i="1"/>
  <c r="N8" i="1" l="1"/>
  <c r="N9" i="1"/>
  <c r="O9" i="1" s="1"/>
  <c r="T9" i="1" s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<sst xmlns="http://schemas.openxmlformats.org/spreadsheetml/2006/main" count="633" uniqueCount="208">
  <si>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</si>
  <si>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</si>
  <si>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</si>
  <si>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</si>
  <si>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</si>
  <si>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</si>
  <si>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</si>
  <si>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</si>
  <si>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</si>
  <si>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</si>
  <si>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</si>
  <si>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</si>
  <si>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</si>
  <si>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</si>
  <si>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</si>
  <si>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</si>
  <si>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</si>
  <si>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</si>
  <si>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</si>
  <si>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</si>
  <si>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</si>
  <si>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</si>
  <si>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</si>
  <si>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</si>
  <si>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</si>
  <si>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</si>
  <si>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</si>
  <si>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</si>
  <si>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</si>
  <si>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</si>
  <si>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</si>
  <si>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</si>
  <si>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</si>
  <si>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</si>
  <si>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</si>
  <si>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</si>
  <si>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</si>
  <si>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</si>
  <si>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</si>
  <si>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</si>
  <si>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</si>
  <si>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</si>
  <si>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</si>
  <si>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</si>
  <si>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</si>
  <si>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</si>
  <si>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</si>
  <si>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</si>
  <si>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</si>
  <si>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</si>
  <si>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</si>
  <si>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</si>
  <si>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</si>
  <si>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</si>
  <si>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</si>
  <si>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</si>
  <si>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</si>
  <si>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</si>
  <si>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</si>
  <si>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</si>
  <si>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</si>
  <si>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</si>
  <si>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</si>
  <si>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</si>
  <si>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</si>
  <si>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</si>
  <si>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</si>
  <si>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</si>
  <si>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</si>
  <si>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</si>
  <si>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</si>
  <si>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</si>
  <si>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</si>
  <si>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</si>
  <si>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</si>
  <si>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</si>
  <si>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</si>
  <si>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</si>
  <si>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</si>
  <si>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</si>
  <si>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</si>
  <si>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</si>
  <si>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</si>
  <si>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</si>
  <si>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</si>
  <si>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</si>
  <si>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</si>
  <si>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</si>
  <si>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</si>
  <si>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</si>
  <si>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</si>
  <si>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</si>
  <si>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</si>
  <si>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</si>
  <si>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</si>
  <si>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</si>
  <si>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</si>
  <si>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</si>
  <si>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</si>
  <si>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</si>
  <si>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</si>
  <si>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</si>
  <si>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</si>
  <si>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</si>
  <si>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</si>
  <si>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</si>
  <si>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</si>
  <si>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</si>
  <si>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</si>
  <si>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</si>
  <si>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</si>
  <si>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</si>
  <si>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</si>
  <si>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</si>
  <si>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</si>
  <si>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</si>
  <si>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</si>
  <si>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</si>
  <si>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</si>
  <si>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</si>
  <si>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</si>
  <si>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</si>
  <si>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</si>
  <si>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</si>
  <si>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</si>
  <si>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</si>
  <si>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</si>
  <si>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</si>
  <si>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</si>
  <si>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</si>
  <si>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</si>
  <si>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</si>
  <si>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</si>
  <si>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</si>
  <si>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</si>
  <si>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</si>
  <si>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</si>
  <si>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</si>
  <si>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</si>
  <si>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</si>
  <si>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</si>
  <si>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</si>
  <si>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</si>
  <si>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</si>
  <si>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</si>
  <si>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</si>
  <si>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</si>
  <si>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</si>
  <si>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</si>
  <si>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</si>
  <si>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</si>
  <si>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</si>
  <si>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</si>
  <si>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</si>
  <si>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</si>
  <si>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</si>
  <si>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</si>
  <si>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</si>
  <si>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</si>
  <si>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</si>
  <si>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</si>
  <si>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</si>
  <si>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</si>
  <si>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</si>
  <si>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</si>
  <si>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</si>
  <si>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</si>
  <si>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</si>
  <si>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</si>
  <si>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</si>
  <si>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</si>
  <si>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</si>
  <si>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</si>
  <si>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</si>
  <si>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</si>
  <si>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</si>
  <si>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</si>
  <si>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</si>
  <si>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</si>
  <si>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</si>
  <si>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</si>
  <si>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</si>
  <si>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</si>
  <si>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</si>
  <si>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</si>
  <si>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</si>
  <si>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</si>
  <si>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</si>
  <si>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</si>
  <si>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</si>
  <si>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交易量（吨）：</t>
    <phoneticPr fontId="1" type="noConversion"/>
  </si>
  <si>
    <t>rb1810</t>
  </si>
  <si>
    <t>cf805</t>
  </si>
  <si>
    <t>zc805</t>
    <phoneticPr fontId="1" type="noConversion"/>
  </si>
  <si>
    <t>T1806</t>
  </si>
  <si>
    <t>T1806</t>
    <phoneticPr fontId="1" type="noConversion"/>
  </si>
  <si>
    <t>rb1810</t>
    <phoneticPr fontId="1" type="noConversion"/>
  </si>
  <si>
    <t>中凯鸿鸣</t>
    <phoneticPr fontId="1" type="noConversion"/>
  </si>
  <si>
    <t>中金公司</t>
    <phoneticPr fontId="1" type="noConversion"/>
  </si>
  <si>
    <t>看跌期权</t>
    <phoneticPr fontId="1" type="noConversion"/>
  </si>
  <si>
    <t>ZC805</t>
    <phoneticPr fontId="1" type="noConversion"/>
  </si>
  <si>
    <t>RMB</t>
    <phoneticPr fontId="1" type="noConversion"/>
  </si>
  <si>
    <t>au9999</t>
  </si>
  <si>
    <t>au9999</t>
    <phoneticPr fontId="1" type="noConversion"/>
  </si>
  <si>
    <t>ta</t>
    <phoneticPr fontId="1" type="noConversion"/>
  </si>
  <si>
    <t>pp</t>
    <phoneticPr fontId="1" type="noConversion"/>
  </si>
  <si>
    <t>l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</si>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</sst>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  <numFmt numFmtId="181" formatCode="###,###,##0.000"/>
    <numFmt numFmtId="183" formatCode="0.00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94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181" fontId="5" fillId="9" borderId="2" xfId="0" applyNumberFormat="1" applyFont="1" applyFill="1" applyBorder="1"/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4" fontId="7" fillId="10" borderId="0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83" fontId="5" fillId="4" borderId="2" xfId="0" applyNumberFormat="1" applyFont="1" applyFill="1" applyBorder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3782</v>
        <stp/>
        <stp>rb1810</stp>
        <stp>LastPrice</stp>
        <tr r="P12" s="1"/>
        <tr r="P13" s="1"/>
        <tr r="P14" s="1"/>
        <tr r="P15" s="1"/>
        <tr r="P18" s="1"/>
      </tp>
      <tp>
        <v>91.905000000000001</v>
        <stp/>
        <stp>T1806</stp>
        <stp>LastPrice</stp>
        <tr r="P11" s="1"/>
      </tp>
      <tp>
        <v>3940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37"/>
  <sheetViews>
    <sheetView topLeftCell="A7" zoomScaleNormal="100" workbookViewId="0">
      <selection activeCell="S34" sqref="S34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70" t="s">
        <v>158</v>
      </c>
      <c r="C1" s="170"/>
      <c r="D1" s="170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>
      <c r="B9" s="115" t="s">
        <v>160</v>
      </c>
      <c r="C9" s="115" t="s">
        <v>191</v>
      </c>
      <c r="D9" s="116">
        <v>43119</v>
      </c>
      <c r="E9" s="116">
        <v>43189</v>
      </c>
      <c r="F9" s="115">
        <v>3650</v>
      </c>
      <c r="G9" s="115">
        <v>70</v>
      </c>
      <c r="H9" s="115">
        <v>0.17808219178082191</v>
      </c>
      <c r="I9" s="115">
        <v>0</v>
      </c>
      <c r="J9" s="115">
        <v>0.19</v>
      </c>
      <c r="K9" s="115">
        <v>82.749480015912013</v>
      </c>
      <c r="L9" s="115"/>
      <c r="M9" s="115">
        <v>0</v>
      </c>
      <c r="N9" s="167">
        <v>82.749480015912013</v>
      </c>
      <c r="O9" s="115">
        <v>3728</v>
      </c>
      <c r="P9" s="115" t="s">
        <v>85</v>
      </c>
      <c r="Q9" s="115">
        <v>1</v>
      </c>
      <c r="R9" s="115" t="s">
        <v>151</v>
      </c>
    </row>
    <row r="10" spans="2:18">
      <c r="B10" s="115" t="s">
        <v>160</v>
      </c>
      <c r="C10" s="115" t="s">
        <v>191</v>
      </c>
      <c r="D10" s="116">
        <v>43119</v>
      </c>
      <c r="E10" s="116">
        <v>43189</v>
      </c>
      <c r="F10" s="115">
        <v>3700</v>
      </c>
      <c r="G10" s="115">
        <v>70</v>
      </c>
      <c r="H10" s="115">
        <v>0.17808219178082191</v>
      </c>
      <c r="I10" s="115">
        <v>0</v>
      </c>
      <c r="J10" s="115">
        <v>0.19</v>
      </c>
      <c r="K10" s="115">
        <v>104.91801880194794</v>
      </c>
      <c r="L10" s="115"/>
      <c r="M10" s="115">
        <v>0</v>
      </c>
      <c r="N10" s="167">
        <v>104.91801880194794</v>
      </c>
      <c r="O10" s="115">
        <v>3728</v>
      </c>
      <c r="P10" s="115" t="s">
        <v>85</v>
      </c>
      <c r="Q10" s="115">
        <v>1</v>
      </c>
      <c r="R10" s="115" t="s">
        <v>151</v>
      </c>
    </row>
    <row r="11" spans="2:18">
      <c r="B11" s="115" t="s">
        <v>160</v>
      </c>
      <c r="C11" s="115" t="s">
        <v>191</v>
      </c>
      <c r="D11" s="116">
        <v>43119</v>
      </c>
      <c r="E11" s="116">
        <v>43189</v>
      </c>
      <c r="F11" s="115">
        <v>3750</v>
      </c>
      <c r="G11" s="115">
        <v>70</v>
      </c>
      <c r="H11" s="115">
        <v>0.17808219178082191</v>
      </c>
      <c r="I11" s="115">
        <v>0</v>
      </c>
      <c r="J11" s="115">
        <v>0.19</v>
      </c>
      <c r="K11" s="115">
        <v>130.42375876594815</v>
      </c>
      <c r="L11" s="115"/>
      <c r="M11" s="115">
        <v>0</v>
      </c>
      <c r="N11" s="167">
        <v>130.42375876594815</v>
      </c>
      <c r="O11" s="115">
        <v>3728</v>
      </c>
      <c r="P11" s="115" t="s">
        <v>85</v>
      </c>
      <c r="Q11" s="115">
        <v>1</v>
      </c>
      <c r="R11" s="115" t="s">
        <v>151</v>
      </c>
    </row>
    <row r="12" spans="2:18">
      <c r="B12" s="115"/>
      <c r="C12" s="115"/>
      <c r="D12" s="116"/>
      <c r="E12" s="116"/>
      <c r="F12" s="115"/>
      <c r="G12" s="115"/>
      <c r="H12" s="115"/>
      <c r="I12" s="115"/>
      <c r="J12" s="115"/>
      <c r="K12" s="115"/>
      <c r="L12" s="115"/>
      <c r="M12" s="115"/>
      <c r="N12" s="167"/>
      <c r="O12" s="115"/>
      <c r="P12" s="115"/>
      <c r="Q12" s="115"/>
      <c r="R12" s="115"/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192</v>
      </c>
      <c r="D16" s="116">
        <v>43123</v>
      </c>
      <c r="E16" s="116">
        <v>43182</v>
      </c>
      <c r="F16" s="115">
        <v>15525</v>
      </c>
      <c r="G16" s="115">
        <v>59</v>
      </c>
      <c r="H16" s="115">
        <v>0.14794520547945206</v>
      </c>
      <c r="I16" s="115">
        <v>0</v>
      </c>
      <c r="J16" s="115">
        <v>0.1</v>
      </c>
      <c r="K16" s="115">
        <v>237.5091337591839</v>
      </c>
      <c r="L16" s="115"/>
      <c r="M16" s="115">
        <v>0</v>
      </c>
      <c r="N16" s="168">
        <v>237.5091337591839</v>
      </c>
      <c r="O16" s="115">
        <v>15525</v>
      </c>
      <c r="P16" s="115" t="s">
        <v>39</v>
      </c>
      <c r="Q16" s="115">
        <v>1</v>
      </c>
      <c r="R16" s="115" t="s">
        <v>151</v>
      </c>
    </row>
    <row r="17" spans="2:18">
      <c r="B17" s="115" t="s">
        <v>160</v>
      </c>
      <c r="C17" s="115" t="s">
        <v>192</v>
      </c>
      <c r="D17" s="116">
        <v>43123</v>
      </c>
      <c r="E17" s="116">
        <v>43182</v>
      </c>
      <c r="F17" s="115">
        <v>16000</v>
      </c>
      <c r="G17" s="115">
        <v>59</v>
      </c>
      <c r="H17" s="115">
        <v>0.14794520547945206</v>
      </c>
      <c r="I17" s="115">
        <v>0</v>
      </c>
      <c r="J17" s="115">
        <v>0.1</v>
      </c>
      <c r="K17" s="115">
        <v>74.781901825362638</v>
      </c>
      <c r="L17" s="115"/>
      <c r="M17" s="115">
        <v>0</v>
      </c>
      <c r="N17" s="168">
        <v>74.781901825362638</v>
      </c>
      <c r="O17" s="115">
        <v>15525</v>
      </c>
      <c r="P17" s="115" t="s">
        <v>39</v>
      </c>
      <c r="Q17" s="115">
        <v>1</v>
      </c>
      <c r="R17" s="115" t="s">
        <v>151</v>
      </c>
    </row>
    <row r="18" spans="2:18">
      <c r="B18" s="115"/>
      <c r="C18" s="115"/>
      <c r="D18" s="116"/>
      <c r="E18" s="116"/>
      <c r="F18" s="115"/>
      <c r="G18" s="115"/>
      <c r="H18" s="115"/>
      <c r="I18" s="115"/>
      <c r="J18" s="115"/>
      <c r="K18" s="115"/>
      <c r="L18" s="115"/>
      <c r="M18" s="115"/>
      <c r="N18" s="167"/>
      <c r="O18" s="115"/>
      <c r="P18" s="115"/>
      <c r="Q18" s="115"/>
      <c r="R18" s="115"/>
    </row>
    <row r="19" spans="2:18">
      <c r="B19" s="115"/>
      <c r="C19" s="115"/>
      <c r="D19" s="116"/>
      <c r="E19" s="116"/>
      <c r="F19" s="115"/>
      <c r="G19" s="115"/>
      <c r="H19" s="115"/>
      <c r="I19" s="115"/>
      <c r="J19" s="115"/>
      <c r="K19" s="115"/>
      <c r="L19" s="115"/>
      <c r="M19" s="115"/>
      <c r="N19" s="167"/>
      <c r="O19" s="115"/>
      <c r="P19" s="115"/>
      <c r="Q19" s="115"/>
      <c r="R19" s="115"/>
    </row>
    <row r="20" spans="2:18">
      <c r="B20" s="114" t="s">
        <v>2</v>
      </c>
      <c r="C20" s="49" t="s">
        <v>185</v>
      </c>
      <c r="D20" s="49" t="s">
        <v>184</v>
      </c>
      <c r="E20" s="49" t="s">
        <v>10</v>
      </c>
      <c r="F20" s="49" t="s">
        <v>188</v>
      </c>
      <c r="G20" s="49" t="s">
        <v>11</v>
      </c>
      <c r="H20" s="49" t="s">
        <v>12</v>
      </c>
      <c r="I20" s="49" t="s">
        <v>47</v>
      </c>
      <c r="J20" s="49" t="s">
        <v>13</v>
      </c>
      <c r="K20" s="49" t="s">
        <v>14</v>
      </c>
      <c r="L20" s="49" t="s">
        <v>26</v>
      </c>
      <c r="M20" s="49" t="s">
        <v>28</v>
      </c>
      <c r="N20" s="49" t="s">
        <v>186</v>
      </c>
      <c r="O20" s="49" t="s">
        <v>8</v>
      </c>
      <c r="P20" s="49" t="s">
        <v>23</v>
      </c>
      <c r="Q20" s="49"/>
      <c r="R20" s="49" t="s">
        <v>30</v>
      </c>
    </row>
    <row r="21" spans="2:18">
      <c r="B21" s="115" t="s">
        <v>160</v>
      </c>
      <c r="C21" s="115" t="s">
        <v>194</v>
      </c>
      <c r="D21" s="116">
        <v>43125</v>
      </c>
      <c r="E21" s="116">
        <v>43245</v>
      </c>
      <c r="F21" s="115">
        <v>89</v>
      </c>
      <c r="G21" s="115">
        <v>120</v>
      </c>
      <c r="H21" s="115">
        <v>0.31506849315068491</v>
      </c>
      <c r="I21" s="115">
        <v>0</v>
      </c>
      <c r="J21" s="115">
        <v>6.5000000000000002E-2</v>
      </c>
      <c r="K21" s="115">
        <v>-3.1153949326039481</v>
      </c>
      <c r="L21" s="115">
        <v>0</v>
      </c>
      <c r="M21" s="115">
        <v>0</v>
      </c>
      <c r="N21" s="167">
        <v>3.1153949326039481</v>
      </c>
      <c r="O21" s="115">
        <v>91.765000000000001</v>
      </c>
      <c r="P21" s="115" t="s">
        <v>39</v>
      </c>
      <c r="Q21" s="115">
        <v>-1</v>
      </c>
      <c r="R21" s="115" t="s">
        <v>20</v>
      </c>
    </row>
    <row r="22" spans="2:18">
      <c r="B22" s="115"/>
      <c r="C22" s="115"/>
      <c r="D22" s="116"/>
      <c r="E22" s="116"/>
      <c r="F22" s="115"/>
      <c r="G22" s="115"/>
      <c r="H22" s="115"/>
      <c r="I22" s="115"/>
      <c r="J22" s="115"/>
      <c r="K22" s="115"/>
      <c r="L22" s="115"/>
      <c r="M22" s="115"/>
      <c r="N22" s="167"/>
      <c r="O22" s="115"/>
      <c r="P22" s="115"/>
      <c r="Q22" s="115"/>
      <c r="R22" s="115"/>
    </row>
    <row r="23" spans="2:18">
      <c r="B23" s="115"/>
      <c r="C23" s="115"/>
      <c r="D23" s="116"/>
      <c r="E23" s="116"/>
      <c r="F23" s="115"/>
      <c r="G23" s="115"/>
      <c r="H23" s="115"/>
      <c r="I23" s="115"/>
      <c r="J23" s="115"/>
      <c r="K23" s="115"/>
      <c r="L23" s="115"/>
      <c r="M23" s="115"/>
      <c r="N23" s="167"/>
      <c r="O23" s="115"/>
      <c r="P23" s="115"/>
      <c r="Q23" s="115"/>
      <c r="R23" s="115"/>
    </row>
    <row r="24" spans="2:18">
      <c r="B24" s="115"/>
      <c r="C24" s="115"/>
      <c r="D24" s="116"/>
      <c r="E24" s="116"/>
      <c r="F24" s="115"/>
      <c r="G24" s="115"/>
      <c r="H24" s="115"/>
      <c r="I24" s="115"/>
      <c r="J24" s="115"/>
      <c r="K24" s="115"/>
      <c r="L24" s="115"/>
      <c r="M24" s="115"/>
      <c r="N24" s="167"/>
      <c r="O24" s="115"/>
      <c r="P24" s="115"/>
      <c r="Q24" s="115"/>
      <c r="R24" s="115"/>
    </row>
    <row r="25" spans="2:18">
      <c r="B25" s="114" t="s">
        <v>2</v>
      </c>
      <c r="C25" s="49" t="s">
        <v>185</v>
      </c>
      <c r="D25" s="49" t="s">
        <v>184</v>
      </c>
      <c r="E25" s="49" t="s">
        <v>10</v>
      </c>
      <c r="F25" s="49" t="s">
        <v>188</v>
      </c>
      <c r="G25" s="49" t="s">
        <v>11</v>
      </c>
      <c r="H25" s="49" t="s">
        <v>12</v>
      </c>
      <c r="I25" s="49" t="s">
        <v>47</v>
      </c>
      <c r="J25" s="49" t="s">
        <v>13</v>
      </c>
      <c r="K25" s="49" t="s">
        <v>14</v>
      </c>
      <c r="L25" s="49" t="s">
        <v>26</v>
      </c>
      <c r="M25" s="49" t="s">
        <v>28</v>
      </c>
      <c r="N25" s="49" t="s">
        <v>186</v>
      </c>
      <c r="O25" s="49" t="s">
        <v>8</v>
      </c>
      <c r="P25" s="49" t="s">
        <v>23</v>
      </c>
      <c r="Q25" s="49"/>
      <c r="R25" s="49" t="s">
        <v>30</v>
      </c>
    </row>
    <row r="26" spans="2:18">
      <c r="B26" s="115" t="s">
        <v>160</v>
      </c>
      <c r="C26" s="115" t="s">
        <v>191</v>
      </c>
      <c r="D26" s="116">
        <v>43126</v>
      </c>
      <c r="E26" s="116">
        <v>43189</v>
      </c>
      <c r="F26" s="115">
        <v>3600</v>
      </c>
      <c r="G26" s="115">
        <v>63</v>
      </c>
      <c r="H26" s="115">
        <v>0.15890410958904111</v>
      </c>
      <c r="I26" s="115">
        <v>0</v>
      </c>
      <c r="J26" s="115">
        <v>0.17</v>
      </c>
      <c r="K26" s="115">
        <v>33.735271741150655</v>
      </c>
      <c r="L26" s="115">
        <v>0</v>
      </c>
      <c r="M26" s="115">
        <v>0</v>
      </c>
      <c r="N26" s="167">
        <v>33.735271741150655</v>
      </c>
      <c r="O26" s="115">
        <v>3783</v>
      </c>
      <c r="P26" s="115" t="s">
        <v>85</v>
      </c>
      <c r="Q26" s="115">
        <v>1</v>
      </c>
      <c r="R26" s="115" t="s">
        <v>151</v>
      </c>
    </row>
    <row r="27" spans="2:18">
      <c r="B27" s="115" t="s">
        <v>160</v>
      </c>
      <c r="C27" s="115" t="s">
        <v>191</v>
      </c>
      <c r="D27" s="116">
        <v>43126</v>
      </c>
      <c r="E27" s="116">
        <v>43189</v>
      </c>
      <c r="F27" s="115">
        <v>3650</v>
      </c>
      <c r="G27" s="115">
        <v>63</v>
      </c>
      <c r="H27" s="115">
        <v>0.15890410958904111</v>
      </c>
      <c r="I27" s="115">
        <v>0</v>
      </c>
      <c r="J27" s="115">
        <v>0.17</v>
      </c>
      <c r="K27" s="115">
        <v>47.491507792809216</v>
      </c>
      <c r="L27" s="115">
        <v>0</v>
      </c>
      <c r="M27" s="115">
        <v>0</v>
      </c>
      <c r="N27" s="167">
        <v>47.491507792809216</v>
      </c>
      <c r="O27" s="115">
        <v>3783</v>
      </c>
      <c r="P27" s="115" t="s">
        <v>85</v>
      </c>
      <c r="Q27" s="115">
        <v>1</v>
      </c>
      <c r="R27" s="115" t="s">
        <v>151</v>
      </c>
    </row>
    <row r="28" spans="2:18">
      <c r="B28" s="115" t="s">
        <v>160</v>
      </c>
      <c r="C28" s="115" t="s">
        <v>191</v>
      </c>
      <c r="D28" s="116">
        <v>43126</v>
      </c>
      <c r="E28" s="116">
        <v>43189</v>
      </c>
      <c r="F28" s="115">
        <v>3700</v>
      </c>
      <c r="G28" s="115">
        <v>63</v>
      </c>
      <c r="H28" s="115">
        <v>0.15890410958904111</v>
      </c>
      <c r="I28" s="115">
        <v>0</v>
      </c>
      <c r="J28" s="115">
        <v>0.17</v>
      </c>
      <c r="K28" s="115">
        <v>64.794771045201514</v>
      </c>
      <c r="L28" s="115">
        <v>0</v>
      </c>
      <c r="M28" s="115">
        <v>0</v>
      </c>
      <c r="N28" s="167">
        <v>64.794771045201514</v>
      </c>
      <c r="O28" s="115">
        <v>3783</v>
      </c>
      <c r="P28" s="115" t="s">
        <v>85</v>
      </c>
      <c r="Q28" s="115">
        <v>1</v>
      </c>
      <c r="R28" s="115" t="s">
        <v>151</v>
      </c>
    </row>
    <row r="29" spans="2:18">
      <c r="B29" s="115"/>
      <c r="C29" s="115"/>
      <c r="D29" s="116"/>
      <c r="E29" s="116"/>
      <c r="F29" s="115"/>
      <c r="G29" s="115"/>
      <c r="H29" s="115"/>
      <c r="I29" s="115"/>
      <c r="J29" s="115"/>
      <c r="K29" s="115"/>
      <c r="L29" s="115"/>
      <c r="M29" s="115"/>
      <c r="N29" s="167"/>
      <c r="O29" s="115"/>
      <c r="P29" s="115"/>
      <c r="Q29" s="115"/>
      <c r="R29" s="115"/>
    </row>
    <row r="30" spans="2:18">
      <c r="B30" s="114"/>
      <c r="C30" s="49" t="s">
        <v>185</v>
      </c>
      <c r="D30" s="49" t="s">
        <v>184</v>
      </c>
      <c r="E30" s="49" t="s">
        <v>10</v>
      </c>
      <c r="F30" s="49" t="s">
        <v>188</v>
      </c>
      <c r="G30" s="49" t="s">
        <v>11</v>
      </c>
      <c r="H30" s="49" t="s">
        <v>12</v>
      </c>
      <c r="I30" s="49" t="s">
        <v>47</v>
      </c>
      <c r="J30" s="49" t="s">
        <v>13</v>
      </c>
      <c r="K30" s="49" t="s">
        <v>14</v>
      </c>
      <c r="L30" s="49" t="s">
        <v>26</v>
      </c>
      <c r="M30" s="49" t="s">
        <v>28</v>
      </c>
      <c r="N30" s="49" t="s">
        <v>186</v>
      </c>
      <c r="O30" s="49" t="s">
        <v>8</v>
      </c>
      <c r="P30" s="49" t="s">
        <v>23</v>
      </c>
      <c r="Q30" s="49"/>
      <c r="R30" s="49" t="s">
        <v>30</v>
      </c>
    </row>
    <row r="31" spans="2:18">
      <c r="B31" s="115"/>
      <c r="C31" s="115" t="s">
        <v>202</v>
      </c>
      <c r="D31" s="116">
        <v>43126</v>
      </c>
      <c r="E31" s="116">
        <v>43307</v>
      </c>
      <c r="F31" s="115">
        <v>100</v>
      </c>
      <c r="G31" s="115">
        <v>181</v>
      </c>
      <c r="H31" s="115">
        <v>0.49589041095890413</v>
      </c>
      <c r="I31" s="115">
        <v>3.5000000000000003E-2</v>
      </c>
      <c r="J31" s="115">
        <v>0.12</v>
      </c>
      <c r="K31" s="115">
        <v>-4.3035974084431246</v>
      </c>
      <c r="L31" s="115">
        <v>0</v>
      </c>
      <c r="M31" s="115">
        <v>0</v>
      </c>
      <c r="N31" s="167">
        <v>4.3035974084431246</v>
      </c>
      <c r="O31" s="115">
        <v>100</v>
      </c>
      <c r="P31" s="115" t="s">
        <v>39</v>
      </c>
      <c r="Q31" s="115">
        <v>-1</v>
      </c>
      <c r="R31" s="115" t="s">
        <v>20</v>
      </c>
    </row>
    <row r="32" spans="2:18">
      <c r="B32" s="115"/>
      <c r="C32" s="115" t="s">
        <v>202</v>
      </c>
      <c r="D32" s="116">
        <v>43126</v>
      </c>
      <c r="E32" s="116">
        <v>43491</v>
      </c>
      <c r="F32" s="115">
        <v>100</v>
      </c>
      <c r="G32" s="115">
        <v>365</v>
      </c>
      <c r="H32" s="115">
        <v>1</v>
      </c>
      <c r="I32" s="115">
        <v>3.5000000000000003E-2</v>
      </c>
      <c r="J32" s="115">
        <v>0.12</v>
      </c>
      <c r="K32" s="115">
        <v>-6.7202737777385977</v>
      </c>
      <c r="L32" s="115">
        <v>0</v>
      </c>
      <c r="M32" s="115">
        <v>0</v>
      </c>
      <c r="N32" s="167">
        <v>6.7202737777385977</v>
      </c>
      <c r="O32" s="115">
        <v>100</v>
      </c>
      <c r="P32" s="115" t="s">
        <v>39</v>
      </c>
      <c r="Q32" s="115">
        <v>-1</v>
      </c>
      <c r="R32" s="115" t="s">
        <v>20</v>
      </c>
    </row>
    <row r="33" spans="2:18">
      <c r="B33" s="114"/>
      <c r="C33" s="49" t="s">
        <v>185</v>
      </c>
      <c r="D33" s="49" t="s">
        <v>184</v>
      </c>
      <c r="E33" s="49" t="s">
        <v>10</v>
      </c>
      <c r="F33" s="49" t="s">
        <v>188</v>
      </c>
      <c r="G33" s="49" t="s">
        <v>11</v>
      </c>
      <c r="H33" s="49" t="s">
        <v>12</v>
      </c>
      <c r="I33" s="49" t="s">
        <v>47</v>
      </c>
      <c r="J33" s="49" t="s">
        <v>13</v>
      </c>
      <c r="K33" s="49" t="s">
        <v>14</v>
      </c>
      <c r="L33" s="49" t="s">
        <v>26</v>
      </c>
      <c r="M33" s="49" t="s">
        <v>28</v>
      </c>
      <c r="N33" s="49" t="s">
        <v>186</v>
      </c>
      <c r="O33" s="49" t="s">
        <v>8</v>
      </c>
      <c r="P33" s="49" t="s">
        <v>23</v>
      </c>
      <c r="Q33" s="49"/>
      <c r="R33" s="49" t="s">
        <v>30</v>
      </c>
    </row>
    <row r="34" spans="2:18">
      <c r="B34" s="115" t="s">
        <v>160</v>
      </c>
      <c r="C34" s="115" t="s">
        <v>202</v>
      </c>
      <c r="D34" s="116">
        <v>43126</v>
      </c>
      <c r="E34" s="116">
        <v>43307</v>
      </c>
      <c r="F34" s="115">
        <v>100</v>
      </c>
      <c r="G34" s="115">
        <v>181</v>
      </c>
      <c r="H34" s="115">
        <v>0.49589041095890413</v>
      </c>
      <c r="I34" s="115">
        <v>0</v>
      </c>
      <c r="J34" s="115">
        <v>0.12</v>
      </c>
      <c r="K34" s="115">
        <v>-3.3369347576114805</v>
      </c>
      <c r="L34" s="115">
        <v>0</v>
      </c>
      <c r="M34" s="115">
        <v>0</v>
      </c>
      <c r="N34" s="167">
        <v>3.3369347576114805</v>
      </c>
      <c r="O34" s="115">
        <v>100</v>
      </c>
      <c r="P34" s="115" t="s">
        <v>85</v>
      </c>
      <c r="Q34" s="115">
        <v>-1</v>
      </c>
      <c r="R34" s="115" t="s">
        <v>20</v>
      </c>
    </row>
    <row r="35" spans="2:18">
      <c r="B35" s="115" t="s">
        <v>160</v>
      </c>
      <c r="C35" s="115" t="s">
        <v>202</v>
      </c>
      <c r="D35" s="116">
        <v>43126</v>
      </c>
      <c r="E35" s="116">
        <v>43491</v>
      </c>
      <c r="F35" s="115">
        <v>100</v>
      </c>
      <c r="G35" s="115">
        <v>365</v>
      </c>
      <c r="H35" s="115">
        <v>1</v>
      </c>
      <c r="I35" s="115">
        <v>0</v>
      </c>
      <c r="J35" s="115">
        <v>0.12</v>
      </c>
      <c r="K35" s="115">
        <v>-4.6896983400314838</v>
      </c>
      <c r="L35" s="115">
        <v>0</v>
      </c>
      <c r="M35" s="115">
        <v>0</v>
      </c>
      <c r="N35" s="167">
        <v>4.6896983400314838</v>
      </c>
      <c r="O35" s="115">
        <v>100</v>
      </c>
      <c r="P35" s="115" t="s">
        <v>85</v>
      </c>
      <c r="Q35" s="115">
        <v>-1</v>
      </c>
      <c r="R35" s="115" t="s">
        <v>20</v>
      </c>
    </row>
    <row r="36" spans="2:18">
      <c r="B36" s="114"/>
      <c r="C36" s="49" t="s">
        <v>185</v>
      </c>
      <c r="D36" s="49" t="s">
        <v>184</v>
      </c>
      <c r="E36" s="49" t="s">
        <v>10</v>
      </c>
      <c r="F36" s="49" t="s">
        <v>188</v>
      </c>
      <c r="G36" s="49" t="s">
        <v>11</v>
      </c>
      <c r="H36" s="49" t="s">
        <v>12</v>
      </c>
      <c r="I36" s="49" t="s">
        <v>47</v>
      </c>
      <c r="J36" s="49" t="s">
        <v>13</v>
      </c>
      <c r="K36" s="49" t="s">
        <v>14</v>
      </c>
      <c r="L36" s="49" t="s">
        <v>26</v>
      </c>
      <c r="M36" s="49" t="s">
        <v>28</v>
      </c>
      <c r="N36" s="49" t="s">
        <v>186</v>
      </c>
      <c r="O36" s="49" t="s">
        <v>8</v>
      </c>
      <c r="P36" s="49" t="s">
        <v>23</v>
      </c>
      <c r="Q36" s="49"/>
      <c r="R36" s="49" t="s">
        <v>30</v>
      </c>
    </row>
    <row r="37" spans="2:18">
      <c r="B37" s="115" t="s">
        <v>160</v>
      </c>
      <c r="C37" s="115" t="s">
        <v>191</v>
      </c>
      <c r="D37" s="116">
        <v>43126</v>
      </c>
      <c r="E37" s="116">
        <v>43200</v>
      </c>
      <c r="F37" s="115">
        <v>3780</v>
      </c>
      <c r="G37" s="115">
        <v>74</v>
      </c>
      <c r="H37" s="115">
        <v>0.18356164383561643</v>
      </c>
      <c r="I37" s="115">
        <v>0</v>
      </c>
      <c r="J37" s="115">
        <v>0.17</v>
      </c>
      <c r="K37" s="115">
        <v>112.33674144451106</v>
      </c>
      <c r="L37" s="115">
        <v>0</v>
      </c>
      <c r="M37" s="115">
        <v>0</v>
      </c>
      <c r="N37" s="167">
        <v>112.33674144451106</v>
      </c>
      <c r="O37" s="115">
        <v>3774</v>
      </c>
      <c r="P37" s="115" t="s">
        <v>85</v>
      </c>
      <c r="Q37" s="115">
        <v>1</v>
      </c>
      <c r="R37" s="115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B26</xm:sqref>
        </x14:dataValidation>
        <x14:dataValidation type="list" allowBlank="1" showInputMessage="1" showErrorMessage="1">
          <x14:formula1>
            <xm:f>configs!$C$1:$C$2</xm:f>
          </x14:formula1>
          <xm:sqref>P26</xm:sqref>
        </x14:dataValidation>
        <x14:dataValidation type="list" allowBlank="1" showInputMessage="1" showErrorMessage="1">
          <x14:formula1>
            <xm:f>configs!$B$1:$B$2</xm:f>
          </x14:formula1>
          <xm:sqref>R26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70" t="s">
        <v>158</v>
      </c>
      <c r="C1" s="170"/>
      <c r="D1" s="170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B22" sqref="B22:E34"/>
    </sheetView>
  </sheetViews>
  <sheetFormatPr defaultColWidth="9"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6" t="s">
        <v>118</v>
      </c>
      <c r="C1" s="186"/>
    </row>
    <row r="2" spans="2:20" ht="12" thickTop="1"/>
    <row r="3" spans="2:20" ht="12.75" thickBot="1">
      <c r="B3" s="187" t="s">
        <v>119</v>
      </c>
      <c r="C3" s="187"/>
      <c r="D3" s="187"/>
      <c r="E3" s="187"/>
      <c r="G3" s="190" t="s">
        <v>120</v>
      </c>
      <c r="H3" s="190"/>
      <c r="I3" s="190"/>
      <c r="J3" s="190"/>
      <c r="L3" s="187" t="s">
        <v>165</v>
      </c>
      <c r="M3" s="187"/>
      <c r="N3" s="187"/>
      <c r="O3" s="187"/>
      <c r="Q3" s="190" t="s">
        <v>166</v>
      </c>
      <c r="R3" s="190"/>
      <c r="S3" s="190"/>
      <c r="T3" s="190"/>
    </row>
    <row r="4" spans="2:20" ht="15" thickTop="1" thickBot="1">
      <c r="B4" s="182" t="s">
        <v>121</v>
      </c>
      <c r="C4" s="182"/>
      <c r="D4" s="182"/>
      <c r="E4" s="182"/>
      <c r="G4" s="182" t="s">
        <v>34</v>
      </c>
      <c r="H4" s="182"/>
      <c r="I4" s="182"/>
      <c r="J4" s="182"/>
      <c r="L4" s="182" t="s">
        <v>121</v>
      </c>
      <c r="M4" s="182"/>
      <c r="N4" s="182"/>
      <c r="O4" s="182"/>
      <c r="Q4" s="182" t="s">
        <v>34</v>
      </c>
      <c r="R4" s="182"/>
      <c r="S4" s="182"/>
      <c r="T4" s="182"/>
    </row>
    <row r="5" spans="2:20" ht="14.25" thickTop="1">
      <c r="B5" s="171" t="s">
        <v>122</v>
      </c>
      <c r="C5" s="171"/>
      <c r="D5" s="188"/>
      <c r="E5" s="189"/>
      <c r="G5" s="185" t="s">
        <v>123</v>
      </c>
      <c r="H5" s="185"/>
      <c r="I5" s="35"/>
      <c r="J5" s="36"/>
      <c r="L5" s="33" t="s">
        <v>122</v>
      </c>
      <c r="M5" s="34"/>
      <c r="N5" s="35"/>
      <c r="O5" s="36"/>
      <c r="Q5" s="185" t="s">
        <v>123</v>
      </c>
      <c r="R5" s="185"/>
      <c r="S5" s="35"/>
      <c r="T5" s="36"/>
    </row>
    <row r="6" spans="2:20" ht="13.5">
      <c r="B6" s="171" t="s">
        <v>124</v>
      </c>
      <c r="C6" s="171"/>
      <c r="D6" s="172" t="s">
        <v>125</v>
      </c>
      <c r="E6" s="173"/>
      <c r="G6" s="185" t="s">
        <v>126</v>
      </c>
      <c r="H6" s="185"/>
      <c r="I6" s="172"/>
      <c r="J6" s="173"/>
      <c r="L6" s="171" t="s">
        <v>124</v>
      </c>
      <c r="M6" s="171"/>
      <c r="N6" s="172" t="s">
        <v>125</v>
      </c>
      <c r="O6" s="173"/>
      <c r="Q6" s="185" t="s">
        <v>126</v>
      </c>
      <c r="R6" s="185"/>
      <c r="S6" s="172"/>
      <c r="T6" s="173"/>
    </row>
    <row r="7" spans="2:20" ht="13.5">
      <c r="B7" s="171" t="s">
        <v>127</v>
      </c>
      <c r="C7" s="171"/>
      <c r="D7" s="172" t="s">
        <v>125</v>
      </c>
      <c r="E7" s="173"/>
      <c r="G7" s="185" t="s">
        <v>128</v>
      </c>
      <c r="H7" s="185"/>
      <c r="I7" s="172"/>
      <c r="J7" s="173"/>
      <c r="L7" s="171" t="s">
        <v>127</v>
      </c>
      <c r="M7" s="171"/>
      <c r="N7" s="172" t="s">
        <v>125</v>
      </c>
      <c r="O7" s="173"/>
      <c r="Q7" s="185" t="s">
        <v>128</v>
      </c>
      <c r="R7" s="185"/>
      <c r="S7" s="172"/>
      <c r="T7" s="173"/>
    </row>
    <row r="8" spans="2:20" ht="13.5">
      <c r="B8" s="171" t="s">
        <v>129</v>
      </c>
      <c r="C8" s="171"/>
      <c r="D8" s="172">
        <f>D13*D15</f>
        <v>305000</v>
      </c>
      <c r="E8" s="173"/>
      <c r="G8" s="185" t="s">
        <v>130</v>
      </c>
      <c r="H8" s="185"/>
      <c r="I8" s="172"/>
      <c r="J8" s="173"/>
      <c r="L8" s="171" t="s">
        <v>129</v>
      </c>
      <c r="M8" s="171"/>
      <c r="N8" s="172">
        <f>N14*N16</f>
        <v>305000</v>
      </c>
      <c r="O8" s="173"/>
      <c r="Q8" s="185" t="s">
        <v>130</v>
      </c>
      <c r="R8" s="185"/>
      <c r="S8" s="172"/>
      <c r="T8" s="173"/>
    </row>
    <row r="9" spans="2:20" ht="13.5">
      <c r="B9" s="171" t="s">
        <v>131</v>
      </c>
      <c r="C9" s="171"/>
      <c r="D9" s="172" t="s">
        <v>132</v>
      </c>
      <c r="E9" s="173"/>
      <c r="G9" s="185" t="s">
        <v>133</v>
      </c>
      <c r="H9" s="185"/>
      <c r="I9" s="172"/>
      <c r="J9" s="173"/>
      <c r="L9" s="171" t="s">
        <v>131</v>
      </c>
      <c r="M9" s="171"/>
      <c r="N9" s="172" t="s">
        <v>132</v>
      </c>
      <c r="O9" s="173"/>
      <c r="Q9" s="185" t="s">
        <v>133</v>
      </c>
      <c r="R9" s="185"/>
      <c r="S9" s="172"/>
      <c r="T9" s="173"/>
    </row>
    <row r="10" spans="2:20" ht="13.5">
      <c r="B10" s="171" t="s">
        <v>134</v>
      </c>
      <c r="C10" s="171"/>
      <c r="D10" s="172">
        <v>43084</v>
      </c>
      <c r="E10" s="173"/>
      <c r="G10" s="30" t="s">
        <v>135</v>
      </c>
      <c r="H10" s="30"/>
      <c r="I10" s="172"/>
      <c r="J10" s="173"/>
      <c r="L10" s="171" t="s">
        <v>134</v>
      </c>
      <c r="M10" s="171"/>
      <c r="N10" s="172">
        <v>43084</v>
      </c>
      <c r="O10" s="173"/>
      <c r="Q10" s="52" t="s">
        <v>135</v>
      </c>
      <c r="R10" s="52"/>
      <c r="S10" s="172"/>
      <c r="T10" s="173"/>
    </row>
    <row r="11" spans="2:20" ht="13.5">
      <c r="B11" s="171" t="s">
        <v>136</v>
      </c>
      <c r="C11" s="171"/>
      <c r="D11" s="172">
        <v>3935</v>
      </c>
      <c r="E11" s="173"/>
      <c r="G11" s="185" t="s">
        <v>137</v>
      </c>
      <c r="H11" s="185"/>
      <c r="I11" s="172"/>
      <c r="J11" s="173"/>
      <c r="L11" s="171" t="s">
        <v>136</v>
      </c>
      <c r="M11" s="171"/>
      <c r="N11" s="172">
        <v>3935</v>
      </c>
      <c r="O11" s="173"/>
      <c r="Q11" s="185" t="s">
        <v>137</v>
      </c>
      <c r="R11" s="185"/>
      <c r="S11" s="172"/>
      <c r="T11" s="173"/>
    </row>
    <row r="12" spans="2:20" ht="13.5">
      <c r="B12" s="171" t="s">
        <v>138</v>
      </c>
      <c r="C12" s="171"/>
      <c r="D12" s="172">
        <v>3800</v>
      </c>
      <c r="E12" s="173"/>
      <c r="G12" s="185" t="s">
        <v>139</v>
      </c>
      <c r="H12" s="185"/>
      <c r="I12" s="172"/>
      <c r="J12" s="173"/>
      <c r="L12" s="171" t="s">
        <v>163</v>
      </c>
      <c r="M12" s="171"/>
      <c r="N12" s="172">
        <v>3800</v>
      </c>
      <c r="O12" s="173"/>
      <c r="Q12" s="185" t="s">
        <v>167</v>
      </c>
      <c r="R12" s="185"/>
      <c r="S12" s="172"/>
      <c r="T12" s="173"/>
    </row>
    <row r="13" spans="2:20" ht="13.5">
      <c r="B13" s="171" t="s">
        <v>140</v>
      </c>
      <c r="C13" s="171"/>
      <c r="D13" s="172">
        <v>61</v>
      </c>
      <c r="E13" s="173"/>
      <c r="G13" s="185" t="s">
        <v>141</v>
      </c>
      <c r="H13" s="185"/>
      <c r="I13" s="172"/>
      <c r="J13" s="173"/>
      <c r="L13" s="171" t="s">
        <v>164</v>
      </c>
      <c r="M13" s="171"/>
      <c r="N13" s="172">
        <v>3800</v>
      </c>
      <c r="O13" s="173"/>
      <c r="Q13" s="185" t="s">
        <v>168</v>
      </c>
      <c r="R13" s="185"/>
      <c r="S13" s="172"/>
      <c r="T13" s="173"/>
    </row>
    <row r="14" spans="2:20" ht="13.5">
      <c r="B14" s="171" t="s">
        <v>142</v>
      </c>
      <c r="C14" s="171"/>
      <c r="D14" s="172" t="s">
        <v>143</v>
      </c>
      <c r="E14" s="173"/>
      <c r="G14" s="185" t="s">
        <v>144</v>
      </c>
      <c r="H14" s="185"/>
      <c r="I14" s="31"/>
      <c r="J14" s="32"/>
      <c r="L14" s="171" t="s">
        <v>140</v>
      </c>
      <c r="M14" s="171"/>
      <c r="N14" s="172">
        <v>61</v>
      </c>
      <c r="O14" s="173"/>
      <c r="Q14" s="185" t="s">
        <v>141</v>
      </c>
      <c r="R14" s="185"/>
      <c r="S14" s="172"/>
      <c r="T14" s="173"/>
    </row>
    <row r="15" spans="2:20" ht="13.5">
      <c r="B15" s="171" t="s">
        <v>145</v>
      </c>
      <c r="C15" s="171"/>
      <c r="D15" s="172">
        <v>5000</v>
      </c>
      <c r="E15" s="173"/>
      <c r="G15" s="185" t="s">
        <v>146</v>
      </c>
      <c r="H15" s="185"/>
      <c r="I15" s="172"/>
      <c r="J15" s="173"/>
      <c r="L15" s="171" t="s">
        <v>142</v>
      </c>
      <c r="M15" s="171"/>
      <c r="N15" s="172" t="s">
        <v>143</v>
      </c>
      <c r="O15" s="173"/>
      <c r="Q15" s="185" t="s">
        <v>144</v>
      </c>
      <c r="R15" s="185"/>
      <c r="S15" s="50"/>
      <c r="T15" s="51"/>
    </row>
    <row r="16" spans="2:20" ht="14.25" thickBot="1">
      <c r="B16" s="176" t="s">
        <v>147</v>
      </c>
      <c r="C16" s="176"/>
      <c r="D16" s="177" t="s">
        <v>148</v>
      </c>
      <c r="E16" s="178"/>
      <c r="G16" s="180" t="s">
        <v>149</v>
      </c>
      <c r="H16" s="180"/>
      <c r="I16" s="177"/>
      <c r="J16" s="178"/>
      <c r="L16" s="171" t="s">
        <v>145</v>
      </c>
      <c r="M16" s="171"/>
      <c r="N16" s="172">
        <v>5000</v>
      </c>
      <c r="O16" s="173"/>
      <c r="Q16" s="185" t="s">
        <v>146</v>
      </c>
      <c r="R16" s="185"/>
      <c r="S16" s="172"/>
      <c r="T16" s="173"/>
    </row>
    <row r="17" spans="2:20" ht="15" thickTop="1" thickBot="1">
      <c r="L17" s="176" t="s">
        <v>147</v>
      </c>
      <c r="M17" s="176"/>
      <c r="N17" s="177" t="s">
        <v>148</v>
      </c>
      <c r="O17" s="178"/>
      <c r="Q17" s="180" t="s">
        <v>149</v>
      </c>
      <c r="R17" s="180"/>
      <c r="S17" s="177"/>
      <c r="T17" s="178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82" t="s">
        <v>121</v>
      </c>
      <c r="C22" s="182"/>
      <c r="D22" s="182"/>
      <c r="E22" s="182"/>
      <c r="G22" s="182" t="s">
        <v>121</v>
      </c>
      <c r="H22" s="182"/>
      <c r="I22" s="182"/>
      <c r="J22" s="182"/>
    </row>
    <row r="23" spans="2:20" ht="14.25" thickTop="1">
      <c r="B23" s="171" t="s">
        <v>122</v>
      </c>
      <c r="C23" s="171"/>
      <c r="D23" s="183">
        <v>43125</v>
      </c>
      <c r="E23" s="184"/>
      <c r="G23" s="171" t="s">
        <v>122</v>
      </c>
      <c r="H23" s="171"/>
      <c r="I23" s="183"/>
      <c r="J23" s="184"/>
    </row>
    <row r="24" spans="2:20" ht="13.5">
      <c r="B24" s="171" t="s">
        <v>124</v>
      </c>
      <c r="C24" s="171"/>
      <c r="D24" s="172" t="s">
        <v>197</v>
      </c>
      <c r="E24" s="173"/>
      <c r="G24" s="171" t="s">
        <v>183</v>
      </c>
      <c r="H24" s="171"/>
      <c r="I24" s="172"/>
      <c r="J24" s="173"/>
    </row>
    <row r="25" spans="2:20" ht="13.5">
      <c r="B25" s="171" t="s">
        <v>127</v>
      </c>
      <c r="C25" s="171"/>
      <c r="D25" s="172" t="s">
        <v>198</v>
      </c>
      <c r="E25" s="173"/>
      <c r="G25" s="171" t="s">
        <v>181</v>
      </c>
      <c r="H25" s="171"/>
      <c r="I25" s="172"/>
      <c r="J25" s="173"/>
    </row>
    <row r="26" spans="2:20" ht="13.5">
      <c r="B26" s="171" t="s">
        <v>129</v>
      </c>
      <c r="C26" s="171"/>
      <c r="D26" s="172">
        <f>D31*D33</f>
        <v>46620</v>
      </c>
      <c r="E26" s="173"/>
      <c r="G26" s="111" t="s">
        <v>182</v>
      </c>
      <c r="H26" s="111"/>
      <c r="I26" s="172"/>
      <c r="J26" s="173"/>
    </row>
    <row r="27" spans="2:20" ht="13.5">
      <c r="B27" s="171" t="s">
        <v>131</v>
      </c>
      <c r="C27" s="171"/>
      <c r="D27" s="172" t="s">
        <v>199</v>
      </c>
      <c r="E27" s="173"/>
      <c r="G27" s="171" t="s">
        <v>131</v>
      </c>
      <c r="H27" s="171"/>
      <c r="I27" s="172"/>
      <c r="J27" s="173"/>
    </row>
    <row r="28" spans="2:20" ht="13.5">
      <c r="B28" s="171" t="s">
        <v>134</v>
      </c>
      <c r="C28" s="171"/>
      <c r="D28" s="179">
        <v>43186</v>
      </c>
      <c r="E28" s="181"/>
      <c r="G28" s="171" t="s">
        <v>134</v>
      </c>
      <c r="H28" s="171"/>
      <c r="I28" s="179"/>
      <c r="J28" s="173"/>
    </row>
    <row r="29" spans="2:20" ht="13.5">
      <c r="B29" s="171" t="s">
        <v>136</v>
      </c>
      <c r="C29" s="171"/>
      <c r="D29" s="172">
        <v>667.6</v>
      </c>
      <c r="E29" s="173"/>
      <c r="G29" s="171" t="s">
        <v>136</v>
      </c>
      <c r="H29" s="171"/>
      <c r="I29" s="172"/>
      <c r="J29" s="173"/>
    </row>
    <row r="30" spans="2:20" ht="13.5">
      <c r="B30" s="171" t="s">
        <v>138</v>
      </c>
      <c r="C30" s="171"/>
      <c r="D30" s="172">
        <v>667.6</v>
      </c>
      <c r="E30" s="173"/>
      <c r="G30" s="171" t="s">
        <v>179</v>
      </c>
      <c r="H30" s="171"/>
      <c r="I30" s="112"/>
      <c r="J30" s="113"/>
    </row>
    <row r="31" spans="2:20" ht="13.5">
      <c r="B31" s="171" t="s">
        <v>140</v>
      </c>
      <c r="C31" s="171"/>
      <c r="D31" s="172">
        <v>25.9</v>
      </c>
      <c r="E31" s="173"/>
      <c r="G31" s="171" t="s">
        <v>180</v>
      </c>
      <c r="H31" s="171"/>
      <c r="I31" s="172"/>
      <c r="J31" s="173"/>
    </row>
    <row r="32" spans="2:20" ht="13.5">
      <c r="B32" s="171" t="s">
        <v>142</v>
      </c>
      <c r="C32" s="171"/>
      <c r="D32" s="172" t="s">
        <v>200</v>
      </c>
      <c r="E32" s="173"/>
      <c r="G32" s="171" t="s">
        <v>140</v>
      </c>
      <c r="H32" s="171"/>
      <c r="I32" s="172"/>
      <c r="J32" s="173"/>
    </row>
    <row r="33" spans="2:10" ht="13.5">
      <c r="B33" s="171" t="s">
        <v>190</v>
      </c>
      <c r="C33" s="171"/>
      <c r="D33" s="172">
        <v>1800</v>
      </c>
      <c r="E33" s="173"/>
      <c r="G33" s="171" t="s">
        <v>142</v>
      </c>
      <c r="H33" s="171"/>
      <c r="I33" s="172"/>
      <c r="J33" s="173"/>
    </row>
    <row r="34" spans="2:10" ht="14.25" thickBot="1">
      <c r="B34" s="176" t="s">
        <v>147</v>
      </c>
      <c r="C34" s="176"/>
      <c r="D34" s="177" t="s">
        <v>201</v>
      </c>
      <c r="E34" s="178"/>
      <c r="G34" s="171" t="s">
        <v>145</v>
      </c>
      <c r="H34" s="171"/>
      <c r="I34" s="174"/>
      <c r="J34" s="175"/>
    </row>
    <row r="35" spans="2:10" ht="15" thickTop="1" thickBot="1">
      <c r="G35" s="176" t="s">
        <v>147</v>
      </c>
      <c r="H35" s="176"/>
      <c r="I35" s="177"/>
      <c r="J35" s="178"/>
    </row>
    <row r="36" spans="2:10" ht="12" thickTop="1"/>
  </sheetData>
  <mergeCells count="151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L31" sqref="L31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6" t="s">
        <v>37</v>
      </c>
      <c r="C1" s="186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23" ca="1" si="0">TODAY()</f>
        <v>43126</v>
      </c>
      <c r="F8" s="21">
        <f t="shared" ref="F8:F9" ca="1" si="1">E8+H8</f>
        <v>43156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-213.96041317200297</v>
      </c>
      <c r="M8" s="25">
        <v>80</v>
      </c>
      <c r="N8" s="24">
        <f t="shared" ref="N8:N9" si="3">M8/10000*I8*P8</f>
        <v>2.5906849315068494</v>
      </c>
      <c r="O8" s="24">
        <f t="shared" ref="O8:O9" si="4">IF(L8&lt;=0,ABS(L8)+N8,L8-N8)</f>
        <v>216.55109810350982</v>
      </c>
      <c r="P8" s="20">
        <f>RTD("wdf.rtq",,D8,"LastPrice")</f>
        <v>3940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5.4962207640484727E-2</v>
      </c>
      <c r="U8" s="24">
        <f>_xll.dnetGBlackScholesNGreeks("delta",$Q8,$P8,$G8,$I8,$C$3,$J8,$K8,$C$4)*R8</f>
        <v>-0.67744034342922532</v>
      </c>
      <c r="V8" s="24">
        <f>_xll.dnetGBlackScholesNGreeks("vega",$Q8,$P8,$G8,$I8,$C$3,$J8,$K8,$C$4)*R8</f>
        <v>-4.04001903307676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43126</v>
      </c>
      <c r="F9" s="8">
        <f t="shared" ca="1" si="1"/>
        <v>43158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189</v>
      </c>
      <c r="D10" s="10" t="s">
        <v>193</v>
      </c>
      <c r="E10" s="8">
        <f t="shared" ca="1" si="0"/>
        <v>43126</v>
      </c>
      <c r="F10" s="8">
        <f t="shared" ref="F10" ca="1" si="7">E10+H10</f>
        <v>43187</v>
      </c>
      <c r="G10" s="10">
        <v>670</v>
      </c>
      <c r="H10" s="10">
        <v>61</v>
      </c>
      <c r="I10" s="12">
        <f t="shared" ref="I10" si="8">H10/365</f>
        <v>0.16712328767123288</v>
      </c>
      <c r="J10" s="12">
        <v>0</v>
      </c>
      <c r="K10" s="9">
        <v>0.24</v>
      </c>
      <c r="L10" s="13">
        <f>_xll.dnetGBlackScholesNGreeks("price",$Q10,$P10,$G10,$I10,$C$3,$J10,$K10,$C$4)*R10</f>
        <v>26.126956084711992</v>
      </c>
      <c r="M10" s="15"/>
      <c r="N10" s="13">
        <f t="shared" ref="N10" si="9">M10/10000*I10*P10</f>
        <v>0</v>
      </c>
      <c r="O10" s="13">
        <f t="shared" ref="O10" si="10">IF(L10&lt;=0,ABS(L10)+N10,L10-N10)</f>
        <v>26.126956084711992</v>
      </c>
      <c r="P10" s="11">
        <v>670</v>
      </c>
      <c r="Q10" s="10" t="s">
        <v>85</v>
      </c>
      <c r="R10" s="10">
        <f t="shared" ref="R10" si="11">IF(S10="中金买入",1,-1)</f>
        <v>1</v>
      </c>
      <c r="S10" s="10" t="s">
        <v>151</v>
      </c>
      <c r="T10" s="14">
        <f t="shared" ref="T10" si="12">O10/P10</f>
        <v>3.8995456842853722E-2</v>
      </c>
      <c r="U10" s="13">
        <f>_xll.dnetGBlackScholesNGreeks("delta",$Q10,$P10,$G10,$I10,$C$3,$J10,$K10,$C$4)*R10</f>
        <v>-0.47883382883924241</v>
      </c>
      <c r="V10" s="13">
        <f>_xll.dnetGBlackScholesNGreeks("vega",$Q10,$P10,$G10,$I10,$C$3,$J10,$K10,$C$4)*R10</f>
        <v>1.0877494101930836</v>
      </c>
    </row>
    <row r="11" spans="1:22">
      <c r="A11" s="53"/>
      <c r="B11" s="13" t="s">
        <v>172</v>
      </c>
      <c r="C11" s="10" t="s">
        <v>189</v>
      </c>
      <c r="D11" s="10" t="s">
        <v>195</v>
      </c>
      <c r="E11" s="8">
        <f t="shared" ca="1" si="0"/>
        <v>43126</v>
      </c>
      <c r="F11" s="8">
        <f t="shared" ref="F11:F12" ca="1" si="13">E11+H11</f>
        <v>43246</v>
      </c>
      <c r="G11" s="10">
        <v>89</v>
      </c>
      <c r="H11" s="10">
        <v>120</v>
      </c>
      <c r="I11" s="12">
        <f>(H11-5)/365</f>
        <v>0.31506849315068491</v>
      </c>
      <c r="J11" s="12">
        <v>0</v>
      </c>
      <c r="K11" s="9">
        <v>6.5000000000000002E-2</v>
      </c>
      <c r="L11" s="13">
        <f>_xll.dnetGBlackScholesNGreeks("price",$Q11,$P11,$G11,$I11,$C$3,$J11,$K11,$C$4)*R11</f>
        <v>-3.2280723778987124</v>
      </c>
      <c r="M11" s="15">
        <v>0</v>
      </c>
      <c r="N11" s="13">
        <f t="shared" ref="N11:N12" si="14">M11/10000*I11*P11</f>
        <v>0</v>
      </c>
      <c r="O11" s="13">
        <f t="shared" ref="O11:O12" si="15">IF(L11&lt;=0,ABS(L11)+N11,L11-N11)</f>
        <v>3.2280723778987124</v>
      </c>
      <c r="P11" s="169">
        <f>RTD("wdf.rtq",,D11,"LastPrice")</f>
        <v>91.905000000000001</v>
      </c>
      <c r="Q11" s="10" t="s">
        <v>39</v>
      </c>
      <c r="R11" s="10">
        <f t="shared" ref="R11:R12" si="16">IF(S11="中金买入",1,-1)</f>
        <v>-1</v>
      </c>
      <c r="S11" s="10" t="s">
        <v>20</v>
      </c>
      <c r="T11" s="14">
        <f t="shared" ref="T11:T12" si="17">O11/P11</f>
        <v>3.5124012598865266E-2</v>
      </c>
      <c r="U11" s="13">
        <f>_xll.dnetGBlackScholesNGreeks("delta",$Q11,$P11,$G11,$I11,$C$3,$J11,$K11,$C$4)*R11</f>
        <v>-0.81043728899032885</v>
      </c>
      <c r="V11" s="13">
        <f>_xll.dnetGBlackScholesNGreeks("vega",$Q11,$P11,$G11,$I11,$C$3,$J11,$K11,$C$4)*R11</f>
        <v>-0.13564304240642855</v>
      </c>
    </row>
    <row r="12" spans="1:22">
      <c r="A12" s="53"/>
      <c r="B12" s="13" t="s">
        <v>172</v>
      </c>
      <c r="C12" s="10" t="s">
        <v>189</v>
      </c>
      <c r="D12" s="10" t="s">
        <v>196</v>
      </c>
      <c r="E12" s="8">
        <f t="shared" ca="1" si="0"/>
        <v>43126</v>
      </c>
      <c r="F12" s="8">
        <f t="shared" ca="1" si="13"/>
        <v>43187</v>
      </c>
      <c r="G12" s="10">
        <v>670</v>
      </c>
      <c r="H12" s="10">
        <v>61</v>
      </c>
      <c r="I12" s="12">
        <f t="shared" ref="I12" si="18">H12/365</f>
        <v>0.16712328767123288</v>
      </c>
      <c r="J12" s="12">
        <v>0</v>
      </c>
      <c r="K12" s="9">
        <v>0.17</v>
      </c>
      <c r="L12" s="13">
        <f>_xll.dnetGBlackScholesNGreeks("price",$Q12,$P12,$G12,$I12,$C$3,$J12,$K12,$C$4)*R12</f>
        <v>1.5000535640891998E-136</v>
      </c>
      <c r="M12" s="15"/>
      <c r="N12" s="13">
        <f t="shared" si="14"/>
        <v>0</v>
      </c>
      <c r="O12" s="13">
        <f t="shared" si="15"/>
        <v>1.5000535640891998E-136</v>
      </c>
      <c r="P12" s="169">
        <f>RTD("wdf.rtq",,D12,"LastPrice")</f>
        <v>3782</v>
      </c>
      <c r="Q12" s="10" t="s">
        <v>85</v>
      </c>
      <c r="R12" s="10">
        <f t="shared" si="16"/>
        <v>1</v>
      </c>
      <c r="S12" s="10" t="s">
        <v>151</v>
      </c>
      <c r="T12" s="14">
        <f t="shared" si="17"/>
        <v>3.9662971022982545E-140</v>
      </c>
      <c r="U12" s="13">
        <f>_xll.dnetGBlackScholesNGreeks("delta",$Q12,$P12,$G12,$I12,$C$3,$J12,$K12,$C$4)*R12</f>
        <v>-1.4238593121997127E-137</v>
      </c>
      <c r="V12" s="13">
        <f>_xll.dnetGBlackScholesNGreeks("vega",$Q12,$P12,$G12,$I12,$C$3,$J12,$K12,$C$4)*R12</f>
        <v>3.1419756569989938E-122</v>
      </c>
    </row>
    <row r="13" spans="1:22">
      <c r="A13" s="53"/>
      <c r="B13" s="13" t="s">
        <v>172</v>
      </c>
      <c r="C13" s="10" t="s">
        <v>189</v>
      </c>
      <c r="D13" s="10" t="s">
        <v>196</v>
      </c>
      <c r="E13" s="8">
        <f t="shared" ca="1" si="0"/>
        <v>43126</v>
      </c>
      <c r="F13" s="8">
        <f t="shared" ref="F13" ca="1" si="19">E13+H13</f>
        <v>43189</v>
      </c>
      <c r="G13" s="10">
        <v>3600</v>
      </c>
      <c r="H13" s="10">
        <v>63</v>
      </c>
      <c r="I13" s="12">
        <f>(H13-5)/365</f>
        <v>0.15890410958904111</v>
      </c>
      <c r="J13" s="12">
        <v>0</v>
      </c>
      <c r="K13" s="9">
        <v>0.17</v>
      </c>
      <c r="L13" s="13">
        <f>_xll.dnetGBlackScholesNGreeks("price",$Q13,$P13,$G13,$I13,$C$3,$J13,$K13,$C$4)*R13</f>
        <v>33.957114977308606</v>
      </c>
      <c r="M13" s="15">
        <v>0</v>
      </c>
      <c r="N13" s="13">
        <f t="shared" ref="N13" si="20">M13/10000*I13*P13</f>
        <v>0</v>
      </c>
      <c r="O13" s="13">
        <f t="shared" ref="O13" si="21">IF(L13&lt;=0,ABS(L13)+N13,L13-N13)</f>
        <v>33.957114977308606</v>
      </c>
      <c r="P13" s="169">
        <f>RTD("wdf.rtq",,D13,"LastPrice")</f>
        <v>3782</v>
      </c>
      <c r="Q13" s="10" t="s">
        <v>85</v>
      </c>
      <c r="R13" s="10">
        <f t="shared" ref="R13" si="22">IF(S13="中金买入",1,-1)</f>
        <v>1</v>
      </c>
      <c r="S13" s="10" t="s">
        <v>151</v>
      </c>
      <c r="T13" s="14">
        <f t="shared" ref="T13" si="23">O13/P13</f>
        <v>8.9786131616363309E-3</v>
      </c>
      <c r="U13" s="13">
        <f>_xll.dnetGBlackScholesNGreeks("delta",$Q13,$P13,$G13,$I13,$C$3,$J13,$K13,$C$4)*R13</f>
        <v>-0.22242309170792396</v>
      </c>
      <c r="V13" s="13">
        <f>_xll.dnetGBlackScholesNGreeks("vega",$Q13,$P13,$G13,$I13,$C$3,$J13,$K13,$C$4)*R13</f>
        <v>4.4824634013940567</v>
      </c>
    </row>
    <row r="14" spans="1:22">
      <c r="A14" s="53"/>
      <c r="B14" s="13" t="s">
        <v>172</v>
      </c>
      <c r="C14" s="10" t="s">
        <v>161</v>
      </c>
      <c r="D14" s="10" t="s">
        <v>196</v>
      </c>
      <c r="E14" s="8">
        <f t="shared" ca="1" si="0"/>
        <v>43126</v>
      </c>
      <c r="F14" s="8">
        <f t="shared" ref="F14:F15" ca="1" si="24">E14+H14</f>
        <v>43189</v>
      </c>
      <c r="G14" s="10">
        <v>3650</v>
      </c>
      <c r="H14" s="10">
        <v>63</v>
      </c>
      <c r="I14" s="12">
        <f>(H14-5)/365</f>
        <v>0.15890410958904111</v>
      </c>
      <c r="J14" s="12">
        <v>0</v>
      </c>
      <c r="K14" s="9">
        <v>0.17</v>
      </c>
      <c r="L14" s="13">
        <f>_xll.dnetGBlackScholesNGreeks("price",$Q14,$P14,$G14,$I14,$C$3,$J14,$K14,$C$4)*R14</f>
        <v>47.778310566056462</v>
      </c>
      <c r="M14" s="15">
        <v>0</v>
      </c>
      <c r="N14" s="13">
        <f t="shared" ref="N14:N15" si="25">M14/10000*I14*P14</f>
        <v>0</v>
      </c>
      <c r="O14" s="13">
        <f t="shared" ref="O14:O15" si="26">IF(L14&lt;=0,ABS(L14)+N14,L14-N14)</f>
        <v>47.778310566056462</v>
      </c>
      <c r="P14" s="169">
        <f>RTD("wdf.rtq",,D14,"LastPrice")</f>
        <v>3782</v>
      </c>
      <c r="Q14" s="10" t="s">
        <v>85</v>
      </c>
      <c r="R14" s="10">
        <f t="shared" ref="R14:R15" si="27">IF(S14="中金买入",1,-1)</f>
        <v>1</v>
      </c>
      <c r="S14" s="10" t="s">
        <v>151</v>
      </c>
      <c r="T14" s="14">
        <f t="shared" ref="T14:T15" si="28">O14/P14</f>
        <v>1.2633080530422121E-2</v>
      </c>
      <c r="U14" s="13">
        <f>_xll.dnetGBlackScholesNGreeks("delta",$Q14,$P14,$G14,$I14,$C$3,$J14,$K14,$C$4)*R14</f>
        <v>-0.28746616025046023</v>
      </c>
      <c r="V14" s="13">
        <f>_xll.dnetGBlackScholesNGreeks("vega",$Q14,$P14,$G14,$I14,$C$3,$J14,$K14,$C$4)*R14</f>
        <v>5.1284892571849241</v>
      </c>
    </row>
    <row r="15" spans="1:22">
      <c r="A15" s="53"/>
      <c r="B15" s="13" t="s">
        <v>172</v>
      </c>
      <c r="C15" s="10" t="s">
        <v>161</v>
      </c>
      <c r="D15" s="10" t="s">
        <v>196</v>
      </c>
      <c r="E15" s="8">
        <f t="shared" ca="1" si="0"/>
        <v>43126</v>
      </c>
      <c r="F15" s="8">
        <f t="shared" ca="1" si="24"/>
        <v>43189</v>
      </c>
      <c r="G15" s="10">
        <v>3700</v>
      </c>
      <c r="H15" s="10">
        <v>63</v>
      </c>
      <c r="I15" s="12">
        <f>(H15-5)/365</f>
        <v>0.15890410958904111</v>
      </c>
      <c r="J15" s="12">
        <v>0</v>
      </c>
      <c r="K15" s="9">
        <v>0.17</v>
      </c>
      <c r="L15" s="13">
        <f>_xll.dnetGBlackScholesNGreeks("price",$Q15,$P15,$G15,$I15,$C$3,$J15,$K15,$C$4)*R15</f>
        <v>65.153315585591827</v>
      </c>
      <c r="M15" s="15">
        <v>0</v>
      </c>
      <c r="N15" s="13">
        <f t="shared" si="25"/>
        <v>0</v>
      </c>
      <c r="O15" s="13">
        <f t="shared" si="26"/>
        <v>65.153315585591827</v>
      </c>
      <c r="P15" s="169">
        <f>RTD("wdf.rtq",,D15,"LastPrice")</f>
        <v>3782</v>
      </c>
      <c r="Q15" s="10" t="s">
        <v>85</v>
      </c>
      <c r="R15" s="10">
        <f t="shared" si="27"/>
        <v>1</v>
      </c>
      <c r="S15" s="10" t="s">
        <v>151</v>
      </c>
      <c r="T15" s="14">
        <f t="shared" si="28"/>
        <v>1.7227211947538821E-2</v>
      </c>
      <c r="U15" s="13">
        <f>_xll.dnetGBlackScholesNGreeks("delta",$Q15,$P15,$G15,$I15,$C$3,$J15,$K15,$C$4)*R15</f>
        <v>-0.35927197179717041</v>
      </c>
      <c r="V15" s="13">
        <f>_xll.dnetGBlackScholesNGreeks("vega",$Q15,$P15,$G15,$I15,$C$3,$J15,$K15,$C$4)*R15</f>
        <v>5.6235849173647239</v>
      </c>
    </row>
    <row r="16" spans="1:22">
      <c r="A16" s="53"/>
      <c r="B16" s="13" t="s">
        <v>172</v>
      </c>
      <c r="C16" s="10" t="s">
        <v>161</v>
      </c>
      <c r="D16" s="10" t="s">
        <v>203</v>
      </c>
      <c r="E16" s="8">
        <f t="shared" ca="1" si="0"/>
        <v>43126</v>
      </c>
      <c r="F16" s="8">
        <f ca="1">E16+H16</f>
        <v>43307</v>
      </c>
      <c r="G16" s="10">
        <v>100</v>
      </c>
      <c r="H16" s="10">
        <v>181</v>
      </c>
      <c r="I16" s="12">
        <f>(H16)/365</f>
        <v>0.49589041095890413</v>
      </c>
      <c r="J16" s="12">
        <v>0</v>
      </c>
      <c r="K16" s="9">
        <v>0.12</v>
      </c>
      <c r="L16" s="13">
        <f>_xll.dnetGBlackScholesNGreeks("price",$Q16,$P16,$G16,$I16,$C$3,$J16,$K16,$C$4)*R16</f>
        <v>-3.3369347576114805</v>
      </c>
      <c r="M16" s="15">
        <v>0</v>
      </c>
      <c r="N16" s="13">
        <f t="shared" ref="N16" si="29">M16/10000*I16*P16</f>
        <v>0</v>
      </c>
      <c r="O16" s="13">
        <f t="shared" ref="O16" si="30">IF(L16&lt;=0,ABS(L16)+N16,L16-N16)</f>
        <v>3.3369347576114805</v>
      </c>
      <c r="P16" s="169">
        <v>100</v>
      </c>
      <c r="Q16" s="10" t="s">
        <v>85</v>
      </c>
      <c r="R16" s="10">
        <f t="shared" ref="R16" si="31">IF(S16="中金买入",1,-1)</f>
        <v>-1</v>
      </c>
      <c r="S16" s="10" t="s">
        <v>20</v>
      </c>
      <c r="T16" s="14">
        <f t="shared" ref="T16" si="32">O16/P16</f>
        <v>3.3369347576114802E-2</v>
      </c>
      <c r="U16" s="13">
        <f>_xll.dnetGBlackScholesNGreeks("delta",$Q16,$P16,$G16,$I16,$C$3,$J16,$K16,$C$4)*R16</f>
        <v>0.47838094341372539</v>
      </c>
      <c r="V16" s="13">
        <f>_xll.dnetGBlackScholesNGreeks("vega",$Q16,$P16,$G16,$I16,$C$3,$J16,$K16,$C$4)*R16</f>
        <v>-0.27791188725777971</v>
      </c>
    </row>
    <row r="17" spans="1:22">
      <c r="A17" s="53"/>
      <c r="B17" s="13" t="s">
        <v>172</v>
      </c>
      <c r="C17" s="10" t="s">
        <v>161</v>
      </c>
      <c r="D17" s="10" t="s">
        <v>203</v>
      </c>
      <c r="E17" s="8">
        <f t="shared" ca="1" si="0"/>
        <v>43126</v>
      </c>
      <c r="F17" s="8">
        <f t="shared" ref="F17:F18" ca="1" si="33">E17+H17</f>
        <v>43491</v>
      </c>
      <c r="G17" s="10">
        <v>100</v>
      </c>
      <c r="H17" s="10">
        <v>365</v>
      </c>
      <c r="I17" s="12">
        <f>(H17)/365</f>
        <v>1</v>
      </c>
      <c r="J17" s="12">
        <v>0</v>
      </c>
      <c r="K17" s="9">
        <v>0.12</v>
      </c>
      <c r="L17" s="13">
        <f>_xll.dnetGBlackScholesNGreeks("price",$Q17,$P17,$G17,$I17,$C$3,$J17,$K17,$C$4)*R17</f>
        <v>-4.6896983400314838</v>
      </c>
      <c r="M17" s="15">
        <v>0</v>
      </c>
      <c r="N17" s="13">
        <f t="shared" ref="N17:N18" si="34">M17/10000*I17*P17</f>
        <v>0</v>
      </c>
      <c r="O17" s="13">
        <f t="shared" ref="O17:O18" si="35">IF(L17&lt;=0,ABS(L17)+N17,L17-N17)</f>
        <v>4.6896983400314838</v>
      </c>
      <c r="P17" s="169">
        <v>100</v>
      </c>
      <c r="Q17" s="10" t="s">
        <v>85</v>
      </c>
      <c r="R17" s="10">
        <f t="shared" ref="R17:R18" si="36">IF(S17="中金买入",1,-1)</f>
        <v>-1</v>
      </c>
      <c r="S17" s="10" t="s">
        <v>20</v>
      </c>
      <c r="T17" s="14">
        <f t="shared" ref="T17:T18" si="37">O17/P17</f>
        <v>4.689698340031484E-2</v>
      </c>
      <c r="U17" s="13">
        <f>_xll.dnetGBlackScholesNGreeks("delta",$Q17,$P17,$G17,$I17,$C$3,$J17,$K17,$C$4)*R17</f>
        <v>0.46665085308568166</v>
      </c>
      <c r="V17" s="13">
        <f>_xll.dnetGBlackScholesNGreeks("vega",$Q17,$P17,$G17,$I17,$C$3,$J17,$K17,$C$4)*R17</f>
        <v>-0.39033782968231634</v>
      </c>
    </row>
    <row r="18" spans="1:22">
      <c r="A18" s="53"/>
      <c r="B18" s="13" t="s">
        <v>172</v>
      </c>
      <c r="C18" s="10" t="s">
        <v>161</v>
      </c>
      <c r="D18" s="10" t="s">
        <v>196</v>
      </c>
      <c r="E18" s="8">
        <f t="shared" ca="1" si="0"/>
        <v>43126</v>
      </c>
      <c r="F18" s="8">
        <f t="shared" ca="1" si="33"/>
        <v>43200</v>
      </c>
      <c r="G18" s="10">
        <v>3780</v>
      </c>
      <c r="H18" s="10">
        <v>74</v>
      </c>
      <c r="I18" s="12">
        <f>(H18-7)/365</f>
        <v>0.18356164383561643</v>
      </c>
      <c r="J18" s="12">
        <v>0</v>
      </c>
      <c r="K18" s="9">
        <v>0.17</v>
      </c>
      <c r="L18" s="13">
        <f>_xll.dnetGBlackScholesNGreeks("price",$Q18,$P18,$G18,$I18,$C$3,$J18,$K18,$C$4)*R18</f>
        <v>108.44407108796554</v>
      </c>
      <c r="M18" s="15">
        <v>0</v>
      </c>
      <c r="N18" s="13">
        <f t="shared" si="34"/>
        <v>0</v>
      </c>
      <c r="O18" s="13">
        <f t="shared" si="35"/>
        <v>108.44407108796554</v>
      </c>
      <c r="P18" s="169">
        <f>RTD("wdf.rtq",,D18,"LastPrice")</f>
        <v>3782</v>
      </c>
      <c r="Q18" s="10" t="s">
        <v>85</v>
      </c>
      <c r="R18" s="10">
        <f t="shared" si="36"/>
        <v>1</v>
      </c>
      <c r="S18" s="10" t="s">
        <v>151</v>
      </c>
      <c r="T18" s="14">
        <f t="shared" si="37"/>
        <v>2.8673736406125208E-2</v>
      </c>
      <c r="U18" s="13">
        <f>_xll.dnetGBlackScholesNGreeks("delta",$Q18,$P18,$G18,$I18,$C$3,$J18,$K18,$C$4)*R18</f>
        <v>-0.48081135212214576</v>
      </c>
      <c r="V18" s="13">
        <f>_xll.dnetGBlackScholesNGreeks("vega",$Q18,$P18,$G18,$I18,$C$3,$J18,$K18,$C$4)*R18</f>
        <v>6.4344804923207448</v>
      </c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3" t="s">
        <v>172</v>
      </c>
      <c r="C20" s="10" t="s">
        <v>161</v>
      </c>
      <c r="D20" s="10" t="s">
        <v>204</v>
      </c>
      <c r="E20" s="8">
        <f t="shared" ca="1" si="0"/>
        <v>43126</v>
      </c>
      <c r="F20" s="8">
        <f t="shared" ref="F20:F21" ca="1" si="38">E20+H20</f>
        <v>43189</v>
      </c>
      <c r="G20" s="10">
        <v>100</v>
      </c>
      <c r="H20" s="10">
        <v>63</v>
      </c>
      <c r="I20" s="12">
        <f>(H20-5)/365</f>
        <v>0.15890410958904111</v>
      </c>
      <c r="J20" s="12">
        <v>0</v>
      </c>
      <c r="K20" s="193">
        <v>0.14799999999999999</v>
      </c>
      <c r="L20" s="13">
        <f>_xll.dnetGBlackScholesNGreeks("price",$Q20,$P20,$G20,$I20,$C$3,$J20,$K20,$C$4)*R20</f>
        <v>2.3458278698626742</v>
      </c>
      <c r="M20" s="15">
        <v>0</v>
      </c>
      <c r="N20" s="13">
        <f t="shared" ref="N20:N23" si="39">M20/10000*I20*P20</f>
        <v>0</v>
      </c>
      <c r="O20" s="13">
        <f t="shared" ref="O20:O23" si="40">IF(L20&lt;=0,ABS(L20)+N20,L20-N20)</f>
        <v>2.3458278698626742</v>
      </c>
      <c r="P20" s="169">
        <v>100</v>
      </c>
      <c r="Q20" s="10" t="s">
        <v>85</v>
      </c>
      <c r="R20" s="10">
        <f t="shared" ref="R20:R23" si="41">IF(S20="中金买入",1,-1)</f>
        <v>1</v>
      </c>
      <c r="S20" s="10" t="s">
        <v>151</v>
      </c>
      <c r="T20" s="14">
        <f t="shared" ref="T20:T23" si="42">O20/P20</f>
        <v>2.3458278698626742E-2</v>
      </c>
      <c r="U20" s="13">
        <f>_xll.dnetGBlackScholesNGreeks("delta",$Q20,$P20,$G20,$I20,$C$3,$J20,$K20,$C$4)*R20</f>
        <v>-0.48668435877843308</v>
      </c>
      <c r="V20" s="13">
        <f>_xll.dnetGBlackScholesNGreeks("vega",$Q20,$P20,$G20,$I20,$C$3,$J20,$K20,$C$4)*R20</f>
        <v>0.15845580966854911</v>
      </c>
    </row>
    <row r="21" spans="1:22">
      <c r="A21" s="53"/>
      <c r="B21" s="13" t="s">
        <v>172</v>
      </c>
      <c r="C21" s="10" t="s">
        <v>161</v>
      </c>
      <c r="D21" s="10" t="s">
        <v>205</v>
      </c>
      <c r="E21" s="8">
        <f t="shared" ca="1" si="0"/>
        <v>43126</v>
      </c>
      <c r="F21" s="8">
        <f ca="1">E21+H21</f>
        <v>43189</v>
      </c>
      <c r="G21" s="10">
        <v>100</v>
      </c>
      <c r="H21" s="10">
        <v>63</v>
      </c>
      <c r="I21" s="12">
        <f>(H21)/365</f>
        <v>0.17260273972602741</v>
      </c>
      <c r="J21" s="12">
        <v>0</v>
      </c>
      <c r="K21" s="193">
        <v>0.19</v>
      </c>
      <c r="L21" s="13">
        <f>_xll.dnetGBlackScholesNGreeks("price",$Q21,$P21,$G21,$I21,$C$3,$J21,$K21,$C$4)*R21</f>
        <v>3.1374409427236571</v>
      </c>
      <c r="M21" s="15">
        <v>0</v>
      </c>
      <c r="N21" s="13">
        <f t="shared" si="39"/>
        <v>0</v>
      </c>
      <c r="O21" s="13">
        <f t="shared" si="40"/>
        <v>3.1374409427236571</v>
      </c>
      <c r="P21" s="169">
        <v>100</v>
      </c>
      <c r="Q21" s="10" t="s">
        <v>85</v>
      </c>
      <c r="R21" s="10">
        <f t="shared" si="41"/>
        <v>1</v>
      </c>
      <c r="S21" s="10" t="s">
        <v>151</v>
      </c>
      <c r="T21" s="14">
        <f t="shared" si="42"/>
        <v>3.1374409427236571E-2</v>
      </c>
      <c r="U21" s="13">
        <f>_xll.dnetGBlackScholesNGreeks("delta",$Q21,$P21,$G21,$I21,$C$3,$J21,$K21,$C$4)*R21</f>
        <v>-0.48258975621600086</v>
      </c>
      <c r="V21" s="13">
        <f>_xll.dnetGBlackScholesNGreeks("vega",$Q21,$P21,$G21,$I21,$C$3,$J21,$K21,$C$4)*R21</f>
        <v>0.16504262757388588</v>
      </c>
    </row>
    <row r="22" spans="1:22">
      <c r="A22" s="53"/>
      <c r="B22" s="13" t="s">
        <v>172</v>
      </c>
      <c r="C22" s="10" t="s">
        <v>161</v>
      </c>
      <c r="D22" s="10" t="s">
        <v>206</v>
      </c>
      <c r="E22" s="8">
        <f t="shared" ca="1" si="0"/>
        <v>43126</v>
      </c>
      <c r="F22" s="8">
        <f t="shared" ref="F22:F23" ca="1" si="43">E22+H22</f>
        <v>43189</v>
      </c>
      <c r="G22" s="10">
        <v>100</v>
      </c>
      <c r="H22" s="10">
        <v>63</v>
      </c>
      <c r="I22" s="12">
        <f>(H22)/365</f>
        <v>0.17260273972602741</v>
      </c>
      <c r="J22" s="12">
        <v>0</v>
      </c>
      <c r="K22" s="193">
        <v>0.16800000000000001</v>
      </c>
      <c r="L22" s="13">
        <f>_xll.dnetGBlackScholesNGreeks("price",$Q22,$P22,$G22,$I22,$C$3,$J22,$K22,$C$4)*R22</f>
        <v>2.7743154177913851</v>
      </c>
      <c r="M22" s="15">
        <v>0</v>
      </c>
      <c r="N22" s="13">
        <f t="shared" si="39"/>
        <v>0</v>
      </c>
      <c r="O22" s="13">
        <f t="shared" si="40"/>
        <v>2.7743154177913851</v>
      </c>
      <c r="P22" s="169">
        <v>100</v>
      </c>
      <c r="Q22" s="10" t="s">
        <v>85</v>
      </c>
      <c r="R22" s="10">
        <f t="shared" si="41"/>
        <v>1</v>
      </c>
      <c r="S22" s="10" t="s">
        <v>151</v>
      </c>
      <c r="T22" s="14">
        <f t="shared" si="42"/>
        <v>2.7743154177913853E-2</v>
      </c>
      <c r="U22" s="13">
        <f>_xll.dnetGBlackScholesNGreeks("delta",$Q22,$P22,$G22,$I22,$C$3,$J22,$K22,$C$4)*R22</f>
        <v>-0.48440538549137102</v>
      </c>
      <c r="V22" s="13">
        <f>_xll.dnetGBlackScholesNGreeks("vega",$Q22,$P22,$G22,$I22,$C$3,$J22,$K22,$C$4)*R22</f>
        <v>0.16507067518064034</v>
      </c>
    </row>
    <row r="23" spans="1:22">
      <c r="A23" s="53"/>
      <c r="B23" s="13" t="s">
        <v>172</v>
      </c>
      <c r="C23" s="10" t="s">
        <v>161</v>
      </c>
      <c r="D23" s="10" t="s">
        <v>207</v>
      </c>
      <c r="E23" s="8">
        <f t="shared" ca="1" si="0"/>
        <v>43126</v>
      </c>
      <c r="F23" s="8">
        <f t="shared" ca="1" si="43"/>
        <v>43189</v>
      </c>
      <c r="G23" s="10">
        <v>100</v>
      </c>
      <c r="H23" s="10">
        <v>63</v>
      </c>
      <c r="I23" s="12">
        <f>(H23-7)/365</f>
        <v>0.15342465753424658</v>
      </c>
      <c r="J23" s="12">
        <v>0</v>
      </c>
      <c r="K23" s="193">
        <v>0.248</v>
      </c>
      <c r="L23" s="13">
        <f>_xll.dnetGBlackScholesNGreeks("price",$Q23,$P23,$G23,$I23,$C$3,$J23,$K23,$C$4)*R23</f>
        <v>3.8619439896667345</v>
      </c>
      <c r="M23" s="15">
        <v>0</v>
      </c>
      <c r="N23" s="13">
        <f t="shared" si="39"/>
        <v>0</v>
      </c>
      <c r="O23" s="13">
        <f t="shared" si="40"/>
        <v>3.8619439896667345</v>
      </c>
      <c r="P23" s="169">
        <v>100</v>
      </c>
      <c r="Q23" s="10" t="s">
        <v>85</v>
      </c>
      <c r="R23" s="10">
        <f t="shared" si="41"/>
        <v>1</v>
      </c>
      <c r="S23" s="10" t="s">
        <v>151</v>
      </c>
      <c r="T23" s="14">
        <f t="shared" si="42"/>
        <v>3.8619439896667343E-2</v>
      </c>
      <c r="U23" s="13">
        <f>_xll.dnetGBlackScholesNGreeks("delta",$Q23,$P23,$G23,$I23,$C$3,$J23,$K23,$C$4)*R23</f>
        <v>-0.47915839520662473</v>
      </c>
      <c r="V23" s="13">
        <f>_xll.dnetGBlackScholesNGreeks("vega",$Q23,$P23,$G23,$I23,$C$3,$J23,$K23,$C$4)*R23</f>
        <v>0.15560103364342837</v>
      </c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91" t="s">
        <v>37</v>
      </c>
      <c r="C1" s="186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43126</v>
      </c>
      <c r="G8" s="65">
        <f ca="1">F8+I8</f>
        <v>43156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43126</v>
      </c>
      <c r="G9" s="73">
        <f ca="1">G8</f>
        <v>43156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43126</v>
      </c>
      <c r="G10" s="81">
        <f ca="1">G9</f>
        <v>43156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6" t="s">
        <v>38</v>
      </c>
      <c r="C1" s="186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3940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55">
        <v>0.02</v>
      </c>
      <c r="M8" s="21">
        <f ca="1">TODAY()</f>
        <v>43126</v>
      </c>
      <c r="N8" s="21">
        <f ca="1">M8+O8</f>
        <v>43156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-78.8</v>
      </c>
      <c r="T8" s="25">
        <v>80</v>
      </c>
      <c r="U8" s="24">
        <f>T8/10000*P8*H8</f>
        <v>2.5906849315068494</v>
      </c>
      <c r="V8" s="24">
        <f>IF(S8&lt;=0,ABS(S8)+U8,S8-U8)</f>
        <v>81.39068493150684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43126</v>
      </c>
      <c r="N9" s="8">
        <f ca="1">M9+O9</f>
        <v>43306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92" t="s">
        <v>37</v>
      </c>
      <c r="C1" s="192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3940</v>
      </c>
      <c r="I8" s="19">
        <v>3800</v>
      </c>
      <c r="J8" s="21">
        <f ca="1">TODAY()</f>
        <v>43126</v>
      </c>
      <c r="K8" s="21">
        <f ca="1">J8+L8</f>
        <v>43156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216.16063769872744</v>
      </c>
      <c r="P8" s="25">
        <v>80</v>
      </c>
      <c r="Q8" s="24">
        <f>P8/10000*M8*H8*(-E8)</f>
        <v>2.5906849315068494</v>
      </c>
      <c r="R8" s="24">
        <f>O8+Q8</f>
        <v>218.75132263023428</v>
      </c>
      <c r="S8" s="26">
        <f>R8/H8</f>
        <v>5.5520640261480785E-2</v>
      </c>
      <c r="T8" s="24">
        <f>_xll.dnetGBlackScholesNGreeks("delta",$G8,$H8,$I8,$M8,$C$3,$C$4,$N8,$C$4)</f>
        <v>0.68141083320369944</v>
      </c>
      <c r="U8" s="24">
        <f>_xll.dnetGBlackScholesNGreeks("vega",$G8,$H8,$I8,$M8,$C$3,$C$4,$N8)</f>
        <v>4.0252650395032106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43126</v>
      </c>
      <c r="K9" s="8">
        <f ca="1">J9+L9</f>
        <v>43156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43126</v>
      </c>
      <c r="K10" s="8">
        <f ca="1">J10+L10</f>
        <v>43156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2018-01-26T07:35:16Z</dcterms:modified>
</cp:coreProperties>
</file>