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K21" i="9" l="1"/>
  <c r="D23" i="9"/>
  <c r="D22" i="9"/>
  <c r="R23" i="1"/>
  <c r="I23" i="1"/>
  <c r="E23" i="1"/>
  <c r="F23" i="1" s="1"/>
  <c r="P23" i="1"/>
  <c r="N23" i="1" l="1"/>
  <c r="G23" i="1"/>
  <c r="R22" i="1"/>
  <c r="I22" i="1"/>
  <c r="E22" i="1"/>
  <c r="F22" i="1" s="1"/>
  <c r="R20" i="1"/>
  <c r="I20" i="1"/>
  <c r="E20" i="1"/>
  <c r="F20" i="1" s="1"/>
  <c r="U23" i="1"/>
  <c r="V23" i="1"/>
  <c r="L23" i="1"/>
  <c r="P20" i="1"/>
  <c r="P22" i="1"/>
  <c r="O23" i="1" l="1"/>
  <c r="T23" i="1" s="1"/>
  <c r="Y23" i="1"/>
  <c r="G22" i="1"/>
  <c r="N22" i="1"/>
  <c r="N20" i="1"/>
  <c r="F27" i="2"/>
  <c r="U20" i="1"/>
  <c r="L22" i="1"/>
  <c r="V22" i="1"/>
  <c r="U22" i="1"/>
  <c r="L20" i="1"/>
  <c r="V20" i="1"/>
  <c r="O22" i="1" l="1"/>
  <c r="T22" i="1" s="1"/>
  <c r="Y22" i="1"/>
  <c r="O20" i="1"/>
  <c r="T20" i="1" s="1"/>
  <c r="Y20" i="1"/>
  <c r="I18" i="1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L19" i="9"/>
  <c r="U21" i="9"/>
  <c r="U19" i="9"/>
  <c r="L21" i="9"/>
  <c r="L18" i="9"/>
  <c r="U18" i="9"/>
  <c r="V18" i="9"/>
  <c r="U22" i="9"/>
  <c r="V22" i="9"/>
  <c r="V19" i="9"/>
  <c r="L22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R18" i="1" l="1"/>
  <c r="E18" i="1"/>
  <c r="F18" i="1" s="1"/>
  <c r="P16" i="8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I16" i="1"/>
  <c r="R16" i="1"/>
  <c r="E16" i="1"/>
  <c r="F16" i="1" s="1"/>
  <c r="I14" i="1"/>
  <c r="R14" i="1"/>
  <c r="E14" i="1"/>
  <c r="F14" i="1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P13" i="1"/>
  <c r="K14" i="8"/>
  <c r="P18" i="1"/>
  <c r="K16" i="8"/>
  <c r="P14" i="9"/>
  <c r="K15" i="8"/>
  <c r="K12" i="8"/>
  <c r="K11" i="8"/>
  <c r="Y11" i="8" s="1"/>
  <c r="P16" i="1"/>
  <c r="K13" i="8"/>
  <c r="P14" i="1"/>
  <c r="S14" i="8"/>
  <c r="X14" i="8"/>
  <c r="X13" i="8"/>
  <c r="Y13" i="8"/>
  <c r="G18" i="1" l="1"/>
  <c r="I12" i="10"/>
  <c r="I15" i="10"/>
  <c r="I10" i="10"/>
  <c r="Q13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N18" i="1"/>
  <c r="N16" i="1"/>
  <c r="G13" i="1"/>
  <c r="G14" i="1"/>
  <c r="N14" i="1"/>
  <c r="E15" i="9"/>
  <c r="E16" i="9" s="1"/>
  <c r="P15" i="9"/>
  <c r="I15" i="9"/>
  <c r="I16" i="9" s="1"/>
  <c r="I13" i="1"/>
  <c r="R13" i="1"/>
  <c r="E13" i="1"/>
  <c r="F13" i="1" s="1"/>
  <c r="R11" i="1"/>
  <c r="I11" i="1"/>
  <c r="E11" i="1"/>
  <c r="F11" i="1" s="1"/>
  <c r="V14" i="9"/>
  <c r="V16" i="1"/>
  <c r="Y15" i="8"/>
  <c r="U16" i="1"/>
  <c r="S12" i="8"/>
  <c r="U18" i="1"/>
  <c r="Y12" i="8"/>
  <c r="V14" i="1"/>
  <c r="U14" i="1"/>
  <c r="X12" i="8"/>
  <c r="V18" i="1"/>
  <c r="Y16" i="8"/>
  <c r="L18" i="1"/>
  <c r="X15" i="8"/>
  <c r="L14" i="9"/>
  <c r="Y14" i="8"/>
  <c r="L16" i="1"/>
  <c r="S11" i="8"/>
  <c r="X11" i="8"/>
  <c r="L14" i="1"/>
  <c r="S16" i="8"/>
  <c r="S15" i="8"/>
  <c r="X16" i="8"/>
  <c r="U14" i="9"/>
  <c r="S13" i="8"/>
  <c r="Q10" i="10" l="1"/>
  <c r="Q14" i="10"/>
  <c r="Q12" i="10"/>
  <c r="O18" i="1"/>
  <c r="T18" i="1" s="1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Y18" i="1"/>
  <c r="Y16" i="1"/>
  <c r="O16" i="1"/>
  <c r="T16" i="1" s="1"/>
  <c r="O14" i="1"/>
  <c r="T14" i="1" s="1"/>
  <c r="Y14" i="1"/>
  <c r="O14" i="9"/>
  <c r="P16" i="9"/>
  <c r="N16" i="9" s="1"/>
  <c r="G16" i="9"/>
  <c r="N13" i="1"/>
  <c r="N11" i="1"/>
  <c r="N40" i="2"/>
  <c r="U13" i="1"/>
  <c r="V13" i="1"/>
  <c r="L11" i="1"/>
  <c r="L13" i="1"/>
  <c r="L15" i="9"/>
  <c r="V15" i="9"/>
  <c r="U15" i="9"/>
  <c r="V11" i="1"/>
  <c r="U11" i="1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Y11" i="1"/>
  <c r="Y13" i="1"/>
  <c r="O13" i="1"/>
  <c r="T13" i="1" s="1"/>
  <c r="O11" i="1"/>
  <c r="T11" i="1" s="1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L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U8" i="9"/>
  <c r="V9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8"/>
  <c r="O9" i="7"/>
  <c r="K9" i="8"/>
  <c r="O10" i="7"/>
  <c r="U10" i="7"/>
  <c r="H8" i="7"/>
  <c r="T10" i="7"/>
  <c r="U9" i="7"/>
  <c r="T9" i="7"/>
  <c r="U8" i="8" l="1"/>
  <c r="Q9" i="7"/>
  <c r="R9" i="7" s="1"/>
  <c r="S9" i="7" s="1"/>
  <c r="Q10" i="7"/>
  <c r="R10" i="7" s="1"/>
  <c r="S10" i="7" s="1"/>
  <c r="Q8" i="7"/>
  <c r="O8" i="7"/>
  <c r="K8" i="8"/>
  <c r="T8" i="7"/>
  <c r="S9" i="8"/>
  <c r="U8" i="7"/>
  <c r="Y9" i="8"/>
  <c r="X9" i="8"/>
  <c r="V9" i="8" l="1"/>
  <c r="W9" i="8" s="1"/>
  <c r="R8" i="7"/>
  <c r="S8" i="7" s="1"/>
  <c r="S8" i="8"/>
  <c r="X8" i="8"/>
  <c r="Y8" i="8"/>
  <c r="V8" i="8" l="1"/>
  <c r="W8" i="8" s="1"/>
  <c r="R8" i="1"/>
  <c r="I8" i="1" l="1"/>
  <c r="E8" i="1"/>
  <c r="F8" i="1" s="1"/>
  <c r="N8" i="1" l="1"/>
  <c r="L8" i="1"/>
  <c r="V8" i="1"/>
  <c r="U8" i="1"/>
  <c r="O8" i="1" l="1"/>
  <c r="T8" i="1" s="1"/>
  <c r="G12" i="9" l="1"/>
  <c r="G13" i="9" s="1"/>
  <c r="V12" i="9"/>
  <c r="L12" i="9"/>
  <c r="V11" i="9"/>
  <c r="L11" i="9"/>
  <c r="U11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<sst xmlns="http://schemas.openxmlformats.org/spreadsheetml/2006/main" count="1095" uniqueCount="256">
  <si>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</si>
  <si>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</si>
  <si>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</si>
  <si>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</si>
  <si>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</si>
  <si>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</si>
  <si>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</si>
  <si>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</si>
  <si>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</si>
  <si>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</si>
  <si>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</si>
  <si>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</si>
  <si>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</si>
  <si>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</si>
  <si>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</si>
  <si>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</si>
  <si>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</si>
  <si>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</si>
  <si>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</si>
  <si>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</si>
  <si>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</si>
  <si>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</si>
  <si>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</si>
  <si>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</si>
  <si>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</si>
  <si>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</si>
  <si>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</si>
  <si>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</si>
  <si>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</si>
  <si>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</si>
  <si>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</si>
  <si>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</si>
  <si>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</si>
  <si>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</si>
  <si>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</si>
  <si>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</si>
  <si>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</si>
  <si>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</si>
  <si>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</si>
  <si>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</si>
  <si>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</si>
  <si>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</si>
  <si>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</si>
  <si>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</si>
  <si>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</si>
  <si>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</si>
  <si>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</si>
  <si>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</si>
  <si>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</si>
  <si>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</si>
  <si>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</si>
  <si>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</si>
  <si>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</si>
  <si>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</si>
  <si>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</si>
  <si>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</si>
  <si>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</si>
  <si>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</si>
  <si>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</si>
  <si>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</si>
  <si>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</si>
  <si>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</si>
  <si>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</si>
  <si>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</si>
  <si>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</si>
  <si>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</si>
  <si>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</si>
  <si>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</si>
  <si>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</si>
  <si>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</si>
  <si>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</si>
  <si>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</si>
  <si>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</si>
  <si>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</si>
  <si>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</si>
  <si>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</si>
  <si>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</si>
  <si>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</si>
  <si>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</si>
  <si>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</si>
  <si>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</si>
  <si>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</si>
  <si>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</si>
  <si>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</si>
  <si>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</si>
  <si>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</si>
  <si>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</si>
  <si>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</si>
  <si>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</si>
  <si>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</si>
  <si>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</si>
  <si>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</si>
  <si>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</si>
  <si>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</si>
  <si>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</si>
  <si>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</si>
  <si>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</si>
  <si>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</si>
  <si>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</si>
  <si>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</si>
  <si>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</si>
  <si>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</si>
  <si>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</si>
  <si>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</si>
  <si>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</si>
  <si>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</si>
  <si>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</si>
  <si>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</si>
  <si>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</si>
  <si>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</si>
  <si>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</si>
  <si>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</si>
  <si>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</si>
  <si>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</si>
  <si>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</si>
  <si>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</si>
  <si>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</si>
  <si>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</si>
  <si>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</si>
  <si>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</si>
  <si>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</si>
  <si>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</si>
  <si>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</si>
  <si>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</si>
  <si>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</si>
  <si>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</si>
  <si>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</si>
  <si>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</si>
  <si>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</si>
  <si>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</si>
  <si>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</si>
  <si>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</si>
  <si>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</si>
  <si>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</si>
  <si>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</si>
  <si>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</si>
  <si>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</si>
  <si>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</si>
  <si>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</si>
  <si>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</si>
  <si>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</si>
  <si>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</si>
  <si>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</si>
  <si>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</si>
  <si>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</si>
  <si>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</si>
  <si>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</si>
  <si>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</si>
  <si>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</si>
  <si>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</si>
  <si>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</si>
  <si>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</si>
  <si>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</si>
  <si>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</si>
  <si>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</si>
  <si>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</si>
  <si>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</si>
  <si>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</si>
  <si>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</si>
  <si>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</si>
  <si>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</si>
  <si>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</si>
  <si>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</si>
  <si>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</si>
  <si>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</si>
  <si>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</si>
  <si>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</si>
  <si>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</si>
  <si>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</si>
  <si>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</si>
  <si>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</si>
  <si>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</si>
  <si>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</si>
  <si>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</si>
  <si>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</si>
  <si>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</si>
  <si>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</si>
  <si>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</si>
  <si>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</si>
  <si>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</si>
  <si>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</si>
  <si>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</si>
  <si>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</si>
  <si>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</si>
  <si>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</si>
  <si>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</si>
  <si>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</si>
  <si>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</si>
  <si>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</si>
  <si>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</si>
  <si>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</si>
  <si>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</si>
  <si>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</si>
  <si>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</si>
  <si>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</si>
  <si>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</si>
  <si>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</si>
  <si>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</si>
  <si>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</si>
  <si>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</si>
  <si>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</si>
  <si>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</si>
  <si>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</si>
  <si>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</si>
  <si>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</si>
  <si>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</si>
  <si>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</si>
  <si>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</si>
  <si>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</si>
  <si>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>天物国际</t>
  </si>
  <si>
    <t xml:space="preserve">    看跌期权 </t>
    <phoneticPr fontId="1" type="noConversion"/>
  </si>
  <si>
    <t>ni1809</t>
    <phoneticPr fontId="1" type="noConversion"/>
  </si>
  <si>
    <t>j1809</t>
  </si>
  <si>
    <t>al1807</t>
    <phoneticPr fontId="1" type="noConversion"/>
  </si>
  <si>
    <t>rb1810</t>
    <phoneticPr fontId="1" type="noConversion"/>
  </si>
  <si>
    <t>3480|3280</t>
  </si>
  <si>
    <t>客户支付</t>
    <phoneticPr fontId="1" type="noConversion"/>
  </si>
  <si>
    <t>rr</t>
    <phoneticPr fontId="1" type="noConversion"/>
  </si>
  <si>
    <t>.</t>
    <phoneticPr fontId="1" type="noConversion"/>
  </si>
  <si>
    <t>c</t>
    <phoneticPr fontId="1" type="noConversion"/>
  </si>
  <si>
    <t>中金买入</t>
    <phoneticPr fontId="1" type="noConversion"/>
  </si>
  <si>
    <t>c</t>
    <phoneticPr fontId="1" type="noConversion"/>
  </si>
  <si>
    <t>中金卖出</t>
    <phoneticPr fontId="1" type="noConversion"/>
  </si>
  <si>
    <t>J1809</t>
  </si>
  <si>
    <t>J1809</t>
    <phoneticPr fontId="1" type="noConversion"/>
  </si>
  <si>
    <t>中金买入</t>
    <phoneticPr fontId="1" type="noConversion"/>
  </si>
  <si>
    <t>i1809</t>
    <phoneticPr fontId="1" type="noConversion"/>
  </si>
  <si>
    <t>ru1809</t>
  </si>
  <si>
    <t>ru1809</t>
    <phoneticPr fontId="1" type="noConversion"/>
  </si>
  <si>
    <t>sc1809</t>
    <phoneticPr fontId="1" type="noConversion"/>
  </si>
  <si>
    <t>ni1809</t>
  </si>
  <si>
    <t>i</t>
    <phoneticPr fontId="1" type="noConversion"/>
  </si>
  <si>
    <t>ru</t>
    <phoneticPr fontId="1" type="noConversion"/>
  </si>
  <si>
    <t>sc</t>
    <phoneticPr fontId="1" type="noConversion"/>
  </si>
  <si>
    <t>al1807</t>
  </si>
  <si>
    <t>al1808</t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</si>
  <si>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</si>
  <si>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</si>
  <si>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</si>
  <si>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</si>
  <si>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52000|52500</t>
  </si>
  <si>
    <t>中金支付</t>
    <phoneticPr fontId="1" type="noConversion"/>
  </si>
  <si>
    <t>中金卖出</t>
    <phoneticPr fontId="1" type="noConversion"/>
  </si>
  <si>
    <t>51070|52000</t>
  </si>
  <si>
    <t>中金买入</t>
    <phoneticPr fontId="1" type="noConversion"/>
  </si>
  <si>
    <t>i1809</t>
  </si>
  <si>
    <t>hc1810</t>
  </si>
  <si>
    <t>中金卖出</t>
    <phoneticPr fontId="1" type="noConversion"/>
  </si>
  <si>
    <t>al1807</t>
    <phoneticPr fontId="1" type="noConversion"/>
  </si>
  <si>
    <t>v1809</t>
  </si>
  <si>
    <t>v1809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</si>
  <si>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</si>
  <si>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</si>
  <si>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al1809</t>
  </si>
  <si>
    <t>al1809</t>
    <phoneticPr fontId="1" type="noConversion"/>
  </si>
  <si>
    <t>l1809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</si>
</sst>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1" fillId="10" borderId="16" xfId="0" applyFont="1" applyFill="1" applyBorder="1" applyAlignment="1">
      <alignment horizontal="lef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51740</v>
        <stp/>
        <stp>cu1808</stp>
        <stp>LastPrice</stp>
        <tr r="P18" s="9"/>
      </tp>
      <tp>
        <v>6715</v>
        <stp/>
        <stp>v1809</stp>
        <stp>LastPrice</stp>
        <tr r="P18" s="1"/>
      </tp>
      <tp>
        <v>14685</v>
        <stp/>
        <stp>al1809</stp>
        <stp>LastPrice</stp>
        <tr r="P20" s="1"/>
      </tp>
      <tp>
        <v>14605</v>
        <stp/>
        <stp>al1808</stp>
        <stp>LastPrice</stp>
        <tr r="P9" s="1"/>
      </tp>
      <tp>
        <v>477</v>
        <stp/>
        <stp>i1809</stp>
        <stp>LastPrice</stp>
        <tr r="P11" s="9"/>
        <tr r="P21" s="9"/>
        <tr r="P22" s="1"/>
        <tr r="P23" s="1"/>
      </tp>
      <tp>
        <v>3556</v>
        <stp/>
        <stp>rb1810</stp>
        <stp>LastPrice</stp>
        <tr r="P14" s="1"/>
        <tr r="P14" s="9"/>
        <tr r="P13" s="1"/>
      </tp>
      <tp>
        <v>1940</v>
        <stp/>
        <stp>J1809</stp>
        <stp>LastPrice</stp>
        <tr r="P16" s="1"/>
      </tp>
      <tp>
        <v>3845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61"/>
  <sheetViews>
    <sheetView topLeftCell="A28" zoomScaleNormal="100" workbookViewId="0">
      <selection activeCell="X40" sqref="X40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6" t="s">
        <v>158</v>
      </c>
      <c r="C1" s="116"/>
      <c r="D1" s="116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43119</v>
      </c>
      <c r="E9" s="93">
        <v>43189</v>
      </c>
      <c r="F9" s="92">
        <v>3650</v>
      </c>
      <c r="G9" s="92">
        <v>70</v>
      </c>
      <c r="H9" s="92">
        <v>0.17808219178082191</v>
      </c>
      <c r="I9" s="92">
        <v>0</v>
      </c>
      <c r="J9" s="92">
        <v>0.19</v>
      </c>
      <c r="K9" s="92">
        <v>82.749480015912013</v>
      </c>
      <c r="L9" s="92"/>
      <c r="M9" s="92">
        <v>0</v>
      </c>
      <c r="N9" s="99">
        <v>82.749480015912013</v>
      </c>
      <c r="O9" s="92">
        <v>3728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43119</v>
      </c>
      <c r="E10" s="93">
        <v>43189</v>
      </c>
      <c r="F10" s="92">
        <v>3700</v>
      </c>
      <c r="G10" s="92">
        <v>70</v>
      </c>
      <c r="H10" s="92">
        <v>0.17808219178082191</v>
      </c>
      <c r="I10" s="92">
        <v>0</v>
      </c>
      <c r="J10" s="92">
        <v>0.19</v>
      </c>
      <c r="K10" s="92">
        <v>104.91801880194794</v>
      </c>
      <c r="L10" s="92"/>
      <c r="M10" s="92">
        <v>0</v>
      </c>
      <c r="N10" s="99">
        <v>104.91801880194794</v>
      </c>
      <c r="O10" s="92">
        <v>3728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43119</v>
      </c>
      <c r="E11" s="93">
        <v>43189</v>
      </c>
      <c r="F11" s="92">
        <v>3750</v>
      </c>
      <c r="G11" s="92">
        <v>70</v>
      </c>
      <c r="H11" s="92">
        <v>0.17808219178082191</v>
      </c>
      <c r="I11" s="92">
        <v>0</v>
      </c>
      <c r="J11" s="92">
        <v>0.19</v>
      </c>
      <c r="K11" s="92">
        <v>130.42375876594815</v>
      </c>
      <c r="L11" s="92"/>
      <c r="M11" s="92">
        <v>0</v>
      </c>
      <c r="N11" s="99">
        <v>130.42375876594815</v>
      </c>
      <c r="O11" s="92">
        <v>3728</v>
      </c>
      <c r="P11" s="92" t="s">
        <v>85</v>
      </c>
      <c r="Q11" s="92">
        <v>1</v>
      </c>
      <c r="R11" s="92" t="s">
        <v>151</v>
      </c>
    </row>
    <row r="12" spans="2:18" x14ac:dyDescent="0.15">
      <c r="B12" s="92"/>
      <c r="C12" s="92"/>
      <c r="D12" s="93"/>
      <c r="E12" s="93"/>
      <c r="F12" s="92"/>
      <c r="G12" s="92"/>
      <c r="H12" s="92"/>
      <c r="I12" s="92"/>
      <c r="J12" s="92"/>
      <c r="K12" s="92"/>
      <c r="L12" s="92"/>
      <c r="M12" s="92"/>
      <c r="N12" s="99"/>
      <c r="O12" s="92"/>
      <c r="P12" s="92"/>
      <c r="Q12" s="92"/>
      <c r="R12" s="92"/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185</v>
      </c>
      <c r="D14" s="93">
        <v>43203</v>
      </c>
      <c r="E14" s="93">
        <v>43248</v>
      </c>
      <c r="F14" s="92">
        <v>3138</v>
      </c>
      <c r="G14" s="92">
        <v>45</v>
      </c>
      <c r="H14" s="92">
        <v>0.12328767123287671</v>
      </c>
      <c r="I14" s="92">
        <v>0</v>
      </c>
      <c r="J14" s="92">
        <v>0.27</v>
      </c>
      <c r="K14" s="92">
        <v>-27.730831337650329</v>
      </c>
      <c r="L14" s="92">
        <v>70</v>
      </c>
      <c r="M14" s="92">
        <v>2.9670410958904108</v>
      </c>
      <c r="N14" s="99">
        <v>30.697872433540741</v>
      </c>
      <c r="O14" s="92">
        <v>3438</v>
      </c>
      <c r="P14" s="92" t="s">
        <v>85</v>
      </c>
      <c r="Q14" s="92">
        <v>-1</v>
      </c>
      <c r="R14" s="92" t="s">
        <v>20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212</v>
      </c>
      <c r="D16" s="93">
        <v>43206</v>
      </c>
      <c r="E16" s="93">
        <v>43222</v>
      </c>
      <c r="F16" s="92">
        <v>1780</v>
      </c>
      <c r="G16" s="92">
        <v>15</v>
      </c>
      <c r="H16" s="92">
        <v>3.5616438356164383E-2</v>
      </c>
      <c r="I16" s="92">
        <v>0</v>
      </c>
      <c r="J16" s="92">
        <v>0.25</v>
      </c>
      <c r="K16" s="92">
        <v>13.865015279579325</v>
      </c>
      <c r="L16" s="92"/>
      <c r="M16" s="92">
        <v>0</v>
      </c>
      <c r="N16" s="99">
        <v>13.865015279579325</v>
      </c>
      <c r="O16" s="92">
        <v>1730</v>
      </c>
      <c r="P16" s="92" t="s">
        <v>39</v>
      </c>
      <c r="Q16" s="92">
        <v>1</v>
      </c>
      <c r="R16" s="92" t="s">
        <v>151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185</v>
      </c>
      <c r="D18" s="93">
        <v>43207</v>
      </c>
      <c r="E18" s="93">
        <v>43298</v>
      </c>
      <c r="F18" s="92" t="s">
        <v>215</v>
      </c>
      <c r="G18" s="92">
        <v>91</v>
      </c>
      <c r="H18" s="92">
        <v>0.24931506849315069</v>
      </c>
      <c r="I18" s="92"/>
      <c r="J18" s="92"/>
      <c r="K18" s="92">
        <v>-53.809522931783931</v>
      </c>
      <c r="L18" s="92">
        <v>0</v>
      </c>
      <c r="M18" s="92">
        <v>0</v>
      </c>
      <c r="N18" s="99">
        <v>63</v>
      </c>
      <c r="O18" s="92">
        <v>3422</v>
      </c>
      <c r="P18" s="92" t="s">
        <v>217</v>
      </c>
      <c r="Q18" s="92"/>
      <c r="R18" s="92" t="s">
        <v>216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185</v>
      </c>
      <c r="D20" s="93">
        <v>43207</v>
      </c>
      <c r="E20" s="93">
        <v>43237</v>
      </c>
      <c r="F20" s="92">
        <v>3423</v>
      </c>
      <c r="G20" s="92">
        <v>30</v>
      </c>
      <c r="H20" s="92">
        <v>7.6712328767123292E-2</v>
      </c>
      <c r="I20" s="92">
        <v>0</v>
      </c>
      <c r="J20" s="92">
        <v>0.22</v>
      </c>
      <c r="K20" s="92">
        <v>83.068952073772834</v>
      </c>
      <c r="L20" s="92"/>
      <c r="M20" s="92">
        <v>0</v>
      </c>
      <c r="N20" s="99">
        <v>83.068952073772834</v>
      </c>
      <c r="O20" s="92">
        <v>3423</v>
      </c>
      <c r="P20" s="92" t="s">
        <v>219</v>
      </c>
      <c r="Q20" s="92">
        <v>1</v>
      </c>
      <c r="R20" s="92" t="s">
        <v>220</v>
      </c>
    </row>
    <row r="21" spans="2:18" x14ac:dyDescent="0.15">
      <c r="B21" s="92" t="s">
        <v>160</v>
      </c>
      <c r="C21" s="92" t="s">
        <v>185</v>
      </c>
      <c r="D21" s="93">
        <v>43207</v>
      </c>
      <c r="E21" s="93">
        <v>43237</v>
      </c>
      <c r="F21" s="92">
        <v>3423</v>
      </c>
      <c r="G21" s="92">
        <v>30</v>
      </c>
      <c r="H21" s="92">
        <v>8.2191780821917804E-2</v>
      </c>
      <c r="I21" s="92">
        <v>0</v>
      </c>
      <c r="J21" s="92">
        <v>0.28000000000000003</v>
      </c>
      <c r="K21" s="92">
        <v>-109.41042124359888</v>
      </c>
      <c r="L21" s="92"/>
      <c r="M21" s="92">
        <v>0</v>
      </c>
      <c r="N21" s="99">
        <v>109.41042124359888</v>
      </c>
      <c r="O21" s="92">
        <v>3423</v>
      </c>
      <c r="P21" s="92" t="s">
        <v>221</v>
      </c>
      <c r="Q21" s="92">
        <v>-1</v>
      </c>
      <c r="R21" s="92" t="s">
        <v>222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223</v>
      </c>
      <c r="D23" s="93">
        <v>43207</v>
      </c>
      <c r="E23" s="93">
        <v>43222</v>
      </c>
      <c r="F23" s="92">
        <v>1806</v>
      </c>
      <c r="G23" s="92">
        <v>15</v>
      </c>
      <c r="H23" s="92">
        <v>3.5616438356164383E-2</v>
      </c>
      <c r="I23" s="92">
        <v>0</v>
      </c>
      <c r="J23" s="92">
        <v>0.27</v>
      </c>
      <c r="K23" s="92">
        <v>23.718960380057069</v>
      </c>
      <c r="L23" s="92"/>
      <c r="M23" s="92">
        <v>0</v>
      </c>
      <c r="N23" s="99">
        <v>23.718960380057069</v>
      </c>
      <c r="O23" s="92">
        <v>1777</v>
      </c>
      <c r="P23" s="92" t="s">
        <v>219</v>
      </c>
      <c r="Q23" s="92">
        <v>1</v>
      </c>
      <c r="R23" s="92" t="s">
        <v>225</v>
      </c>
    </row>
    <row r="25" spans="2:18" x14ac:dyDescent="0.15">
      <c r="B25" s="91" t="s">
        <v>2</v>
      </c>
      <c r="C25" s="33" t="s">
        <v>181</v>
      </c>
      <c r="D25" s="33" t="s">
        <v>180</v>
      </c>
      <c r="E25" s="33" t="s">
        <v>10</v>
      </c>
      <c r="F25" s="33" t="s">
        <v>184</v>
      </c>
      <c r="G25" s="33" t="s">
        <v>11</v>
      </c>
      <c r="H25" s="33" t="s">
        <v>12</v>
      </c>
      <c r="I25" s="33" t="s">
        <v>47</v>
      </c>
      <c r="J25" s="33" t="s">
        <v>13</v>
      </c>
      <c r="K25" s="33" t="s">
        <v>14</v>
      </c>
      <c r="L25" s="33" t="s">
        <v>26</v>
      </c>
      <c r="M25" s="33" t="s">
        <v>28</v>
      </c>
      <c r="N25" s="33" t="s">
        <v>182</v>
      </c>
      <c r="O25" s="33" t="s">
        <v>8</v>
      </c>
      <c r="P25" s="33" t="s">
        <v>23</v>
      </c>
      <c r="Q25" s="33"/>
      <c r="R25" s="33" t="s">
        <v>30</v>
      </c>
    </row>
    <row r="26" spans="2:18" x14ac:dyDescent="0.15">
      <c r="B26" s="92" t="s">
        <v>160</v>
      </c>
      <c r="C26" s="92" t="s">
        <v>227</v>
      </c>
      <c r="D26" s="93">
        <v>43207</v>
      </c>
      <c r="E26" s="93">
        <v>43238</v>
      </c>
      <c r="F26" s="92">
        <v>11150</v>
      </c>
      <c r="G26" s="92">
        <v>31</v>
      </c>
      <c r="H26" s="92">
        <v>7.9452054794520555E-2</v>
      </c>
      <c r="I26" s="92">
        <v>0</v>
      </c>
      <c r="J26" s="92">
        <v>0.21</v>
      </c>
      <c r="K26" s="92">
        <v>293.180302984023</v>
      </c>
      <c r="L26" s="92">
        <v>30</v>
      </c>
      <c r="M26" s="92">
        <v>2.643369863013699</v>
      </c>
      <c r="N26" s="99">
        <v>290.53693312100933</v>
      </c>
      <c r="O26" s="92">
        <v>11090</v>
      </c>
      <c r="P26" s="92" t="s">
        <v>85</v>
      </c>
      <c r="Q26" s="92">
        <v>1</v>
      </c>
      <c r="R26" s="92" t="s">
        <v>151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230</v>
      </c>
      <c r="D28" s="93">
        <v>43207</v>
      </c>
      <c r="E28" s="93">
        <v>43223</v>
      </c>
      <c r="F28" s="92">
        <v>109000</v>
      </c>
      <c r="G28" s="92">
        <v>16</v>
      </c>
      <c r="H28" s="92">
        <v>4.3835616438356165E-2</v>
      </c>
      <c r="I28" s="92">
        <v>0</v>
      </c>
      <c r="J28" s="92">
        <v>0.27500000000000002</v>
      </c>
      <c r="K28" s="92">
        <v>-655.63214837387204</v>
      </c>
      <c r="L28" s="92">
        <v>0</v>
      </c>
      <c r="M28" s="92">
        <v>0</v>
      </c>
      <c r="N28" s="99">
        <v>655.63214837387204</v>
      </c>
      <c r="O28" s="92">
        <v>103710</v>
      </c>
      <c r="P28" s="92" t="s">
        <v>39</v>
      </c>
      <c r="Q28" s="92">
        <v>-1</v>
      </c>
      <c r="R28" s="92" t="s">
        <v>20</v>
      </c>
    </row>
    <row r="29" spans="2:18" x14ac:dyDescent="0.15">
      <c r="B29" s="92" t="s">
        <v>160</v>
      </c>
      <c r="C29" s="92" t="s">
        <v>230</v>
      </c>
      <c r="D29" s="93">
        <v>43207</v>
      </c>
      <c r="E29" s="93">
        <v>43223</v>
      </c>
      <c r="F29" s="92">
        <v>109000</v>
      </c>
      <c r="G29" s="92">
        <v>16</v>
      </c>
      <c r="H29" s="92">
        <v>3.8356164383561646E-2</v>
      </c>
      <c r="I29" s="92">
        <v>0</v>
      </c>
      <c r="J29" s="92">
        <v>0.22500000000000001</v>
      </c>
      <c r="K29" s="92">
        <v>399.17046778111762</v>
      </c>
      <c r="L29" s="92">
        <v>0</v>
      </c>
      <c r="M29" s="92">
        <v>0</v>
      </c>
      <c r="N29" s="99">
        <v>399.17046778111762</v>
      </c>
      <c r="O29" s="92">
        <v>104350</v>
      </c>
      <c r="P29" s="92" t="s">
        <v>39</v>
      </c>
      <c r="Q29" s="92">
        <v>1</v>
      </c>
      <c r="R29" s="92" t="s">
        <v>151</v>
      </c>
    </row>
    <row r="31" spans="2:18" x14ac:dyDescent="0.15">
      <c r="B31" s="91" t="s">
        <v>2</v>
      </c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92" t="s">
        <v>160</v>
      </c>
      <c r="C32" s="92" t="s">
        <v>234</v>
      </c>
      <c r="D32" s="93">
        <v>43207</v>
      </c>
      <c r="E32" s="93">
        <v>43266</v>
      </c>
      <c r="F32" s="92">
        <v>14500</v>
      </c>
      <c r="G32" s="92">
        <v>59</v>
      </c>
      <c r="H32" s="92">
        <v>0.16164383561643836</v>
      </c>
      <c r="I32" s="92">
        <v>0</v>
      </c>
      <c r="J32" s="92">
        <v>0.19</v>
      </c>
      <c r="K32" s="92">
        <v>-264.86746330633196</v>
      </c>
      <c r="L32" s="92">
        <v>0</v>
      </c>
      <c r="M32" s="92">
        <v>0</v>
      </c>
      <c r="N32" s="99">
        <v>264.86746330633196</v>
      </c>
      <c r="O32" s="92">
        <v>14930</v>
      </c>
      <c r="P32" s="92" t="s">
        <v>85</v>
      </c>
      <c r="Q32" s="92">
        <v>-1</v>
      </c>
      <c r="R32" s="92" t="s">
        <v>20</v>
      </c>
    </row>
    <row r="33" spans="2:18" x14ac:dyDescent="0.15">
      <c r="B33" s="92" t="s">
        <v>160</v>
      </c>
      <c r="C33" s="92" t="s">
        <v>235</v>
      </c>
      <c r="D33" s="93">
        <v>43207</v>
      </c>
      <c r="E33" s="93">
        <v>43294</v>
      </c>
      <c r="F33" s="92">
        <v>14500</v>
      </c>
      <c r="G33" s="92">
        <v>87</v>
      </c>
      <c r="H33" s="92">
        <v>0.23835616438356164</v>
      </c>
      <c r="I33" s="92">
        <v>0</v>
      </c>
      <c r="J33" s="92">
        <v>0.19</v>
      </c>
      <c r="K33" s="92">
        <v>-328.39220787247541</v>
      </c>
      <c r="L33" s="92">
        <v>0</v>
      </c>
      <c r="M33" s="92">
        <v>0</v>
      </c>
      <c r="N33" s="99">
        <v>328.39220787247541</v>
      </c>
      <c r="O33" s="92">
        <v>15005</v>
      </c>
      <c r="P33" s="92" t="s">
        <v>85</v>
      </c>
      <c r="Q33" s="92">
        <v>-1</v>
      </c>
      <c r="R33" s="92" t="s">
        <v>20</v>
      </c>
    </row>
    <row r="34" spans="2:18" x14ac:dyDescent="0.15">
      <c r="B34" s="91" t="s">
        <v>2</v>
      </c>
      <c r="C34" s="33" t="s">
        <v>181</v>
      </c>
      <c r="D34" s="33" t="s">
        <v>180</v>
      </c>
      <c r="E34" s="33" t="s">
        <v>10</v>
      </c>
      <c r="F34" s="33" t="s">
        <v>184</v>
      </c>
      <c r="G34" s="33" t="s">
        <v>11</v>
      </c>
      <c r="H34" s="33" t="s">
        <v>12</v>
      </c>
      <c r="I34" s="33" t="s">
        <v>47</v>
      </c>
      <c r="J34" s="33" t="s">
        <v>13</v>
      </c>
      <c r="K34" s="33" t="s">
        <v>14</v>
      </c>
      <c r="L34" s="33" t="s">
        <v>26</v>
      </c>
      <c r="M34" s="33" t="s">
        <v>28</v>
      </c>
      <c r="N34" s="33" t="s">
        <v>182</v>
      </c>
      <c r="O34" s="33" t="s">
        <v>8</v>
      </c>
      <c r="P34" s="33" t="s">
        <v>23</v>
      </c>
      <c r="Q34" s="33"/>
      <c r="R34" s="33" t="s">
        <v>30</v>
      </c>
    </row>
    <row r="35" spans="2:18" x14ac:dyDescent="0.15">
      <c r="B35" s="92" t="s">
        <v>160</v>
      </c>
      <c r="C35" s="92" t="s">
        <v>238</v>
      </c>
      <c r="D35" s="93">
        <v>43207</v>
      </c>
      <c r="E35" s="93">
        <v>43298</v>
      </c>
      <c r="F35" s="92" t="s">
        <v>240</v>
      </c>
      <c r="G35" s="92">
        <v>91</v>
      </c>
      <c r="H35" s="92">
        <v>0.24931506849315069</v>
      </c>
      <c r="I35" s="92"/>
      <c r="J35" s="92"/>
      <c r="K35" s="92">
        <v>1088.1948889974738</v>
      </c>
      <c r="L35" s="92">
        <v>0</v>
      </c>
      <c r="M35" s="92">
        <v>0</v>
      </c>
      <c r="N35" s="99">
        <v>1088.1948889974738</v>
      </c>
      <c r="O35" s="92">
        <v>51010</v>
      </c>
      <c r="P35" s="92"/>
      <c r="Q35" s="92"/>
      <c r="R35" s="92" t="s">
        <v>241</v>
      </c>
    </row>
    <row r="36" spans="2:18" x14ac:dyDescent="0.15">
      <c r="B36" s="92" t="s">
        <v>160</v>
      </c>
      <c r="C36" s="92" t="s">
        <v>238</v>
      </c>
      <c r="D36" s="93">
        <v>43207</v>
      </c>
      <c r="E36" s="93">
        <v>43298</v>
      </c>
      <c r="F36" s="92">
        <v>52500</v>
      </c>
      <c r="G36" s="92">
        <v>91</v>
      </c>
      <c r="H36" s="92">
        <v>0.24931506849315069</v>
      </c>
      <c r="I36" s="92">
        <v>0</v>
      </c>
      <c r="J36" s="92">
        <v>0.21</v>
      </c>
      <c r="K36" s="92">
        <v>2975.114018289416</v>
      </c>
      <c r="L36" s="92"/>
      <c r="M36" s="92"/>
      <c r="N36" s="99">
        <v>2975.114018289416</v>
      </c>
      <c r="O36" s="92">
        <v>51010</v>
      </c>
      <c r="P36" s="92" t="s">
        <v>85</v>
      </c>
      <c r="Q36" s="92">
        <v>1</v>
      </c>
      <c r="R36" s="92" t="s">
        <v>151</v>
      </c>
    </row>
    <row r="37" spans="2:18" x14ac:dyDescent="0.15">
      <c r="B37" s="92" t="s">
        <v>160</v>
      </c>
      <c r="C37" s="92" t="s">
        <v>238</v>
      </c>
      <c r="D37" s="93">
        <v>43207</v>
      </c>
      <c r="E37" s="93">
        <v>43298</v>
      </c>
      <c r="F37" s="92" t="s">
        <v>240</v>
      </c>
      <c r="G37" s="92">
        <v>91</v>
      </c>
      <c r="H37" s="92">
        <v>0.24931506849315069</v>
      </c>
      <c r="I37" s="92"/>
      <c r="J37" s="92"/>
      <c r="K37" s="92">
        <v>1088.1948889974738</v>
      </c>
      <c r="L37" s="92">
        <v>0</v>
      </c>
      <c r="M37" s="92">
        <v>0</v>
      </c>
      <c r="N37" s="99">
        <v>1088.1948889974738</v>
      </c>
      <c r="O37" s="92">
        <v>51010</v>
      </c>
      <c r="P37" s="92"/>
      <c r="Q37" s="92"/>
      <c r="R37" s="92" t="s">
        <v>151</v>
      </c>
    </row>
    <row r="38" spans="2:18" x14ac:dyDescent="0.15">
      <c r="B38" s="91" t="s">
        <v>2</v>
      </c>
      <c r="C38" s="33" t="s">
        <v>181</v>
      </c>
      <c r="D38" s="33" t="s">
        <v>180</v>
      </c>
      <c r="E38" s="33" t="s">
        <v>10</v>
      </c>
      <c r="F38" s="33" t="s">
        <v>184</v>
      </c>
      <c r="G38" s="33" t="s">
        <v>11</v>
      </c>
      <c r="H38" s="33" t="s">
        <v>12</v>
      </c>
      <c r="I38" s="33" t="s">
        <v>47</v>
      </c>
      <c r="J38" s="33" t="s">
        <v>13</v>
      </c>
      <c r="K38" s="33" t="s">
        <v>14</v>
      </c>
      <c r="L38" s="33" t="s">
        <v>26</v>
      </c>
      <c r="M38" s="33" t="s">
        <v>28</v>
      </c>
      <c r="N38" s="33" t="s">
        <v>182</v>
      </c>
      <c r="O38" s="33" t="s">
        <v>8</v>
      </c>
      <c r="P38" s="33" t="s">
        <v>23</v>
      </c>
      <c r="Q38" s="33"/>
      <c r="R38" s="33" t="s">
        <v>30</v>
      </c>
    </row>
    <row r="39" spans="2:18" x14ac:dyDescent="0.15">
      <c r="B39" s="92" t="s">
        <v>160</v>
      </c>
      <c r="C39" s="92" t="s">
        <v>230</v>
      </c>
      <c r="D39" s="93">
        <v>43207</v>
      </c>
      <c r="E39" s="93">
        <v>43223</v>
      </c>
      <c r="F39" s="92">
        <v>109000</v>
      </c>
      <c r="G39" s="92">
        <v>16</v>
      </c>
      <c r="H39" s="92">
        <v>4.3835616438356165E-2</v>
      </c>
      <c r="I39" s="92">
        <v>0</v>
      </c>
      <c r="J39" s="92">
        <v>0.27500000000000002</v>
      </c>
      <c r="K39" s="92">
        <v>-657.65057545449963</v>
      </c>
      <c r="L39" s="92">
        <v>0</v>
      </c>
      <c r="M39" s="92">
        <v>0</v>
      </c>
      <c r="N39" s="99">
        <v>657.65057545449963</v>
      </c>
      <c r="O39" s="92">
        <v>103720</v>
      </c>
      <c r="P39" s="92" t="s">
        <v>39</v>
      </c>
      <c r="Q39" s="92">
        <v>-1</v>
      </c>
      <c r="R39" s="92" t="s">
        <v>242</v>
      </c>
    </row>
    <row r="41" spans="2:18" x14ac:dyDescent="0.15">
      <c r="B41" s="91" t="s">
        <v>2</v>
      </c>
      <c r="C41" s="33" t="s">
        <v>181</v>
      </c>
      <c r="D41" s="33" t="s">
        <v>180</v>
      </c>
      <c r="E41" s="33" t="s">
        <v>10</v>
      </c>
      <c r="F41" s="33" t="s">
        <v>184</v>
      </c>
      <c r="G41" s="33" t="s">
        <v>11</v>
      </c>
      <c r="H41" s="33" t="s">
        <v>12</v>
      </c>
      <c r="I41" s="33" t="s">
        <v>47</v>
      </c>
      <c r="J41" s="33" t="s">
        <v>13</v>
      </c>
      <c r="K41" s="33" t="s">
        <v>14</v>
      </c>
      <c r="L41" s="33" t="s">
        <v>26</v>
      </c>
      <c r="M41" s="33" t="s">
        <v>28</v>
      </c>
      <c r="N41" s="33" t="s">
        <v>182</v>
      </c>
      <c r="O41" s="33" t="s">
        <v>8</v>
      </c>
      <c r="P41" s="33" t="s">
        <v>23</v>
      </c>
      <c r="Q41" s="33"/>
      <c r="R41" s="33" t="s">
        <v>30</v>
      </c>
    </row>
    <row r="42" spans="2:18" x14ac:dyDescent="0.15">
      <c r="B42" s="92" t="s">
        <v>160</v>
      </c>
      <c r="C42" s="92" t="s">
        <v>238</v>
      </c>
      <c r="D42" s="93">
        <v>43207</v>
      </c>
      <c r="E42" s="93">
        <v>43298</v>
      </c>
      <c r="F42" s="92" t="s">
        <v>243</v>
      </c>
      <c r="G42" s="92">
        <v>91</v>
      </c>
      <c r="H42" s="92">
        <v>0.24931506849315069</v>
      </c>
      <c r="I42" s="92"/>
      <c r="J42" s="92"/>
      <c r="K42" s="92">
        <v>-510.31747254863876</v>
      </c>
      <c r="L42" s="92">
        <v>0</v>
      </c>
      <c r="M42" s="92">
        <v>0</v>
      </c>
      <c r="N42" s="99">
        <v>500</v>
      </c>
      <c r="O42" s="92">
        <v>51070</v>
      </c>
      <c r="P42" s="92"/>
      <c r="Q42" s="92"/>
      <c r="R42" s="92" t="s">
        <v>244</v>
      </c>
    </row>
    <row r="43" spans="2:18" x14ac:dyDescent="0.15">
      <c r="B43" s="92" t="s">
        <v>160</v>
      </c>
      <c r="C43" s="92" t="s">
        <v>238</v>
      </c>
      <c r="D43" s="93">
        <v>43207</v>
      </c>
      <c r="E43" s="93">
        <v>43237</v>
      </c>
      <c r="F43" s="92" t="s">
        <v>243</v>
      </c>
      <c r="G43" s="92">
        <v>30</v>
      </c>
      <c r="H43" s="92">
        <v>8.2191780821917804E-2</v>
      </c>
      <c r="I43" s="92"/>
      <c r="J43" s="92"/>
      <c r="K43" s="92">
        <v>-448.88062608455948</v>
      </c>
      <c r="L43" s="92">
        <v>0</v>
      </c>
      <c r="M43" s="92">
        <v>0</v>
      </c>
      <c r="N43" s="99">
        <v>450</v>
      </c>
      <c r="O43" s="92">
        <v>51070</v>
      </c>
      <c r="P43" s="92"/>
      <c r="Q43" s="92"/>
      <c r="R43" s="92" t="s">
        <v>244</v>
      </c>
    </row>
    <row r="44" spans="2:18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18" x14ac:dyDescent="0.15">
      <c r="B45" s="92" t="s">
        <v>160</v>
      </c>
      <c r="C45" s="92" t="s">
        <v>245</v>
      </c>
      <c r="D45" s="93">
        <v>43208</v>
      </c>
      <c r="E45" s="93">
        <v>43312</v>
      </c>
      <c r="F45" s="92">
        <v>450</v>
      </c>
      <c r="G45" s="92">
        <v>104</v>
      </c>
      <c r="H45" s="92">
        <v>0.28493150684931506</v>
      </c>
      <c r="I45" s="92">
        <v>0</v>
      </c>
      <c r="J45" s="92">
        <v>0.32750000000000001</v>
      </c>
      <c r="K45" s="92">
        <v>-30.112166344427351</v>
      </c>
      <c r="L45" s="92">
        <v>0</v>
      </c>
      <c r="M45" s="92">
        <v>0</v>
      </c>
      <c r="N45" s="99">
        <v>30.112166344427351</v>
      </c>
      <c r="O45" s="92">
        <v>448</v>
      </c>
      <c r="P45" s="92" t="s">
        <v>39</v>
      </c>
      <c r="Q45" s="92">
        <v>-1</v>
      </c>
      <c r="R45" s="92" t="s">
        <v>21</v>
      </c>
    </row>
    <row r="46" spans="2:18" x14ac:dyDescent="0.15">
      <c r="B46" s="92" t="s">
        <v>160</v>
      </c>
      <c r="C46" s="92" t="s">
        <v>245</v>
      </c>
      <c r="D46" s="93">
        <v>43208</v>
      </c>
      <c r="E46" s="93">
        <v>43312</v>
      </c>
      <c r="F46" s="92">
        <v>500</v>
      </c>
      <c r="G46" s="92">
        <v>104</v>
      </c>
      <c r="H46" s="92">
        <v>0.28493150684931506</v>
      </c>
      <c r="I46" s="92">
        <v>0</v>
      </c>
      <c r="J46" s="92">
        <v>0.32750000000000001</v>
      </c>
      <c r="K46" s="92">
        <v>-13.223905674796143</v>
      </c>
      <c r="L46" s="92">
        <v>0</v>
      </c>
      <c r="M46" s="92">
        <v>0</v>
      </c>
      <c r="N46" s="99">
        <v>13.223905674796143</v>
      </c>
      <c r="O46" s="92">
        <v>448</v>
      </c>
      <c r="P46" s="92" t="s">
        <v>39</v>
      </c>
      <c r="Q46" s="92">
        <v>-1</v>
      </c>
      <c r="R46" s="92" t="s">
        <v>20</v>
      </c>
    </row>
    <row r="47" spans="2:18" x14ac:dyDescent="0.15">
      <c r="B47" s="92" t="s">
        <v>160</v>
      </c>
      <c r="C47" s="92" t="s">
        <v>245</v>
      </c>
      <c r="D47" s="93">
        <v>43208</v>
      </c>
      <c r="E47" s="93">
        <v>43312</v>
      </c>
      <c r="F47" s="92">
        <v>520</v>
      </c>
      <c r="G47" s="92">
        <v>104</v>
      </c>
      <c r="H47" s="92">
        <v>0.28493150684931506</v>
      </c>
      <c r="I47" s="92">
        <v>0</v>
      </c>
      <c r="J47" s="92">
        <v>0.32750000000000001</v>
      </c>
      <c r="K47" s="92">
        <v>-9.1633708447641737</v>
      </c>
      <c r="L47" s="92">
        <v>0</v>
      </c>
      <c r="M47" s="92">
        <v>0</v>
      </c>
      <c r="N47" s="99">
        <v>9.1633708447641737</v>
      </c>
      <c r="O47" s="92">
        <v>448</v>
      </c>
      <c r="P47" s="92" t="s">
        <v>39</v>
      </c>
      <c r="Q47" s="92">
        <v>-1</v>
      </c>
      <c r="R47" s="92" t="s">
        <v>20</v>
      </c>
    </row>
    <row r="48" spans="2:18" x14ac:dyDescent="0.15">
      <c r="B48" s="91" t="s">
        <v>2</v>
      </c>
      <c r="C48" s="33" t="s">
        <v>181</v>
      </c>
      <c r="D48" s="33" t="s">
        <v>180</v>
      </c>
      <c r="E48" s="33" t="s">
        <v>10</v>
      </c>
      <c r="F48" s="33" t="s">
        <v>184</v>
      </c>
      <c r="G48" s="33" t="s">
        <v>11</v>
      </c>
      <c r="H48" s="33" t="s">
        <v>12</v>
      </c>
      <c r="I48" s="33" t="s">
        <v>47</v>
      </c>
      <c r="J48" s="33" t="s">
        <v>13</v>
      </c>
      <c r="K48" s="33" t="s">
        <v>14</v>
      </c>
      <c r="L48" s="33" t="s">
        <v>26</v>
      </c>
      <c r="M48" s="33" t="s">
        <v>28</v>
      </c>
      <c r="N48" s="33" t="s">
        <v>182</v>
      </c>
      <c r="O48" s="33" t="s">
        <v>8</v>
      </c>
      <c r="P48" s="33" t="s">
        <v>23</v>
      </c>
      <c r="Q48" s="33"/>
      <c r="R48" s="33" t="s">
        <v>30</v>
      </c>
    </row>
    <row r="49" spans="2:18" x14ac:dyDescent="0.15">
      <c r="B49" s="92" t="s">
        <v>160</v>
      </c>
      <c r="C49" s="92" t="s">
        <v>185</v>
      </c>
      <c r="D49" s="93">
        <v>43208</v>
      </c>
      <c r="E49" s="93">
        <v>43238</v>
      </c>
      <c r="F49" s="92">
        <v>3446</v>
      </c>
      <c r="G49" s="92">
        <v>30</v>
      </c>
      <c r="H49" s="92">
        <v>8.2191780821917804E-2</v>
      </c>
      <c r="I49" s="92">
        <v>0</v>
      </c>
      <c r="J49" s="92">
        <v>0.28999999999999998</v>
      </c>
      <c r="K49" s="92">
        <v>-114.07712169744082</v>
      </c>
      <c r="L49" s="92">
        <v>0</v>
      </c>
      <c r="M49" s="92">
        <v>0</v>
      </c>
      <c r="N49" s="99">
        <v>114.07712169744082</v>
      </c>
      <c r="O49" s="92">
        <v>3446</v>
      </c>
      <c r="P49" s="92" t="s">
        <v>39</v>
      </c>
      <c r="Q49" s="92">
        <v>-1</v>
      </c>
      <c r="R49" s="92" t="s">
        <v>247</v>
      </c>
    </row>
    <row r="50" spans="2:18" x14ac:dyDescent="0.15">
      <c r="B50" s="92" t="s">
        <v>160</v>
      </c>
      <c r="C50" s="92" t="s">
        <v>246</v>
      </c>
      <c r="D50" s="93">
        <v>43208</v>
      </c>
      <c r="E50" s="93">
        <v>43238</v>
      </c>
      <c r="F50" s="92">
        <v>3574</v>
      </c>
      <c r="G50" s="92">
        <v>30</v>
      </c>
      <c r="H50" s="92">
        <v>8.2191780821917804E-2</v>
      </c>
      <c r="I50" s="92">
        <v>0</v>
      </c>
      <c r="J50" s="92">
        <v>0.28749999999999998</v>
      </c>
      <c r="K50" s="92">
        <v>-117.29508866199217</v>
      </c>
      <c r="L50" s="92">
        <v>0</v>
      </c>
      <c r="M50" s="92">
        <v>0</v>
      </c>
      <c r="N50" s="99">
        <v>117.29508866199217</v>
      </c>
      <c r="O50" s="92">
        <v>3574</v>
      </c>
      <c r="P50" s="92" t="s">
        <v>39</v>
      </c>
      <c r="Q50" s="92">
        <v>-1</v>
      </c>
      <c r="R50" s="92" t="s">
        <v>20</v>
      </c>
    </row>
    <row r="51" spans="2:18" x14ac:dyDescent="0.15">
      <c r="B51" s="91" t="s">
        <v>2</v>
      </c>
      <c r="C51" s="33" t="s">
        <v>181</v>
      </c>
      <c r="D51" s="33" t="s">
        <v>180</v>
      </c>
      <c r="E51" s="33" t="s">
        <v>10</v>
      </c>
      <c r="F51" s="33" t="s">
        <v>184</v>
      </c>
      <c r="G51" s="33" t="s">
        <v>11</v>
      </c>
      <c r="H51" s="33" t="s">
        <v>12</v>
      </c>
      <c r="I51" s="33" t="s">
        <v>47</v>
      </c>
      <c r="J51" s="33" t="s">
        <v>13</v>
      </c>
      <c r="K51" s="33" t="s">
        <v>14</v>
      </c>
      <c r="L51" s="33" t="s">
        <v>26</v>
      </c>
      <c r="M51" s="33" t="s">
        <v>28</v>
      </c>
      <c r="N51" s="33" t="s">
        <v>182</v>
      </c>
      <c r="O51" s="33" t="s">
        <v>8</v>
      </c>
      <c r="P51" s="33" t="s">
        <v>23</v>
      </c>
      <c r="Q51" s="33"/>
      <c r="R51" s="33" t="s">
        <v>30</v>
      </c>
    </row>
    <row r="52" spans="2:18" x14ac:dyDescent="0.15">
      <c r="B52" s="92" t="s">
        <v>160</v>
      </c>
      <c r="C52" s="92" t="s">
        <v>249</v>
      </c>
      <c r="D52" s="93">
        <v>43210</v>
      </c>
      <c r="E52" s="93">
        <v>43251</v>
      </c>
      <c r="F52" s="92">
        <v>6695</v>
      </c>
      <c r="G52" s="92">
        <v>41</v>
      </c>
      <c r="H52" s="92">
        <v>0.11232876712328767</v>
      </c>
      <c r="I52" s="92">
        <v>0</v>
      </c>
      <c r="J52" s="92">
        <v>0.22</v>
      </c>
      <c r="K52" s="92">
        <v>-196.45124124374433</v>
      </c>
      <c r="L52" s="92">
        <v>70</v>
      </c>
      <c r="M52" s="92">
        <v>5.2642876712328768</v>
      </c>
      <c r="N52" s="99">
        <v>201.7155289149772</v>
      </c>
      <c r="O52" s="92">
        <v>6695</v>
      </c>
      <c r="P52" s="92" t="s">
        <v>85</v>
      </c>
      <c r="Q52" s="92">
        <v>-1</v>
      </c>
      <c r="R52" s="92" t="s">
        <v>21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234</v>
      </c>
      <c r="D54" s="93">
        <v>43210</v>
      </c>
      <c r="E54" s="93">
        <v>43229</v>
      </c>
      <c r="F54" s="92">
        <v>14500</v>
      </c>
      <c r="G54" s="92">
        <v>19</v>
      </c>
      <c r="H54" s="92">
        <v>5.2054794520547946E-2</v>
      </c>
      <c r="I54" s="92">
        <v>0</v>
      </c>
      <c r="J54" s="92">
        <v>0.23</v>
      </c>
      <c r="K54" s="92">
        <v>-120.88623266910145</v>
      </c>
      <c r="L54" s="92"/>
      <c r="M54" s="92">
        <v>0</v>
      </c>
      <c r="N54" s="99">
        <v>120.88623266910145</v>
      </c>
      <c r="O54" s="92">
        <v>15000</v>
      </c>
      <c r="P54" s="92" t="s">
        <v>85</v>
      </c>
      <c r="Q54" s="92">
        <v>-1</v>
      </c>
      <c r="R54" s="92" t="s">
        <v>20</v>
      </c>
    </row>
    <row r="55" spans="2:18" x14ac:dyDescent="0.15">
      <c r="B55" s="92" t="s">
        <v>160</v>
      </c>
      <c r="C55" s="92" t="s">
        <v>234</v>
      </c>
      <c r="D55" s="93">
        <v>43210</v>
      </c>
      <c r="E55" s="93">
        <v>43229</v>
      </c>
      <c r="F55" s="92">
        <v>14700</v>
      </c>
      <c r="G55" s="92">
        <v>19</v>
      </c>
      <c r="H55" s="92">
        <v>5.2054794520547946E-2</v>
      </c>
      <c r="I55" s="92">
        <v>0</v>
      </c>
      <c r="J55" s="92">
        <v>0.23</v>
      </c>
      <c r="K55" s="92">
        <v>-183.40467983816507</v>
      </c>
      <c r="L55" s="92"/>
      <c r="M55" s="92">
        <v>0</v>
      </c>
      <c r="N55" s="99">
        <v>183.40467983816507</v>
      </c>
      <c r="O55" s="92">
        <v>15000</v>
      </c>
      <c r="P55" s="92" t="s">
        <v>85</v>
      </c>
      <c r="Q55" s="92">
        <v>-1</v>
      </c>
      <c r="R55" s="92" t="s">
        <v>20</v>
      </c>
    </row>
    <row r="56" spans="2:18" x14ac:dyDescent="0.15">
      <c r="B56" s="92" t="s">
        <v>160</v>
      </c>
      <c r="C56" s="92" t="s">
        <v>234</v>
      </c>
      <c r="D56" s="93">
        <v>43210</v>
      </c>
      <c r="E56" s="93">
        <v>43229</v>
      </c>
      <c r="F56" s="92">
        <v>14500</v>
      </c>
      <c r="G56" s="92">
        <v>19</v>
      </c>
      <c r="H56" s="92">
        <v>4.6575342465753428E-2</v>
      </c>
      <c r="I56" s="92">
        <v>0</v>
      </c>
      <c r="J56" s="92">
        <v>0.17499999999999999</v>
      </c>
      <c r="K56" s="92">
        <v>56.122563910676035</v>
      </c>
      <c r="L56" s="92"/>
      <c r="M56" s="92">
        <v>0</v>
      </c>
      <c r="N56" s="99">
        <v>56.122563910676035</v>
      </c>
      <c r="O56" s="92">
        <v>15000</v>
      </c>
      <c r="P56" s="92" t="s">
        <v>85</v>
      </c>
      <c r="Q56" s="92">
        <v>1</v>
      </c>
      <c r="R56" s="92" t="s">
        <v>151</v>
      </c>
    </row>
    <row r="57" spans="2:18" x14ac:dyDescent="0.15">
      <c r="B57" s="92" t="s">
        <v>160</v>
      </c>
      <c r="C57" s="92" t="s">
        <v>234</v>
      </c>
      <c r="D57" s="93">
        <v>43210</v>
      </c>
      <c r="E57" s="93">
        <v>43229</v>
      </c>
      <c r="F57" s="92">
        <v>14700</v>
      </c>
      <c r="G57" s="92">
        <v>19</v>
      </c>
      <c r="H57" s="92">
        <v>4.6575342465753428E-2</v>
      </c>
      <c r="I57" s="92">
        <v>0</v>
      </c>
      <c r="J57" s="92">
        <v>0.17499999999999999</v>
      </c>
      <c r="K57" s="92">
        <v>104.89638744610056</v>
      </c>
      <c r="L57" s="92"/>
      <c r="M57" s="92">
        <v>0</v>
      </c>
      <c r="N57" s="99">
        <v>104.89638744610056</v>
      </c>
      <c r="O57" s="92">
        <v>15000</v>
      </c>
      <c r="P57" s="92" t="s">
        <v>85</v>
      </c>
      <c r="Q57" s="92">
        <v>1</v>
      </c>
      <c r="R57" s="92" t="s">
        <v>151</v>
      </c>
    </row>
    <row r="58" spans="2:18" x14ac:dyDescent="0.15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18" x14ac:dyDescent="0.15">
      <c r="B59" s="92" t="s">
        <v>160</v>
      </c>
      <c r="C59" s="92" t="s">
        <v>253</v>
      </c>
      <c r="D59" s="93">
        <v>43213</v>
      </c>
      <c r="E59" s="93">
        <v>43304</v>
      </c>
      <c r="F59" s="92">
        <v>12325</v>
      </c>
      <c r="G59" s="92">
        <v>91</v>
      </c>
      <c r="H59" s="92">
        <v>0.24931506849315069</v>
      </c>
      <c r="I59" s="92">
        <v>0</v>
      </c>
      <c r="J59" s="92">
        <v>0.28999999999999998</v>
      </c>
      <c r="K59" s="92">
        <v>-59.359668296693826</v>
      </c>
      <c r="L59" s="92">
        <v>0</v>
      </c>
      <c r="M59" s="92">
        <v>0</v>
      </c>
      <c r="N59" s="99">
        <v>59.359668296693826</v>
      </c>
      <c r="O59" s="92">
        <v>15290</v>
      </c>
      <c r="P59" s="92" t="s">
        <v>85</v>
      </c>
      <c r="Q59" s="92">
        <v>-1</v>
      </c>
      <c r="R59" s="92" t="s">
        <v>20</v>
      </c>
    </row>
    <row r="60" spans="2:18" x14ac:dyDescent="0.15">
      <c r="B60" s="91" t="s">
        <v>2</v>
      </c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8" x14ac:dyDescent="0.15">
      <c r="B61" s="92" t="s">
        <v>160</v>
      </c>
      <c r="C61" s="92" t="s">
        <v>255</v>
      </c>
      <c r="D61" s="93">
        <v>43213</v>
      </c>
      <c r="E61" s="93">
        <v>43228</v>
      </c>
      <c r="F61" s="92">
        <v>9195</v>
      </c>
      <c r="G61" s="92">
        <v>15</v>
      </c>
      <c r="H61" s="92">
        <v>4.1095890410958902E-2</v>
      </c>
      <c r="I61" s="92">
        <v>0</v>
      </c>
      <c r="J61" s="92">
        <v>0.17</v>
      </c>
      <c r="K61" s="92">
        <v>-126.30817859082526</v>
      </c>
      <c r="L61" s="92">
        <v>70</v>
      </c>
      <c r="M61" s="92">
        <v>2.6451369863013698</v>
      </c>
      <c r="N61" s="99">
        <v>128.95331557712663</v>
      </c>
      <c r="O61" s="92">
        <v>9195</v>
      </c>
      <c r="P61" s="92" t="s">
        <v>39</v>
      </c>
      <c r="Q61" s="92">
        <v>-1</v>
      </c>
      <c r="R61" s="92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21" activePane="bottomLeft" state="frozen"/>
      <selection pane="bottomLeft" activeCell="G37" sqref="G37:H37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6" t="s">
        <v>118</v>
      </c>
      <c r="C1" s="136"/>
    </row>
    <row r="2" spans="2:20" ht="11.25" thickTop="1" x14ac:dyDescent="0.15"/>
    <row r="3" spans="2:20" ht="11.25" thickBot="1" x14ac:dyDescent="0.2">
      <c r="B3" s="135" t="s">
        <v>119</v>
      </c>
      <c r="C3" s="135"/>
      <c r="D3" s="135"/>
      <c r="E3" s="135"/>
      <c r="G3" s="134" t="s">
        <v>120</v>
      </c>
      <c r="H3" s="134"/>
      <c r="I3" s="134"/>
      <c r="J3" s="134"/>
      <c r="L3" s="135" t="s">
        <v>165</v>
      </c>
      <c r="M3" s="135"/>
      <c r="N3" s="135"/>
      <c r="O3" s="135"/>
      <c r="Q3" s="134" t="s">
        <v>166</v>
      </c>
      <c r="R3" s="134"/>
      <c r="S3" s="134"/>
      <c r="T3" s="134"/>
    </row>
    <row r="4" spans="2:20" ht="12" thickTop="1" thickBot="1" x14ac:dyDescent="0.2">
      <c r="B4" s="127" t="s">
        <v>121</v>
      </c>
      <c r="C4" s="127"/>
      <c r="D4" s="127"/>
      <c r="E4" s="127"/>
      <c r="G4" s="127" t="s">
        <v>34</v>
      </c>
      <c r="H4" s="127"/>
      <c r="I4" s="127"/>
      <c r="J4" s="127"/>
      <c r="L4" s="127" t="s">
        <v>121</v>
      </c>
      <c r="M4" s="127"/>
      <c r="N4" s="127"/>
      <c r="O4" s="127"/>
      <c r="Q4" s="127" t="s">
        <v>34</v>
      </c>
      <c r="R4" s="127"/>
      <c r="S4" s="127"/>
      <c r="T4" s="127"/>
    </row>
    <row r="5" spans="2:20" ht="15" customHeight="1" thickTop="1" x14ac:dyDescent="0.15">
      <c r="B5" s="131" t="s">
        <v>122</v>
      </c>
      <c r="C5" s="131"/>
      <c r="D5" s="137"/>
      <c r="E5" s="138"/>
      <c r="G5" s="131" t="s">
        <v>123</v>
      </c>
      <c r="H5" s="131"/>
      <c r="I5" s="103"/>
      <c r="J5" s="104"/>
      <c r="L5" s="101" t="s">
        <v>122</v>
      </c>
      <c r="M5" s="102"/>
      <c r="N5" s="103"/>
      <c r="O5" s="104"/>
      <c r="Q5" s="131" t="s">
        <v>123</v>
      </c>
      <c r="R5" s="131"/>
      <c r="S5" s="103"/>
      <c r="T5" s="104"/>
    </row>
    <row r="6" spans="2:20" x14ac:dyDescent="0.15">
      <c r="B6" s="131" t="s">
        <v>124</v>
      </c>
      <c r="C6" s="131"/>
      <c r="D6" s="132" t="s">
        <v>125</v>
      </c>
      <c r="E6" s="133"/>
      <c r="G6" s="131" t="s">
        <v>126</v>
      </c>
      <c r="H6" s="131"/>
      <c r="I6" s="132"/>
      <c r="J6" s="133"/>
      <c r="L6" s="131" t="s">
        <v>124</v>
      </c>
      <c r="M6" s="131"/>
      <c r="N6" s="132" t="s">
        <v>125</v>
      </c>
      <c r="O6" s="133"/>
      <c r="Q6" s="131" t="s">
        <v>126</v>
      </c>
      <c r="R6" s="131"/>
      <c r="S6" s="132"/>
      <c r="T6" s="133"/>
    </row>
    <row r="7" spans="2:20" ht="2.25" customHeight="1" x14ac:dyDescent="0.15">
      <c r="B7" s="131" t="s">
        <v>127</v>
      </c>
      <c r="C7" s="131"/>
      <c r="D7" s="132" t="s">
        <v>125</v>
      </c>
      <c r="E7" s="133"/>
      <c r="G7" s="131" t="s">
        <v>128</v>
      </c>
      <c r="H7" s="131"/>
      <c r="I7" s="132"/>
      <c r="J7" s="133"/>
      <c r="L7" s="131" t="s">
        <v>127</v>
      </c>
      <c r="M7" s="131"/>
      <c r="N7" s="132" t="s">
        <v>125</v>
      </c>
      <c r="O7" s="133"/>
      <c r="Q7" s="131" t="s">
        <v>128</v>
      </c>
      <c r="R7" s="131"/>
      <c r="S7" s="132"/>
      <c r="T7" s="133"/>
    </row>
    <row r="8" spans="2:20" hidden="1" x14ac:dyDescent="0.15">
      <c r="B8" s="131" t="s">
        <v>129</v>
      </c>
      <c r="C8" s="131"/>
      <c r="D8" s="132">
        <f>D13*D15</f>
        <v>305000</v>
      </c>
      <c r="E8" s="133"/>
      <c r="G8" s="131" t="s">
        <v>130</v>
      </c>
      <c r="H8" s="131"/>
      <c r="I8" s="132"/>
      <c r="J8" s="133"/>
      <c r="L8" s="131" t="s">
        <v>129</v>
      </c>
      <c r="M8" s="131"/>
      <c r="N8" s="132">
        <f>N14*N16</f>
        <v>305000</v>
      </c>
      <c r="O8" s="133"/>
      <c r="Q8" s="131" t="s">
        <v>130</v>
      </c>
      <c r="R8" s="131"/>
      <c r="S8" s="132"/>
      <c r="T8" s="133"/>
    </row>
    <row r="9" spans="2:20" hidden="1" x14ac:dyDescent="0.15">
      <c r="B9" s="131" t="s">
        <v>131</v>
      </c>
      <c r="C9" s="131"/>
      <c r="D9" s="132" t="s">
        <v>132</v>
      </c>
      <c r="E9" s="133"/>
      <c r="G9" s="131" t="s">
        <v>133</v>
      </c>
      <c r="H9" s="131"/>
      <c r="I9" s="132"/>
      <c r="J9" s="133"/>
      <c r="L9" s="131" t="s">
        <v>131</v>
      </c>
      <c r="M9" s="131"/>
      <c r="N9" s="132" t="s">
        <v>132</v>
      </c>
      <c r="O9" s="133"/>
      <c r="Q9" s="131" t="s">
        <v>133</v>
      </c>
      <c r="R9" s="131"/>
      <c r="S9" s="132"/>
      <c r="T9" s="133"/>
    </row>
    <row r="10" spans="2:20" hidden="1" x14ac:dyDescent="0.15">
      <c r="B10" s="131" t="s">
        <v>134</v>
      </c>
      <c r="C10" s="131"/>
      <c r="D10" s="132">
        <v>43084</v>
      </c>
      <c r="E10" s="133"/>
      <c r="G10" s="105" t="s">
        <v>135</v>
      </c>
      <c r="H10" s="105"/>
      <c r="I10" s="132"/>
      <c r="J10" s="133"/>
      <c r="L10" s="131" t="s">
        <v>134</v>
      </c>
      <c r="M10" s="131"/>
      <c r="N10" s="132">
        <v>43084</v>
      </c>
      <c r="O10" s="133"/>
      <c r="Q10" s="105" t="s">
        <v>135</v>
      </c>
      <c r="R10" s="105"/>
      <c r="S10" s="132"/>
      <c r="T10" s="133"/>
    </row>
    <row r="11" spans="2:20" hidden="1" x14ac:dyDescent="0.15">
      <c r="B11" s="131" t="s">
        <v>136</v>
      </c>
      <c r="C11" s="131"/>
      <c r="D11" s="132">
        <v>3935</v>
      </c>
      <c r="E11" s="133"/>
      <c r="G11" s="131" t="s">
        <v>137</v>
      </c>
      <c r="H11" s="131"/>
      <c r="I11" s="132"/>
      <c r="J11" s="133"/>
      <c r="L11" s="131" t="s">
        <v>136</v>
      </c>
      <c r="M11" s="131"/>
      <c r="N11" s="132">
        <v>3935</v>
      </c>
      <c r="O11" s="133"/>
      <c r="Q11" s="131" t="s">
        <v>137</v>
      </c>
      <c r="R11" s="131"/>
      <c r="S11" s="132"/>
      <c r="T11" s="133"/>
    </row>
    <row r="12" spans="2:20" hidden="1" x14ac:dyDescent="0.15">
      <c r="B12" s="131" t="s">
        <v>138</v>
      </c>
      <c r="C12" s="131"/>
      <c r="D12" s="132">
        <v>3800</v>
      </c>
      <c r="E12" s="133"/>
      <c r="G12" s="131" t="s">
        <v>139</v>
      </c>
      <c r="H12" s="131"/>
      <c r="I12" s="132"/>
      <c r="J12" s="133"/>
      <c r="L12" s="131" t="s">
        <v>163</v>
      </c>
      <c r="M12" s="131"/>
      <c r="N12" s="132">
        <v>3800</v>
      </c>
      <c r="O12" s="133"/>
      <c r="Q12" s="131" t="s">
        <v>167</v>
      </c>
      <c r="R12" s="131"/>
      <c r="S12" s="132"/>
      <c r="T12" s="133"/>
    </row>
    <row r="13" spans="2:20" hidden="1" x14ac:dyDescent="0.15">
      <c r="B13" s="131" t="s">
        <v>140</v>
      </c>
      <c r="C13" s="131"/>
      <c r="D13" s="132">
        <v>61</v>
      </c>
      <c r="E13" s="133"/>
      <c r="G13" s="131" t="s">
        <v>141</v>
      </c>
      <c r="H13" s="131"/>
      <c r="I13" s="132"/>
      <c r="J13" s="133"/>
      <c r="L13" s="131" t="s">
        <v>164</v>
      </c>
      <c r="M13" s="131"/>
      <c r="N13" s="132">
        <v>3800</v>
      </c>
      <c r="O13" s="133"/>
      <c r="Q13" s="131" t="s">
        <v>168</v>
      </c>
      <c r="R13" s="131"/>
      <c r="S13" s="132"/>
      <c r="T13" s="133"/>
    </row>
    <row r="14" spans="2:20" hidden="1" x14ac:dyDescent="0.15">
      <c r="B14" s="131" t="s">
        <v>142</v>
      </c>
      <c r="C14" s="131"/>
      <c r="D14" s="132" t="s">
        <v>143</v>
      </c>
      <c r="E14" s="133"/>
      <c r="G14" s="131" t="s">
        <v>144</v>
      </c>
      <c r="H14" s="131"/>
      <c r="I14" s="106"/>
      <c r="J14" s="107"/>
      <c r="L14" s="131" t="s">
        <v>140</v>
      </c>
      <c r="M14" s="131"/>
      <c r="N14" s="132">
        <v>61</v>
      </c>
      <c r="O14" s="133"/>
      <c r="Q14" s="131" t="s">
        <v>141</v>
      </c>
      <c r="R14" s="131"/>
      <c r="S14" s="132"/>
      <c r="T14" s="133"/>
    </row>
    <row r="15" spans="2:20" hidden="1" x14ac:dyDescent="0.15">
      <c r="B15" s="131" t="s">
        <v>145</v>
      </c>
      <c r="C15" s="131"/>
      <c r="D15" s="132">
        <v>5000</v>
      </c>
      <c r="E15" s="133"/>
      <c r="G15" s="131" t="s">
        <v>146</v>
      </c>
      <c r="H15" s="131"/>
      <c r="I15" s="132"/>
      <c r="J15" s="133"/>
      <c r="L15" s="131" t="s">
        <v>142</v>
      </c>
      <c r="M15" s="131"/>
      <c r="N15" s="132" t="s">
        <v>143</v>
      </c>
      <c r="O15" s="133"/>
      <c r="Q15" s="131" t="s">
        <v>144</v>
      </c>
      <c r="R15" s="131"/>
      <c r="S15" s="106"/>
      <c r="T15" s="107"/>
    </row>
    <row r="16" spans="2:20" ht="11.25" hidden="1" thickBot="1" x14ac:dyDescent="0.2">
      <c r="B16" s="128" t="s">
        <v>147</v>
      </c>
      <c r="C16" s="128"/>
      <c r="D16" s="129" t="s">
        <v>148</v>
      </c>
      <c r="E16" s="130"/>
      <c r="G16" s="128" t="s">
        <v>149</v>
      </c>
      <c r="H16" s="128"/>
      <c r="I16" s="129"/>
      <c r="J16" s="130"/>
      <c r="L16" s="131" t="s">
        <v>145</v>
      </c>
      <c r="M16" s="131"/>
      <c r="N16" s="132">
        <v>5000</v>
      </c>
      <c r="O16" s="133"/>
      <c r="Q16" s="131" t="s">
        <v>146</v>
      </c>
      <c r="R16" s="131"/>
      <c r="S16" s="132"/>
      <c r="T16" s="133"/>
    </row>
    <row r="17" spans="2:25" ht="12" hidden="1" thickTop="1" thickBot="1" x14ac:dyDescent="0.2">
      <c r="L17" s="128" t="s">
        <v>147</v>
      </c>
      <c r="M17" s="128"/>
      <c r="N17" s="129" t="s">
        <v>148</v>
      </c>
      <c r="O17" s="130"/>
      <c r="Q17" s="128" t="s">
        <v>149</v>
      </c>
      <c r="R17" s="128"/>
      <c r="S17" s="129"/>
      <c r="T17" s="130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5" t="s">
        <v>251</v>
      </c>
      <c r="C22" s="125"/>
      <c r="D22" s="125"/>
      <c r="E22" s="125"/>
      <c r="G22" s="125" t="s">
        <v>189</v>
      </c>
      <c r="H22" s="125"/>
      <c r="I22" s="125"/>
      <c r="J22" s="125"/>
      <c r="L22" s="127" t="s">
        <v>189</v>
      </c>
      <c r="M22" s="127"/>
      <c r="N22" s="127"/>
      <c r="O22" s="127"/>
      <c r="Q22" s="125" t="s">
        <v>188</v>
      </c>
      <c r="R22" s="125"/>
      <c r="S22" s="125"/>
      <c r="T22" s="125"/>
      <c r="V22" s="127" t="s">
        <v>189</v>
      </c>
      <c r="W22" s="127"/>
      <c r="X22" s="127"/>
      <c r="Y22" s="127"/>
    </row>
    <row r="23" spans="2:25" ht="12" thickTop="1" x14ac:dyDescent="0.15">
      <c r="B23" s="117" t="s">
        <v>122</v>
      </c>
      <c r="C23" s="117"/>
      <c r="D23" s="123">
        <v>43209</v>
      </c>
      <c r="E23" s="126"/>
      <c r="G23" s="117" t="s">
        <v>122</v>
      </c>
      <c r="H23" s="117"/>
      <c r="I23" s="123">
        <f ca="1">TODAY()</f>
        <v>43213</v>
      </c>
      <c r="J23" s="126"/>
      <c r="L23" s="117" t="s">
        <v>122</v>
      </c>
      <c r="M23" s="117"/>
      <c r="N23" s="123">
        <f ca="1">TODAY()</f>
        <v>43213</v>
      </c>
      <c r="O23" s="126"/>
      <c r="Q23" s="117" t="s">
        <v>122</v>
      </c>
      <c r="R23" s="117"/>
      <c r="S23" s="123">
        <f ca="1">TODAY()-1</f>
        <v>43212</v>
      </c>
      <c r="T23" s="126"/>
      <c r="V23" s="117" t="s">
        <v>122</v>
      </c>
      <c r="W23" s="117"/>
      <c r="X23" s="123">
        <f ca="1">TODAY()-1</f>
        <v>43212</v>
      </c>
      <c r="Y23" s="126"/>
    </row>
    <row r="24" spans="2:25" ht="11.25" x14ac:dyDescent="0.15">
      <c r="B24" s="117" t="s">
        <v>124</v>
      </c>
      <c r="C24" s="117"/>
      <c r="D24" s="118" t="s">
        <v>186</v>
      </c>
      <c r="E24" s="119"/>
      <c r="G24" s="117" t="s">
        <v>124</v>
      </c>
      <c r="H24" s="117"/>
      <c r="I24" s="118" t="s">
        <v>186</v>
      </c>
      <c r="J24" s="119"/>
      <c r="L24" s="117" t="s">
        <v>124</v>
      </c>
      <c r="M24" s="117"/>
      <c r="N24" s="118" t="s">
        <v>36</v>
      </c>
      <c r="O24" s="119"/>
      <c r="Q24" s="117" t="s">
        <v>124</v>
      </c>
      <c r="R24" s="117"/>
      <c r="S24" s="118" t="s">
        <v>36</v>
      </c>
      <c r="T24" s="119"/>
      <c r="V24" s="117" t="s">
        <v>124</v>
      </c>
      <c r="W24" s="117"/>
      <c r="X24" s="118" t="s">
        <v>36</v>
      </c>
      <c r="Y24" s="119"/>
    </row>
    <row r="25" spans="2:25" ht="11.25" x14ac:dyDescent="0.15">
      <c r="B25" s="117" t="s">
        <v>127</v>
      </c>
      <c r="C25" s="117"/>
      <c r="D25" s="118" t="s">
        <v>252</v>
      </c>
      <c r="E25" s="119"/>
      <c r="G25" s="117" t="s">
        <v>127</v>
      </c>
      <c r="H25" s="117"/>
      <c r="I25" s="118" t="s">
        <v>5</v>
      </c>
      <c r="J25" s="119"/>
      <c r="L25" s="117" t="s">
        <v>127</v>
      </c>
      <c r="M25" s="117"/>
      <c r="N25" s="118" t="s">
        <v>195</v>
      </c>
      <c r="O25" s="119"/>
      <c r="Q25" s="117" t="s">
        <v>127</v>
      </c>
      <c r="R25" s="117"/>
      <c r="S25" s="118" t="s">
        <v>187</v>
      </c>
      <c r="T25" s="119"/>
      <c r="V25" s="117" t="s">
        <v>127</v>
      </c>
      <c r="W25" s="117"/>
      <c r="X25" s="118" t="s">
        <v>187</v>
      </c>
      <c r="Y25" s="119"/>
    </row>
    <row r="26" spans="2:25" ht="11.25" x14ac:dyDescent="0.15">
      <c r="B26" s="117" t="s">
        <v>129</v>
      </c>
      <c r="C26" s="117"/>
      <c r="D26" s="118">
        <f>D31*D33</f>
        <v>290000</v>
      </c>
      <c r="E26" s="119"/>
      <c r="G26" s="117" t="s">
        <v>179</v>
      </c>
      <c r="H26" s="117"/>
      <c r="I26" s="118">
        <f>I31*I33</f>
        <v>271800</v>
      </c>
      <c r="J26" s="119"/>
      <c r="L26" s="117" t="s">
        <v>129</v>
      </c>
      <c r="M26" s="117"/>
      <c r="N26" s="118">
        <f>N31*N33</f>
        <v>275000</v>
      </c>
      <c r="O26" s="119"/>
      <c r="Q26" s="117" t="s">
        <v>129</v>
      </c>
      <c r="R26" s="117"/>
      <c r="S26" s="118">
        <f>S31*S33</f>
        <v>235799.99999999997</v>
      </c>
      <c r="T26" s="119"/>
      <c r="V26" s="117" t="s">
        <v>129</v>
      </c>
      <c r="W26" s="117"/>
      <c r="X26" s="118">
        <f>X31*X33</f>
        <v>235799.99999999997</v>
      </c>
      <c r="Y26" s="119"/>
    </row>
    <row r="27" spans="2:25" ht="11.25" x14ac:dyDescent="0.15">
      <c r="B27" s="117" t="s">
        <v>131</v>
      </c>
      <c r="C27" s="117"/>
      <c r="D27" s="118" t="s">
        <v>191</v>
      </c>
      <c r="E27" s="119"/>
      <c r="F27" s="100">
        <f>1160*250</f>
        <v>290000</v>
      </c>
      <c r="G27" s="117" t="s">
        <v>131</v>
      </c>
      <c r="H27" s="117"/>
      <c r="I27" s="118" t="s">
        <v>197</v>
      </c>
      <c r="J27" s="119"/>
      <c r="L27" s="117" t="s">
        <v>131</v>
      </c>
      <c r="M27" s="117"/>
      <c r="N27" s="118" t="s">
        <v>190</v>
      </c>
      <c r="O27" s="119"/>
      <c r="Q27" s="117" t="s">
        <v>131</v>
      </c>
      <c r="R27" s="117"/>
      <c r="S27" s="118" t="s">
        <v>191</v>
      </c>
      <c r="T27" s="119"/>
      <c r="V27" s="117" t="s">
        <v>131</v>
      </c>
      <c r="W27" s="117"/>
      <c r="X27" s="118" t="s">
        <v>190</v>
      </c>
      <c r="Y27" s="119"/>
    </row>
    <row r="28" spans="2:25" ht="11.25" x14ac:dyDescent="0.15">
      <c r="B28" s="117" t="s">
        <v>134</v>
      </c>
      <c r="C28" s="117"/>
      <c r="D28" s="123">
        <v>43222</v>
      </c>
      <c r="E28" s="119"/>
      <c r="G28" s="117" t="s">
        <v>134</v>
      </c>
      <c r="H28" s="117"/>
      <c r="I28" s="123">
        <v>43182</v>
      </c>
      <c r="J28" s="119"/>
      <c r="L28" s="117" t="s">
        <v>134</v>
      </c>
      <c r="M28" s="117"/>
      <c r="N28" s="123">
        <v>43219</v>
      </c>
      <c r="O28" s="119"/>
      <c r="Q28" s="117" t="s">
        <v>134</v>
      </c>
      <c r="R28" s="117"/>
      <c r="S28" s="123">
        <v>43201</v>
      </c>
      <c r="T28" s="119"/>
      <c r="V28" s="117" t="s">
        <v>134</v>
      </c>
      <c r="W28" s="117"/>
      <c r="X28" s="123">
        <v>43201</v>
      </c>
      <c r="Y28" s="119"/>
    </row>
    <row r="29" spans="2:25" ht="11.25" x14ac:dyDescent="0.15">
      <c r="B29" s="117" t="s">
        <v>136</v>
      </c>
      <c r="C29" s="117"/>
      <c r="D29" s="118">
        <v>108500</v>
      </c>
      <c r="E29" s="119"/>
      <c r="G29" s="117" t="s">
        <v>136</v>
      </c>
      <c r="H29" s="117"/>
      <c r="I29" s="118">
        <v>3856</v>
      </c>
      <c r="J29" s="119"/>
      <c r="L29" s="117" t="s">
        <v>136</v>
      </c>
      <c r="M29" s="117"/>
      <c r="N29" s="118">
        <v>3760</v>
      </c>
      <c r="O29" s="119"/>
      <c r="Q29" s="117" t="s">
        <v>136</v>
      </c>
      <c r="R29" s="117"/>
      <c r="S29" s="118">
        <v>524</v>
      </c>
      <c r="T29" s="119"/>
      <c r="V29" s="117" t="s">
        <v>136</v>
      </c>
      <c r="W29" s="117"/>
      <c r="X29" s="118">
        <v>524</v>
      </c>
      <c r="Y29" s="119"/>
    </row>
    <row r="30" spans="2:25" ht="11.25" x14ac:dyDescent="0.15">
      <c r="B30" s="117" t="s">
        <v>138</v>
      </c>
      <c r="C30" s="117"/>
      <c r="D30" s="118">
        <v>110000</v>
      </c>
      <c r="E30" s="119"/>
      <c r="G30" s="117" t="s">
        <v>138</v>
      </c>
      <c r="H30" s="117"/>
      <c r="I30" s="118">
        <v>3930</v>
      </c>
      <c r="J30" s="119"/>
      <c r="L30" s="117" t="s">
        <v>138</v>
      </c>
      <c r="M30" s="117"/>
      <c r="N30" s="118">
        <v>3700</v>
      </c>
      <c r="O30" s="119"/>
      <c r="Q30" s="117" t="s">
        <v>138</v>
      </c>
      <c r="R30" s="117"/>
      <c r="S30" s="118">
        <v>524</v>
      </c>
      <c r="T30" s="119"/>
      <c r="V30" s="117" t="s">
        <v>138</v>
      </c>
      <c r="W30" s="117"/>
      <c r="X30" s="118">
        <v>524</v>
      </c>
      <c r="Y30" s="119"/>
    </row>
    <row r="31" spans="2:25" ht="11.25" x14ac:dyDescent="0.15">
      <c r="B31" s="117" t="s">
        <v>140</v>
      </c>
      <c r="C31" s="117"/>
      <c r="D31" s="118">
        <v>1160</v>
      </c>
      <c r="E31" s="119"/>
      <c r="G31" s="117" t="s">
        <v>198</v>
      </c>
      <c r="H31" s="117"/>
      <c r="I31" s="118">
        <v>27.18</v>
      </c>
      <c r="J31" s="119"/>
      <c r="L31" s="117" t="s">
        <v>140</v>
      </c>
      <c r="M31" s="117"/>
      <c r="N31" s="118">
        <v>55</v>
      </c>
      <c r="O31" s="119"/>
      <c r="Q31" s="117" t="s">
        <v>140</v>
      </c>
      <c r="R31" s="117"/>
      <c r="S31" s="118">
        <v>23.58</v>
      </c>
      <c r="T31" s="119"/>
      <c r="V31" s="117" t="s">
        <v>140</v>
      </c>
      <c r="W31" s="117"/>
      <c r="X31" s="118">
        <v>23.58</v>
      </c>
      <c r="Y31" s="119"/>
    </row>
    <row r="32" spans="2:25" ht="11.25" x14ac:dyDescent="0.15">
      <c r="B32" s="117" t="s">
        <v>142</v>
      </c>
      <c r="C32" s="117"/>
      <c r="D32" s="118" t="s">
        <v>211</v>
      </c>
      <c r="E32" s="119"/>
      <c r="G32" s="117" t="s">
        <v>199</v>
      </c>
      <c r="H32" s="117"/>
      <c r="I32" s="118" t="s">
        <v>196</v>
      </c>
      <c r="J32" s="119"/>
      <c r="L32" s="117" t="s">
        <v>142</v>
      </c>
      <c r="M32" s="117"/>
      <c r="N32" s="118" t="s">
        <v>194</v>
      </c>
      <c r="O32" s="119"/>
      <c r="Q32" s="117" t="s">
        <v>142</v>
      </c>
      <c r="R32" s="117"/>
      <c r="S32" s="118" t="s">
        <v>192</v>
      </c>
      <c r="T32" s="119"/>
      <c r="V32" s="117" t="s">
        <v>142</v>
      </c>
      <c r="W32" s="117"/>
      <c r="X32" s="118" t="s">
        <v>192</v>
      </c>
      <c r="Y32" s="119"/>
    </row>
    <row r="33" spans="2:25" ht="11.25" x14ac:dyDescent="0.15">
      <c r="B33" s="117" t="s">
        <v>145</v>
      </c>
      <c r="C33" s="117"/>
      <c r="D33" s="118">
        <v>250</v>
      </c>
      <c r="E33" s="119"/>
      <c r="G33" s="117" t="s">
        <v>200</v>
      </c>
      <c r="H33" s="117"/>
      <c r="I33" s="118">
        <v>10000</v>
      </c>
      <c r="J33" s="119"/>
      <c r="L33" s="117" t="s">
        <v>145</v>
      </c>
      <c r="M33" s="117"/>
      <c r="N33" s="118">
        <v>5000</v>
      </c>
      <c r="O33" s="119"/>
      <c r="Q33" s="117" t="s">
        <v>145</v>
      </c>
      <c r="R33" s="117"/>
      <c r="S33" s="118">
        <v>10000</v>
      </c>
      <c r="T33" s="119"/>
      <c r="V33" s="117" t="s">
        <v>145</v>
      </c>
      <c r="W33" s="117"/>
      <c r="X33" s="118">
        <v>10000</v>
      </c>
      <c r="Y33" s="119"/>
    </row>
    <row r="34" spans="2:25" ht="12" thickBot="1" x14ac:dyDescent="0.2">
      <c r="B34" s="120" t="s">
        <v>147</v>
      </c>
      <c r="C34" s="120"/>
      <c r="D34" s="121" t="s">
        <v>148</v>
      </c>
      <c r="E34" s="122"/>
      <c r="G34" s="120" t="s">
        <v>147</v>
      </c>
      <c r="H34" s="120"/>
      <c r="I34" s="121" t="s">
        <v>148</v>
      </c>
      <c r="J34" s="122"/>
      <c r="L34" s="120" t="s">
        <v>147</v>
      </c>
      <c r="M34" s="120"/>
      <c r="N34" s="121" t="s">
        <v>148</v>
      </c>
      <c r="O34" s="122"/>
      <c r="Q34" s="120" t="s">
        <v>147</v>
      </c>
      <c r="R34" s="120"/>
      <c r="S34" s="121" t="s">
        <v>148</v>
      </c>
      <c r="T34" s="122"/>
      <c r="V34" s="120" t="s">
        <v>147</v>
      </c>
      <c r="W34" s="120"/>
      <c r="X34" s="121" t="s">
        <v>148</v>
      </c>
      <c r="Y34" s="122"/>
    </row>
    <row r="35" spans="2:25" ht="11.25" thickTop="1" x14ac:dyDescent="0.15"/>
    <row r="36" spans="2:25" ht="12" thickBot="1" x14ac:dyDescent="0.2">
      <c r="B36" s="125" t="s">
        <v>204</v>
      </c>
      <c r="C36" s="125"/>
      <c r="D36" s="125"/>
      <c r="E36" s="125"/>
      <c r="G36" s="125" t="s">
        <v>121</v>
      </c>
      <c r="H36" s="125"/>
      <c r="I36" s="125"/>
      <c r="J36" s="125"/>
      <c r="L36" s="125" t="s">
        <v>207</v>
      </c>
      <c r="M36" s="125"/>
      <c r="N36" s="125"/>
      <c r="O36" s="125"/>
      <c r="Q36" s="125" t="s">
        <v>121</v>
      </c>
      <c r="R36" s="125"/>
      <c r="S36" s="125"/>
      <c r="T36" s="125"/>
    </row>
    <row r="37" spans="2:25" ht="12" thickTop="1" x14ac:dyDescent="0.15">
      <c r="B37" s="117" t="s">
        <v>122</v>
      </c>
      <c r="C37" s="117"/>
      <c r="D37" s="123"/>
      <c r="E37" s="126"/>
      <c r="G37" s="117" t="s">
        <v>122</v>
      </c>
      <c r="H37" s="117"/>
      <c r="I37" s="123">
        <v>43207</v>
      </c>
      <c r="J37" s="126"/>
      <c r="L37" s="117" t="s">
        <v>122</v>
      </c>
      <c r="M37" s="117"/>
      <c r="N37" s="123">
        <v>43202</v>
      </c>
      <c r="O37" s="126"/>
      <c r="Q37" s="117" t="s">
        <v>122</v>
      </c>
      <c r="R37" s="117"/>
      <c r="S37" s="123">
        <v>43209</v>
      </c>
      <c r="T37" s="126"/>
    </row>
    <row r="38" spans="2:25" ht="11.25" x14ac:dyDescent="0.15">
      <c r="B38" s="117" t="s">
        <v>124</v>
      </c>
      <c r="C38" s="117"/>
      <c r="D38" s="118"/>
      <c r="E38" s="119"/>
      <c r="G38" s="117" t="s">
        <v>124</v>
      </c>
      <c r="H38" s="117"/>
      <c r="I38" s="118" t="s">
        <v>236</v>
      </c>
      <c r="J38" s="119"/>
      <c r="L38" s="117" t="s">
        <v>124</v>
      </c>
      <c r="M38" s="117"/>
      <c r="N38" s="118" t="s">
        <v>209</v>
      </c>
      <c r="O38" s="119"/>
      <c r="Q38" s="117" t="s">
        <v>124</v>
      </c>
      <c r="R38" s="117"/>
      <c r="S38" s="118" t="s">
        <v>236</v>
      </c>
      <c r="T38" s="119"/>
    </row>
    <row r="39" spans="2:25" ht="11.25" x14ac:dyDescent="0.15">
      <c r="B39" s="117" t="s">
        <v>127</v>
      </c>
      <c r="C39" s="117"/>
      <c r="D39" s="118"/>
      <c r="E39" s="119"/>
      <c r="G39" s="117" t="s">
        <v>127</v>
      </c>
      <c r="H39" s="117"/>
      <c r="I39" s="118" t="s">
        <v>205</v>
      </c>
      <c r="J39" s="119"/>
      <c r="L39" s="117" t="s">
        <v>127</v>
      </c>
      <c r="M39" s="117"/>
      <c r="N39" s="118" t="s">
        <v>205</v>
      </c>
      <c r="O39" s="119"/>
      <c r="Q39" s="117" t="s">
        <v>127</v>
      </c>
      <c r="R39" s="117"/>
      <c r="S39" s="118" t="s">
        <v>205</v>
      </c>
      <c r="T39" s="119"/>
    </row>
    <row r="40" spans="2:25" ht="11.25" x14ac:dyDescent="0.15">
      <c r="B40" s="117" t="s">
        <v>179</v>
      </c>
      <c r="C40" s="117"/>
      <c r="D40" s="118"/>
      <c r="E40" s="119"/>
      <c r="G40" s="117" t="s">
        <v>179</v>
      </c>
      <c r="H40" s="117"/>
      <c r="I40" s="118">
        <f>I45*I47</f>
        <v>1600000</v>
      </c>
      <c r="J40" s="119"/>
      <c r="L40" s="117" t="s">
        <v>129</v>
      </c>
      <c r="M40" s="117"/>
      <c r="N40" s="118">
        <f>N45*N47</f>
        <v>3150000</v>
      </c>
      <c r="O40" s="119"/>
      <c r="Q40" s="117" t="s">
        <v>179</v>
      </c>
      <c r="R40" s="117"/>
      <c r="S40" s="118">
        <f>S45*S47</f>
        <v>1045200</v>
      </c>
      <c r="T40" s="119"/>
    </row>
    <row r="41" spans="2:25" ht="11.25" x14ac:dyDescent="0.15">
      <c r="B41" s="117" t="s">
        <v>131</v>
      </c>
      <c r="C41" s="117"/>
      <c r="D41" s="118"/>
      <c r="E41" s="119"/>
      <c r="G41" s="117" t="s">
        <v>131</v>
      </c>
      <c r="H41" s="117"/>
      <c r="I41" s="118" t="s">
        <v>237</v>
      </c>
      <c r="J41" s="119"/>
      <c r="L41" s="117" t="s">
        <v>131</v>
      </c>
      <c r="M41" s="117"/>
      <c r="N41" s="118" t="s">
        <v>210</v>
      </c>
      <c r="O41" s="119"/>
      <c r="Q41" s="117" t="s">
        <v>131</v>
      </c>
      <c r="R41" s="117"/>
      <c r="S41" s="118" t="s">
        <v>237</v>
      </c>
      <c r="T41" s="119"/>
    </row>
    <row r="42" spans="2:25" ht="11.25" x14ac:dyDescent="0.15">
      <c r="B42" s="117" t="s">
        <v>134</v>
      </c>
      <c r="C42" s="117"/>
      <c r="D42" s="123"/>
      <c r="E42" s="119"/>
      <c r="G42" s="117" t="s">
        <v>134</v>
      </c>
      <c r="H42" s="117"/>
      <c r="I42" s="123">
        <v>43294</v>
      </c>
      <c r="J42" s="119"/>
      <c r="L42" s="117" t="s">
        <v>134</v>
      </c>
      <c r="M42" s="117"/>
      <c r="N42" s="123">
        <v>43203</v>
      </c>
      <c r="O42" s="119"/>
      <c r="Q42" s="117" t="s">
        <v>134</v>
      </c>
      <c r="R42" s="117"/>
      <c r="S42" s="123">
        <v>43266</v>
      </c>
      <c r="T42" s="119"/>
    </row>
    <row r="43" spans="2:25" ht="11.25" x14ac:dyDescent="0.15">
      <c r="B43" s="117" t="s">
        <v>136</v>
      </c>
      <c r="C43" s="117"/>
      <c r="D43" s="118"/>
      <c r="E43" s="119"/>
      <c r="G43" s="117" t="s">
        <v>136</v>
      </c>
      <c r="H43" s="117"/>
      <c r="I43" s="118">
        <v>15005</v>
      </c>
      <c r="J43" s="119"/>
      <c r="L43" s="117" t="s">
        <v>136</v>
      </c>
      <c r="M43" s="124"/>
      <c r="N43" s="118">
        <v>3405</v>
      </c>
      <c r="O43" s="119"/>
      <c r="Q43" s="117" t="s">
        <v>136</v>
      </c>
      <c r="R43" s="117"/>
      <c r="S43" s="118">
        <v>15250</v>
      </c>
      <c r="T43" s="119"/>
    </row>
    <row r="44" spans="2:25" ht="11.25" x14ac:dyDescent="0.15">
      <c r="B44" s="117" t="s">
        <v>138</v>
      </c>
      <c r="C44" s="117"/>
      <c r="D44" s="118"/>
      <c r="E44" s="119"/>
      <c r="G44" s="117" t="s">
        <v>138</v>
      </c>
      <c r="H44" s="117"/>
      <c r="I44" s="118">
        <v>14500</v>
      </c>
      <c r="J44" s="119"/>
      <c r="L44" s="117" t="s">
        <v>138</v>
      </c>
      <c r="M44" s="117"/>
      <c r="N44" s="118">
        <v>3720</v>
      </c>
      <c r="O44" s="119"/>
      <c r="Q44" s="117" t="s">
        <v>138</v>
      </c>
      <c r="R44" s="117"/>
      <c r="S44" s="118">
        <v>14500</v>
      </c>
      <c r="T44" s="119"/>
    </row>
    <row r="45" spans="2:25" ht="11.25" x14ac:dyDescent="0.15">
      <c r="B45" s="117" t="s">
        <v>198</v>
      </c>
      <c r="C45" s="117"/>
      <c r="D45" s="118"/>
      <c r="E45" s="119"/>
      <c r="G45" s="117" t="s">
        <v>198</v>
      </c>
      <c r="H45" s="117"/>
      <c r="I45" s="118">
        <v>320</v>
      </c>
      <c r="J45" s="119"/>
      <c r="L45" s="117" t="s">
        <v>140</v>
      </c>
      <c r="M45" s="117"/>
      <c r="N45" s="118">
        <v>315</v>
      </c>
      <c r="O45" s="119"/>
      <c r="Q45" s="117" t="s">
        <v>198</v>
      </c>
      <c r="R45" s="117"/>
      <c r="S45" s="118">
        <v>209.04</v>
      </c>
      <c r="T45" s="119"/>
    </row>
    <row r="46" spans="2:25" ht="11.25" x14ac:dyDescent="0.15">
      <c r="B46" s="117" t="s">
        <v>199</v>
      </c>
      <c r="C46" s="117"/>
      <c r="D46" s="118"/>
      <c r="E46" s="119"/>
      <c r="G46" s="117" t="s">
        <v>142</v>
      </c>
      <c r="H46" s="117"/>
      <c r="I46" s="118" t="s">
        <v>203</v>
      </c>
      <c r="J46" s="119"/>
      <c r="L46" s="117" t="s">
        <v>142</v>
      </c>
      <c r="M46" s="117"/>
      <c r="N46" s="118" t="s">
        <v>194</v>
      </c>
      <c r="O46" s="119"/>
      <c r="Q46" s="117" t="s">
        <v>142</v>
      </c>
      <c r="R46" s="117"/>
      <c r="S46" s="118" t="s">
        <v>248</v>
      </c>
      <c r="T46" s="119"/>
    </row>
    <row r="47" spans="2:25" ht="11.25" x14ac:dyDescent="0.15">
      <c r="B47" s="117" t="s">
        <v>200</v>
      </c>
      <c r="C47" s="117"/>
      <c r="D47" s="118"/>
      <c r="E47" s="119"/>
      <c r="G47" s="117" t="s">
        <v>145</v>
      </c>
      <c r="H47" s="117"/>
      <c r="I47" s="118">
        <v>5000</v>
      </c>
      <c r="J47" s="119"/>
      <c r="L47" s="117" t="s">
        <v>145</v>
      </c>
      <c r="M47" s="117"/>
      <c r="N47" s="118">
        <v>10000</v>
      </c>
      <c r="O47" s="119"/>
      <c r="Q47" s="117" t="s">
        <v>145</v>
      </c>
      <c r="R47" s="117"/>
      <c r="S47" s="118">
        <v>5000</v>
      </c>
      <c r="T47" s="119"/>
    </row>
    <row r="48" spans="2:25" ht="12" thickBot="1" x14ac:dyDescent="0.2">
      <c r="B48" s="120" t="s">
        <v>147</v>
      </c>
      <c r="C48" s="120"/>
      <c r="D48" s="121"/>
      <c r="E48" s="122"/>
      <c r="G48" s="120" t="s">
        <v>147</v>
      </c>
      <c r="H48" s="120"/>
      <c r="I48" s="121" t="s">
        <v>208</v>
      </c>
      <c r="J48" s="122"/>
      <c r="L48" s="120" t="s">
        <v>147</v>
      </c>
      <c r="M48" s="120"/>
      <c r="N48" s="121" t="s">
        <v>206</v>
      </c>
      <c r="O48" s="122"/>
      <c r="Q48" s="120" t="s">
        <v>147</v>
      </c>
      <c r="R48" s="120"/>
      <c r="S48" s="121" t="s">
        <v>208</v>
      </c>
      <c r="T48" s="122"/>
    </row>
    <row r="49" ht="11.25" thickTop="1" x14ac:dyDescent="0.15"/>
  </sheetData>
  <mergeCells count="326"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topLeftCell="E1" zoomScaleNormal="100" workbookViewId="0">
      <selection activeCell="L30" sqref="L30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9" t="s">
        <v>37</v>
      </c>
      <c r="C1" s="139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23" ca="1" si="0">TODAY()</f>
        <v>43213</v>
      </c>
      <c r="F8" s="21">
        <f ca="1">E8+H8</f>
        <v>43393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43213</v>
      </c>
      <c r="F9" s="8">
        <f t="shared" ref="F9" ca="1" si="1">E9+H9</f>
        <v>43304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-5.2509752243450123</v>
      </c>
      <c r="M9" s="15"/>
      <c r="N9" s="13">
        <f t="shared" ref="N9:N10" si="2">M9/10000*I9*P9</f>
        <v>0</v>
      </c>
      <c r="O9" s="13">
        <f>IF(L9&lt;=0,ABS(L9)+N9,L9-N9)</f>
        <v>5.2509752243450123</v>
      </c>
      <c r="P9" s="11">
        <f>RTD("wdf.rtq",,D9,"LastPrice")</f>
        <v>14605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3.5953270964361603E-4</v>
      </c>
      <c r="U9" s="13">
        <f>_xll.dnetGBlackScholesNGreeks("delta",$Q9,$P9,$G9,$I9,$C$3,$J9,$K9,$C$4)*R9</f>
        <v>9.8038592568627791E-3</v>
      </c>
      <c r="V9" s="13">
        <f>_xll.dnetGBlackScholesNGreeks("vega",$Q9,$P9,$G9,$I9,$C$3,$J9,$K9,$C$4)*R9</f>
        <v>-1.9172741706810044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213</v>
      </c>
      <c r="E11" s="8">
        <f t="shared" ca="1" si="0"/>
        <v>43213</v>
      </c>
      <c r="F11" s="8">
        <f t="shared" ref="F11" ca="1" si="5">E11+H11</f>
        <v>43266</v>
      </c>
      <c r="G11" s="11">
        <v>15500</v>
      </c>
      <c r="H11" s="10">
        <v>53</v>
      </c>
      <c r="I11" s="12">
        <f>H11/365</f>
        <v>0.14520547945205478</v>
      </c>
      <c r="J11" s="12">
        <v>0</v>
      </c>
      <c r="K11" s="9">
        <v>0.16</v>
      </c>
      <c r="L11" s="13">
        <f>_xll.dnetGBlackScholesNGreeks("price",$Q11,$P11,$G11,$I11,$C$3,$J11,$K11,$C$4)*R11</f>
        <v>-138.81388791863401</v>
      </c>
      <c r="M11" s="15"/>
      <c r="N11" s="13">
        <f t="shared" ref="N11" si="6">M11/10000*I11*P11</f>
        <v>0</v>
      </c>
      <c r="O11" s="13">
        <f>IF(L11&lt;=0,ABS(L11)+N11,L11-N11)</f>
        <v>138.81388791863401</v>
      </c>
      <c r="P11" s="11">
        <v>14880</v>
      </c>
      <c r="Q11" s="10" t="s">
        <v>39</v>
      </c>
      <c r="R11" s="10">
        <f t="shared" ref="R11" si="7">IF(S11="中金买入",1,-1)</f>
        <v>-1</v>
      </c>
      <c r="S11" s="10" t="s">
        <v>20</v>
      </c>
      <c r="T11" s="14">
        <f t="shared" ref="T11" si="8">O11/P11</f>
        <v>9.3288903171125006E-3</v>
      </c>
      <c r="U11" s="13">
        <f>_xll.dnetGBlackScholesNGreeks("delta",$Q11,$P11,$G11,$I11,$C$3,$J11,$K11,$C$4)*R11</f>
        <v>-0.26063235136462026</v>
      </c>
      <c r="V11" s="13">
        <f>_xll.dnetGBlackScholesNGreeks("vega",$Q11,$P11,$G11,$I11,$C$3,$J11,$K11,$C$4)*R11</f>
        <v>-18.375309952342377</v>
      </c>
      <c r="Y11" s="6">
        <f>400*U11</f>
        <v>-104.25294054584811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161</v>
      </c>
      <c r="D13" s="10" t="s">
        <v>214</v>
      </c>
      <c r="E13" s="8">
        <f t="shared" ca="1" si="0"/>
        <v>43213</v>
      </c>
      <c r="F13" s="8">
        <f t="shared" ref="F13" ca="1" si="9">E13+H13</f>
        <v>43243</v>
      </c>
      <c r="G13" s="11">
        <f>P13</f>
        <v>3556</v>
      </c>
      <c r="H13" s="10">
        <v>30</v>
      </c>
      <c r="I13" s="12">
        <f>(H13-2)/365</f>
        <v>7.6712328767123292E-2</v>
      </c>
      <c r="J13" s="12">
        <v>0</v>
      </c>
      <c r="K13" s="9">
        <v>0.22</v>
      </c>
      <c r="L13" s="13">
        <f>_xll.dnetGBlackScholesNGreeks("price",$Q13,$P13,$G13,$I13,$C$3,$J13,$K13,$C$4)*R13</f>
        <v>86.296580068459207</v>
      </c>
      <c r="M13" s="15"/>
      <c r="N13" s="13">
        <f t="shared" ref="N13" si="10">M13/10000*I13*P13</f>
        <v>0</v>
      </c>
      <c r="O13" s="13">
        <f>IF(L13&lt;=0,ABS(L13)+N13,L13-N13)</f>
        <v>86.296580068459207</v>
      </c>
      <c r="P13" s="11">
        <f>RTD("wdf.rtq",,D13,"LastPrice")</f>
        <v>3556</v>
      </c>
      <c r="Q13" s="10" t="s">
        <v>39</v>
      </c>
      <c r="R13" s="10">
        <f t="shared" ref="R13" si="11">IF(S13="中金买入",1,-1)</f>
        <v>1</v>
      </c>
      <c r="S13" s="10" t="s">
        <v>151</v>
      </c>
      <c r="T13" s="14">
        <f t="shared" ref="T13" si="12">O13/P13</f>
        <v>2.4267879659296741E-2</v>
      </c>
      <c r="U13" s="13">
        <f>_xll.dnetGBlackScholesNGreeks("delta",$Q13,$P13,$G13,$I13,$C$3,$J13,$K13,$C$4)*R13</f>
        <v>0.5113674047152017</v>
      </c>
      <c r="V13" s="13">
        <f>_xll.dnetGBlackScholesNGreeks("vega",$Q13,$P13,$G13,$I13,$C$3,$J13,$K13,$C$4)*R13</f>
        <v>3.9213570504580275</v>
      </c>
      <c r="Y13" s="6">
        <f>V13*5*4000</f>
        <v>78427.14100916055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214</v>
      </c>
      <c r="E14" s="8">
        <f t="shared" ca="1" si="0"/>
        <v>43213</v>
      </c>
      <c r="F14" s="8">
        <f t="shared" ref="F14" ca="1" si="13">E14+H14</f>
        <v>43243</v>
      </c>
      <c r="G14" s="11">
        <f>P14</f>
        <v>3556</v>
      </c>
      <c r="H14" s="10">
        <v>30</v>
      </c>
      <c r="I14" s="12">
        <f>(H14)/365</f>
        <v>8.2191780821917804E-2</v>
      </c>
      <c r="J14" s="12">
        <v>0</v>
      </c>
      <c r="K14" s="9">
        <v>0.28000000000000003</v>
      </c>
      <c r="L14" s="13">
        <f>_xll.dnetGBlackScholesNGreeks("price",$Q14,$P14,$G14,$I14,$C$3,$J14,$K14,$C$4)*R14</f>
        <v>-113.66154190541579</v>
      </c>
      <c r="M14" s="15"/>
      <c r="N14" s="13">
        <f t="shared" ref="N14" si="14">M14/10000*I14*P14</f>
        <v>0</v>
      </c>
      <c r="O14" s="13">
        <f>IF(L14&lt;=0,ABS(L14)+N14,L14-N14)</f>
        <v>113.66154190541579</v>
      </c>
      <c r="P14" s="11">
        <f>RTD("wdf.rtq",,D14,"LastPrice")</f>
        <v>3556</v>
      </c>
      <c r="Q14" s="10" t="s">
        <v>39</v>
      </c>
      <c r="R14" s="10">
        <f t="shared" ref="R14" si="15">IF(S14="中金买入",1,-1)</f>
        <v>-1</v>
      </c>
      <c r="S14" s="10" t="s">
        <v>20</v>
      </c>
      <c r="T14" s="14">
        <f t="shared" ref="T14" si="16">O14/P14</f>
        <v>3.1963313246742349E-2</v>
      </c>
      <c r="U14" s="13">
        <f>_xll.dnetGBlackScholesNGreeks("delta",$Q14,$P14,$G14,$I14,$C$3,$J14,$K14,$C$4)*R14</f>
        <v>-0.51516041401100665</v>
      </c>
      <c r="V14" s="13">
        <f>_xll.dnetGBlackScholesNGreeks("vega",$Q14,$P14,$G14,$I14,$C$3,$J14,$K14,$C$4)*R14</f>
        <v>-4.0571600529189027</v>
      </c>
      <c r="Y14" s="6">
        <f>V14*5*4000</f>
        <v>-81143.20105837805</v>
      </c>
    </row>
    <row r="15" spans="1:25" x14ac:dyDescent="0.15">
      <c r="A15" s="34"/>
      <c r="B15" s="13"/>
      <c r="C15" s="10"/>
      <c r="D15" s="10"/>
      <c r="E15" s="8"/>
      <c r="F15" s="8"/>
      <c r="G15" s="10"/>
      <c r="H15" s="10" t="s">
        <v>218</v>
      </c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224</v>
      </c>
      <c r="E16" s="8">
        <f t="shared" ca="1" si="0"/>
        <v>43213</v>
      </c>
      <c r="F16" s="8">
        <f t="shared" ref="F16" ca="1" si="17">E16+H16</f>
        <v>43228</v>
      </c>
      <c r="G16" s="11">
        <v>1806</v>
      </c>
      <c r="H16" s="10">
        <v>15</v>
      </c>
      <c r="I16" s="12">
        <f>(H16-2)/365</f>
        <v>3.5616438356164383E-2</v>
      </c>
      <c r="J16" s="12">
        <v>0</v>
      </c>
      <c r="K16" s="9">
        <v>0.27</v>
      </c>
      <c r="L16" s="13">
        <f>_xll.dnetGBlackScholesNGreeks("price",$Q16,$P16,$G16,$I16,$C$3,$J16,$K16,$C$4)*R16</f>
        <v>137.36311547287391</v>
      </c>
      <c r="M16" s="15"/>
      <c r="N16" s="13">
        <f t="shared" ref="N16" si="18">M16/10000*I16*P16</f>
        <v>0</v>
      </c>
      <c r="O16" s="13">
        <f>IF(L16&lt;=0,ABS(L16)+N16,L16-N16)</f>
        <v>137.36311547287391</v>
      </c>
      <c r="P16" s="11">
        <f>RTD("wdf.rtq",,D16,"LastPrice")</f>
        <v>1940</v>
      </c>
      <c r="Q16" s="10" t="s">
        <v>39</v>
      </c>
      <c r="R16" s="10">
        <f t="shared" ref="R16" si="19">IF(S16="中金买入",1,-1)</f>
        <v>1</v>
      </c>
      <c r="S16" s="10" t="s">
        <v>151</v>
      </c>
      <c r="T16" s="14">
        <f t="shared" ref="T16" si="20">O16/P16</f>
        <v>7.0805729625192743E-2</v>
      </c>
      <c r="U16" s="13">
        <f>_xll.dnetGBlackScholesNGreeks("delta",$Q16,$P16,$G16,$I16,$C$3,$J16,$K16,$C$4)*R16</f>
        <v>0.92299987811657047</v>
      </c>
      <c r="V16" s="13">
        <f>_xll.dnetGBlackScholesNGreeks("vega",$Q16,$P16,$G16,$I16,$C$3,$J16,$K16,$C$4)*R16</f>
        <v>0.52470159647498349</v>
      </c>
      <c r="Y16" s="6">
        <f>V16*5*4000</f>
        <v>10494.03192949967</v>
      </c>
    </row>
    <row r="17" spans="1:25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5" ht="10.5" customHeight="1" x14ac:dyDescent="0.15">
      <c r="A18" s="34"/>
      <c r="B18" s="13" t="s">
        <v>172</v>
      </c>
      <c r="C18" s="10" t="s">
        <v>161</v>
      </c>
      <c r="D18" s="10" t="s">
        <v>250</v>
      </c>
      <c r="E18" s="8">
        <f t="shared" ca="1" si="0"/>
        <v>43213</v>
      </c>
      <c r="F18" s="8">
        <f t="shared" ref="F18" ca="1" si="21">E18+H18</f>
        <v>43254</v>
      </c>
      <c r="G18" s="11">
        <f>P18</f>
        <v>6715</v>
      </c>
      <c r="H18" s="10">
        <v>41</v>
      </c>
      <c r="I18" s="12">
        <f>(H18)/365</f>
        <v>0.11232876712328767</v>
      </c>
      <c r="J18" s="12">
        <v>0</v>
      </c>
      <c r="K18" s="9">
        <v>0.22</v>
      </c>
      <c r="L18" s="13">
        <f>_xll.dnetGBlackScholesNGreeks("price",$Q18,$P18,$G18,$I18,$C$3,$J18,$K18,$C$4)*R18</f>
        <v>-197.03810081430038</v>
      </c>
      <c r="M18" s="15">
        <v>70</v>
      </c>
      <c r="N18" s="13">
        <f t="shared" ref="N18" si="22">M18/10000*I18*P18</f>
        <v>5.2800136986301371</v>
      </c>
      <c r="O18" s="13">
        <f>IF(L18&lt;=0,ABS(L18)+N18,L18-N18)</f>
        <v>202.31811451293052</v>
      </c>
      <c r="P18" s="11">
        <f>RTD("wdf.rtq",,D18,"LastPrice")</f>
        <v>6715</v>
      </c>
      <c r="Q18" s="10" t="s">
        <v>85</v>
      </c>
      <c r="R18" s="10">
        <f t="shared" ref="R18" si="23">IF(S18="中金买入",1,-1)</f>
        <v>-1</v>
      </c>
      <c r="S18" s="10" t="s">
        <v>20</v>
      </c>
      <c r="T18" s="14">
        <f t="shared" ref="T18" si="24">O18/P18</f>
        <v>3.0129279897681389E-2</v>
      </c>
      <c r="U18" s="13">
        <f>_xll.dnetGBlackScholesNGreeks("delta",$Q18,$P18,$G18,$I18,$C$3,$J18,$K18,$C$4)*R18</f>
        <v>0.48420648388400878</v>
      </c>
      <c r="V18" s="13">
        <f>_xll.dnetGBlackScholesNGreeks("vega",$Q18,$P18,$G18,$I18,$C$3,$J18,$K18,$C$4)*R18</f>
        <v>-8.9522161355075696</v>
      </c>
      <c r="Y18" s="6">
        <f>V18*5*4000</f>
        <v>-179044.32271015138</v>
      </c>
    </row>
    <row r="19" spans="1:25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5" ht="10.5" customHeight="1" x14ac:dyDescent="0.15">
      <c r="A20" s="34"/>
      <c r="B20" s="13" t="s">
        <v>172</v>
      </c>
      <c r="C20" s="10" t="s">
        <v>161</v>
      </c>
      <c r="D20" s="10" t="s">
        <v>254</v>
      </c>
      <c r="E20" s="8">
        <f t="shared" ca="1" si="0"/>
        <v>43213</v>
      </c>
      <c r="F20" s="8">
        <f t="shared" ref="F20" ca="1" si="25">E20+H20</f>
        <v>43304</v>
      </c>
      <c r="G20" s="11">
        <v>12325</v>
      </c>
      <c r="H20" s="10">
        <v>91</v>
      </c>
      <c r="I20" s="12">
        <f>(H20)/365</f>
        <v>0.24931506849315069</v>
      </c>
      <c r="J20" s="12">
        <v>0</v>
      </c>
      <c r="K20" s="9">
        <v>0.28999999999999998</v>
      </c>
      <c r="L20" s="13">
        <f>_xll.dnetGBlackScholesNGreeks("price",$Q20,$P20,$G20,$I20,$C$3,$J20,$K20,$C$4)*R20</f>
        <v>-106.36637488817587</v>
      </c>
      <c r="M20" s="15">
        <v>0</v>
      </c>
      <c r="N20" s="13">
        <f t="shared" ref="N20" si="26">M20/10000*I20*P20</f>
        <v>0</v>
      </c>
      <c r="O20" s="13">
        <f>IF(L20&lt;=0,ABS(L20)+N20,L20-N20)</f>
        <v>106.36637488817587</v>
      </c>
      <c r="P20" s="11">
        <f>RTD("wdf.rtq",,D20,"LastPrice")</f>
        <v>14685</v>
      </c>
      <c r="Q20" s="10" t="s">
        <v>85</v>
      </c>
      <c r="R20" s="10">
        <f t="shared" ref="R20" si="27">IF(S20="中金买入",1,-1)</f>
        <v>-1</v>
      </c>
      <c r="S20" s="10" t="s">
        <v>20</v>
      </c>
      <c r="T20" s="14">
        <f t="shared" ref="T20" si="28">O20/P20</f>
        <v>7.2431988347412919E-3</v>
      </c>
      <c r="U20" s="13">
        <f>_xll.dnetGBlackScholesNGreeks("delta",$Q20,$P20,$G20,$I20,$C$3,$J20,$K20,$C$4)*R20</f>
        <v>9.9369662984827301E-2</v>
      </c>
      <c r="V20" s="13">
        <f>_xll.dnetGBlackScholesNGreeks("vega",$Q20,$P20,$G20,$I20,$C$3,$J20,$K20,$C$4)*R20</f>
        <v>-12.786049224218459</v>
      </c>
      <c r="Y20" s="6">
        <f>V20*5*4000</f>
        <v>-255720.98448436917</v>
      </c>
    </row>
    <row r="21" spans="1:25" ht="10.5" customHeight="1" x14ac:dyDescent="0.15">
      <c r="A21" s="34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5" ht="10.5" customHeight="1" x14ac:dyDescent="0.15">
      <c r="A22" s="34"/>
      <c r="B22" s="13" t="s">
        <v>172</v>
      </c>
      <c r="C22" s="10" t="s">
        <v>161</v>
      </c>
      <c r="D22" s="10" t="s">
        <v>202</v>
      </c>
      <c r="E22" s="8">
        <f t="shared" ca="1" si="0"/>
        <v>43213</v>
      </c>
      <c r="F22" s="8">
        <f t="shared" ref="F22" ca="1" si="29">E22+H22</f>
        <v>43243</v>
      </c>
      <c r="G22" s="11">
        <f>P22</f>
        <v>477</v>
      </c>
      <c r="H22" s="10">
        <v>30</v>
      </c>
      <c r="I22" s="12">
        <f>(H22)/365</f>
        <v>8.2191780821917804E-2</v>
      </c>
      <c r="J22" s="12">
        <v>0</v>
      </c>
      <c r="K22" s="9">
        <v>0.28000000000000003</v>
      </c>
      <c r="L22" s="13">
        <f>_xll.dnetGBlackScholesNGreeks("price",$Q22,$P22,$G22,$I22,$C$3,$J22,$K22,$C$4)*R22</f>
        <v>15.246500418696058</v>
      </c>
      <c r="M22" s="15"/>
      <c r="N22" s="13">
        <f t="shared" ref="N22" si="30">M22/10000*I22*P22</f>
        <v>0</v>
      </c>
      <c r="O22" s="13">
        <f>IF(L22&lt;=0,ABS(L22)+N22,L22-N22)</f>
        <v>15.246500418696058</v>
      </c>
      <c r="P22" s="11">
        <f>RTD("wdf.rtq",,D22,"LastPrice")</f>
        <v>477</v>
      </c>
      <c r="Q22" s="10" t="s">
        <v>39</v>
      </c>
      <c r="R22" s="10">
        <f t="shared" ref="R22" si="31">IF(S22="中金买入",1,-1)</f>
        <v>1</v>
      </c>
      <c r="S22" s="10" t="s">
        <v>151</v>
      </c>
      <c r="T22" s="14">
        <f t="shared" ref="T22" si="32">O22/P22</f>
        <v>3.1963313246742259E-2</v>
      </c>
      <c r="U22" s="13">
        <f>_xll.dnetGBlackScholesNGreeks("delta",$Q22,$P22,$G22,$I22,$C$3,$J22,$K22,$C$4)*R22</f>
        <v>0.5151604134482568</v>
      </c>
      <c r="V22" s="13">
        <f>_xll.dnetGBlackScholesNGreeks("vega",$Q22,$P22,$G22,$I22,$C$3,$J22,$K22,$C$4)*R22</f>
        <v>0.54422535018063911</v>
      </c>
      <c r="Y22" s="6">
        <f>V22*5*4000</f>
        <v>10884.507003612782</v>
      </c>
    </row>
    <row r="23" spans="1:25" ht="10.5" customHeight="1" x14ac:dyDescent="0.15">
      <c r="A23" s="34"/>
      <c r="B23" s="13" t="s">
        <v>172</v>
      </c>
      <c r="C23" s="10" t="s">
        <v>161</v>
      </c>
      <c r="D23" s="10" t="s">
        <v>202</v>
      </c>
      <c r="E23" s="8">
        <f t="shared" ca="1" si="0"/>
        <v>43213</v>
      </c>
      <c r="F23" s="8">
        <f t="shared" ref="F23" ca="1" si="33">E23+H23</f>
        <v>43243</v>
      </c>
      <c r="G23" s="11">
        <f>P23</f>
        <v>477</v>
      </c>
      <c r="H23" s="10">
        <v>30</v>
      </c>
      <c r="I23" s="12">
        <f>(H23)/365</f>
        <v>8.2191780821917804E-2</v>
      </c>
      <c r="J23" s="12">
        <v>0</v>
      </c>
      <c r="K23" s="9">
        <v>0.34499999999999997</v>
      </c>
      <c r="L23" s="13">
        <f>_xll.dnetGBlackScholesNGreeks("price",$Q23,$P23,$G23,$I23,$C$3,$J23,$K23,$C$4)*R23</f>
        <v>-18.783253859941141</v>
      </c>
      <c r="M23" s="15"/>
      <c r="N23" s="13">
        <f t="shared" ref="N23" si="34">M23/10000*I23*P23</f>
        <v>0</v>
      </c>
      <c r="O23" s="13">
        <f>IF(L23&lt;=0,ABS(L23)+N23,L23-N23)</f>
        <v>18.783253859941141</v>
      </c>
      <c r="P23" s="11">
        <f>RTD("wdf.rtq",,D23,"LastPrice")</f>
        <v>477</v>
      </c>
      <c r="Q23" s="10" t="s">
        <v>39</v>
      </c>
      <c r="R23" s="10">
        <f t="shared" ref="R23" si="35">IF(S23="中金买入",1,-1)</f>
        <v>-1</v>
      </c>
      <c r="S23" s="10" t="s">
        <v>20</v>
      </c>
      <c r="T23" s="14">
        <f t="shared" ref="T23" si="36">O23/P23</f>
        <v>3.9377890691700508E-2</v>
      </c>
      <c r="U23" s="13">
        <f>_xll.dnetGBlackScholesNGreeks("delta",$Q23,$P23,$G23,$I23,$C$3,$J23,$K23,$C$4)*R23</f>
        <v>-0.51886770227014267</v>
      </c>
      <c r="V23" s="13">
        <f>_xll.dnetGBlackScholesNGreeks("vega",$Q23,$P23,$G23,$I23,$C$3,$J23,$K23,$C$4)*R23</f>
        <v>-0.54399824888206183</v>
      </c>
      <c r="Y23" s="6">
        <f>V23*5*4000</f>
        <v>-10879.964977641237</v>
      </c>
    </row>
    <row r="24" spans="1:25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5" x14ac:dyDescent="0.15"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5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5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5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5" ht="10.5" customHeight="1" x14ac:dyDescent="0.15">
      <c r="A29" s="34"/>
      <c r="B29" s="13"/>
      <c r="C29" s="10"/>
      <c r="D29" s="10"/>
      <c r="E29" s="8"/>
      <c r="F29" s="8"/>
      <c r="G29" s="11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5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5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5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x14ac:dyDescent="0.15">
      <c r="F35" s="113"/>
    </row>
    <row r="36" spans="1:22" ht="10.5" customHeight="1" x14ac:dyDescent="0.15">
      <c r="A36" s="34"/>
      <c r="B36" s="13"/>
      <c r="C36" s="10"/>
      <c r="D36" s="10"/>
      <c r="E36" s="8"/>
      <c r="F36" s="8"/>
      <c r="G36" s="11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S36 S13:S34</xm:sqref>
        </x14:dataValidation>
        <x14:dataValidation type="list" allowBlank="1" showInputMessage="1" showErrorMessage="1">
          <x14:formula1>
            <xm:f>configs!$C$1:$C$2</xm:f>
          </x14:formula1>
          <xm:sqref>Q8:Q9 Q11 Q36 Q13:Q34</xm:sqref>
        </x14:dataValidation>
        <x14:dataValidation type="list" allowBlank="1" showInputMessage="1">
          <x14:formula1>
            <xm:f>configs!$A$1:$A$36</xm:f>
          </x14:formula1>
          <xm:sqref>C8:C9 C11 C36 C13:C34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tabSelected="1" zoomScale="85" zoomScaleNormal="85" workbookViewId="0">
      <selection activeCell="K29" sqref="K2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0" t="s">
        <v>37</v>
      </c>
      <c r="C1" s="139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43213</v>
      </c>
      <c r="F8" s="46">
        <f ca="1">E8+H8</f>
        <v>43243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43213</v>
      </c>
      <c r="F9" s="54">
        <f ca="1">F8</f>
        <v>43243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43213</v>
      </c>
      <c r="F10" s="62">
        <f ca="1">F9</f>
        <v>43243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43213</v>
      </c>
      <c r="F11" s="46">
        <f ca="1">E11+H11</f>
        <v>43228</v>
      </c>
      <c r="G11" s="114">
        <f>P11-20</f>
        <v>457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-4.0231826303439249</v>
      </c>
      <c r="M11" s="49"/>
      <c r="N11" s="43"/>
      <c r="O11" s="43">
        <f t="shared" ref="O11:O13" si="1">IF(L11&lt;=0,ABS(L11)+N11,L11-N11)</f>
        <v>4.0231826303439249</v>
      </c>
      <c r="P11" s="110">
        <f>RTD("wdf.rtq",,D11,"LastPrice")</f>
        <v>477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0.23106795093212895</v>
      </c>
      <c r="V11" s="43">
        <f>_xll.dnetGBlackScholesNGreeks("vega",$Q11,$P11,$G11,$I11,$C$3,$J11,$K11,$C$4)*R11</f>
        <v>-0.2942081039335136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43213</v>
      </c>
      <c r="F12" s="54">
        <f t="shared" ca="1" si="2"/>
        <v>43228</v>
      </c>
      <c r="G12" s="52">
        <f>G11+50</f>
        <v>507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2.2390489464728347</v>
      </c>
      <c r="M12" s="57"/>
      <c r="N12" s="51"/>
      <c r="O12" s="51">
        <f t="shared" si="1"/>
        <v>2.2390489464728347</v>
      </c>
      <c r="P12" s="94">
        <f>P11</f>
        <v>477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0.15657005753055842</v>
      </c>
      <c r="V12" s="51">
        <f>_xll.dnetGBlackScholesNGreeks("vega",$Q12,$P12,$G12,$I12,$C$3,$J12,$K12,$C$4)*R12</f>
        <v>0.23179541911196822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43213</v>
      </c>
      <c r="F13" s="62">
        <f t="shared" ca="1" si="3"/>
        <v>43228</v>
      </c>
      <c r="G13" s="60" t="str">
        <f>G11 &amp; "|" &amp; G12</f>
        <v>457|507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-1.7841336838710902</v>
      </c>
      <c r="M13" s="60">
        <v>0</v>
      </c>
      <c r="N13" s="59">
        <f>M13/10000*I13*P13</f>
        <v>0</v>
      </c>
      <c r="O13" s="59">
        <f t="shared" si="1"/>
        <v>1.7841336838710902</v>
      </c>
      <c r="P13" s="111">
        <f>P12</f>
        <v>477</v>
      </c>
      <c r="Q13" s="60"/>
      <c r="R13" s="60"/>
      <c r="S13" s="56" t="s">
        <v>151</v>
      </c>
      <c r="T13" s="64">
        <f>O13/P13</f>
        <v>3.7403221884089941E-3</v>
      </c>
      <c r="U13" s="64">
        <f>U12+U11</f>
        <v>0.38763800846268737</v>
      </c>
      <c r="V13" s="64">
        <f>V12+V11</f>
        <v>-6.2412684821545383E-2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214</v>
      </c>
      <c r="E14" s="46">
        <f ca="1">TODAY()</f>
        <v>43213</v>
      </c>
      <c r="F14" s="46">
        <f ca="1">E14+H14</f>
        <v>43304</v>
      </c>
      <c r="G14" s="114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-248.96883471904812</v>
      </c>
      <c r="M14" s="49"/>
      <c r="N14" s="43"/>
      <c r="O14" s="43">
        <f t="shared" ref="O14:O16" si="4">IF(L14&lt;=0,ABS(L14)+N14,L14-N14)</f>
        <v>248.96883471904812</v>
      </c>
      <c r="P14" s="110">
        <f>RTD("wdf.rtq",,D14,"LastPrice")</f>
        <v>3556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-0.58380409085430074</v>
      </c>
      <c r="V14" s="43">
        <f>_xll.dnetGBlackScholesNGreeks("vega",$Q14,$P14,$G14,$I14,$C$3,$J14,$K14,$C$4)*R14</f>
        <v>-6.8809582586020497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43213</v>
      </c>
      <c r="F15" s="54">
        <f t="shared" ca="1" si="5"/>
        <v>43304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82.948890861778182</v>
      </c>
      <c r="M15" s="57"/>
      <c r="N15" s="51"/>
      <c r="O15" s="51">
        <f t="shared" si="4"/>
        <v>82.948890861778182</v>
      </c>
      <c r="P15" s="94">
        <f>P14</f>
        <v>3556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-0.25727488232973883</v>
      </c>
      <c r="V15" s="51">
        <f>_xll.dnetGBlackScholesNGreeks("vega",$Q15,$P15,$G15,$I15,$C$3,$J15,$K15,$C$4)*R15</f>
        <v>5.7131561746398347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43213</v>
      </c>
      <c r="F16" s="62">
        <f t="shared" ca="1" si="6"/>
        <v>43304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-166.01994385726994</v>
      </c>
      <c r="M16" s="60">
        <v>0</v>
      </c>
      <c r="N16" s="59">
        <f>M16/10000*I16*P16</f>
        <v>0</v>
      </c>
      <c r="O16" s="59">
        <f t="shared" si="4"/>
        <v>166.01994385726994</v>
      </c>
      <c r="P16" s="111">
        <f>P15</f>
        <v>3556</v>
      </c>
      <c r="Q16" s="60"/>
      <c r="R16" s="60"/>
      <c r="S16" s="56" t="s">
        <v>151</v>
      </c>
      <c r="T16" s="64">
        <f>O16/P16</f>
        <v>4.6687273300694582E-2</v>
      </c>
      <c r="U16" s="64">
        <f>U15+U14</f>
        <v>-0.84107897318403957</v>
      </c>
      <c r="V16" s="64">
        <f>V15+V14</f>
        <v>-1.167802083962215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239</v>
      </c>
      <c r="E18" s="46">
        <f ca="1">TODAY()</f>
        <v>43213</v>
      </c>
      <c r="F18" s="46">
        <f ca="1">E18+H18</f>
        <v>43304</v>
      </c>
      <c r="G18" s="114">
        <f>P18</f>
        <v>51740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-1947.7624586940256</v>
      </c>
      <c r="M18" s="49"/>
      <c r="N18" s="43"/>
      <c r="O18" s="43">
        <f t="shared" ref="O18:O20" si="7">IF(L18&lt;=0,ABS(L18)+N18,L18-N18)</f>
        <v>1947.7624586940256</v>
      </c>
      <c r="P18" s="110">
        <f>RTD("wdf.rtq",,D18,"LastPrice")</f>
        <v>51740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-0.51633565344673116</v>
      </c>
      <c r="V18" s="43">
        <f>_xll.dnetGBlackScholesNGreeks("vega",$Q18,$P18,$G18,$I18,$C$3,$J18,$K18,$C$4)*R18</f>
        <v>-102.43684280603156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238</v>
      </c>
      <c r="E19" s="54">
        <f t="shared" ref="E19:F19" ca="1" si="8">E18</f>
        <v>43213</v>
      </c>
      <c r="F19" s="54">
        <f t="shared" ca="1" si="8"/>
        <v>43304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1774.7508661435531</v>
      </c>
      <c r="M19" s="57"/>
      <c r="N19" s="51"/>
      <c r="O19" s="51">
        <f t="shared" si="7"/>
        <v>1774.7508661435531</v>
      </c>
      <c r="P19" s="94">
        <f>P18</f>
        <v>51740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0.49430669114371995</v>
      </c>
      <c r="V19" s="51">
        <f>_xll.dnetGBlackScholesNGreeks("vega",$Q19,$P19,$G19,$I19,$C$3,$J19,$K19,$C$4)*R19</f>
        <v>102.54836452891504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238</v>
      </c>
      <c r="E20" s="62">
        <f t="shared" ref="E20:F20" ca="1" si="9">E19</f>
        <v>43213</v>
      </c>
      <c r="F20" s="62">
        <f t="shared" ca="1" si="9"/>
        <v>43304</v>
      </c>
      <c r="G20" s="60" t="str">
        <f>G18 &amp; "|" &amp; G19</f>
        <v>51740|52000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-173.01159255047241</v>
      </c>
      <c r="M20" s="60">
        <v>0</v>
      </c>
      <c r="N20" s="59">
        <f>M20/10000*I20*P20</f>
        <v>0</v>
      </c>
      <c r="O20" s="59">
        <f t="shared" si="7"/>
        <v>173.01159255047241</v>
      </c>
      <c r="P20" s="111">
        <f>P19</f>
        <v>51740</v>
      </c>
      <c r="Q20" s="60"/>
      <c r="R20" s="60"/>
      <c r="S20" s="56" t="s">
        <v>151</v>
      </c>
      <c r="T20" s="64">
        <f>O20/P20</f>
        <v>3.3438653372723699E-3</v>
      </c>
      <c r="U20" s="64">
        <f>U19+U18</f>
        <v>-2.2028962303011212E-2</v>
      </c>
      <c r="V20" s="64">
        <f>V19+V18</f>
        <v>0.11152172288348083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43213</v>
      </c>
      <c r="F21" s="46">
        <f ca="1">E21+H21</f>
        <v>43243</v>
      </c>
      <c r="G21" s="114">
        <v>460</v>
      </c>
      <c r="H21" s="44">
        <v>30</v>
      </c>
      <c r="I21" s="47">
        <f>H21/365</f>
        <v>8.2191780821917804E-2</v>
      </c>
      <c r="J21" s="47">
        <v>0</v>
      </c>
      <c r="K21" s="48">
        <f>K22+0.02</f>
        <v>0.32</v>
      </c>
      <c r="L21" s="43">
        <f>_xll.dnetGBlackScholesNGreeks("price",$Q21,$P21,$G21,$I21,$C$3,$J21,$K21,$C$4)*R21</f>
        <v>-9.9471838941472015</v>
      </c>
      <c r="M21" s="49"/>
      <c r="N21" s="43"/>
      <c r="O21" s="43">
        <f t="shared" ref="O21:O23" si="10">IF(L21&lt;=0,ABS(L21)+N21,L21-N21)</f>
        <v>9.9471838941472015</v>
      </c>
      <c r="P21" s="110">
        <f>RTD("wdf.rtq",,D21,"LastPrice")</f>
        <v>477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0.32890610301024026</v>
      </c>
      <c r="V21" s="43">
        <f>_xll.dnetGBlackScholesNGreeks("vega",$Q21,$P21,$G21,$I21,$C$3,$J21,$K21,$C$4)*R21</f>
        <v>-0.4940623002533755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43213</v>
      </c>
      <c r="F22" s="54">
        <f t="shared" ca="1" si="11"/>
        <v>43243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</v>
      </c>
      <c r="L22" s="51">
        <f>_xll.dnetGBlackScholesNGreeks("price",$Q22,$P22,$G22,$I22,$C$3,$J22,$K22,$C$4)*R22</f>
        <v>7.6922508648347616</v>
      </c>
      <c r="M22" s="57"/>
      <c r="N22" s="51"/>
      <c r="O22" s="51">
        <f t="shared" si="10"/>
        <v>7.6922508648347616</v>
      </c>
      <c r="P22" s="94">
        <f>P21</f>
        <v>477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0.30644156276906642</v>
      </c>
      <c r="V22" s="51">
        <f>_xll.dnetGBlackScholesNGreeks("vega",$Q22,$P22,$G22,$I22,$C$3,$J22,$K22,$C$4)*R22</f>
        <v>0.47950059647321552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43213</v>
      </c>
      <c r="F23" s="62">
        <f t="shared" ca="1" si="12"/>
        <v>43243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-2.2549330293124399</v>
      </c>
      <c r="M23" s="60">
        <v>0</v>
      </c>
      <c r="N23" s="59">
        <f>M23/10000*I23*P23</f>
        <v>0</v>
      </c>
      <c r="O23" s="59">
        <f t="shared" si="10"/>
        <v>2.2549330293124399</v>
      </c>
      <c r="P23" s="111">
        <f>P22</f>
        <v>477</v>
      </c>
      <c r="Q23" s="60"/>
      <c r="R23" s="60"/>
      <c r="S23" s="56" t="s">
        <v>151</v>
      </c>
      <c r="T23" s="64">
        <f>O23/P23</f>
        <v>4.7273229126046958E-3</v>
      </c>
      <c r="U23" s="64">
        <f>U22+U21</f>
        <v>0.63534766577930668</v>
      </c>
      <c r="V23" s="64">
        <f>V22+V21</f>
        <v>-1.4561703780159974E-2</v>
      </c>
    </row>
    <row r="27" spans="1:22" ht="8.25" customHeight="1" x14ac:dyDescent="0.15"/>
    <row r="29" spans="1:22" x14ac:dyDescent="0.15">
      <c r="G29" s="115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6" t="s">
        <v>158</v>
      </c>
      <c r="C1" s="116"/>
      <c r="D1" s="116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231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43213</v>
      </c>
      <c r="L10" s="38">
        <f ca="1">pricer_sf!N11</f>
        <v>43304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232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43213</v>
      </c>
      <c r="L11" s="38">
        <f ca="1">pricer_sf!N12</f>
        <v>43304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233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43213</v>
      </c>
      <c r="L12" s="38">
        <f ca="1">pricer_sf!N13</f>
        <v>43304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231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43213</v>
      </c>
      <c r="L13" s="38">
        <f ca="1">pricer_sf!N14</f>
        <v>43396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232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43213</v>
      </c>
      <c r="L14" s="38">
        <f ca="1">pricer_sf!N15</f>
        <v>43396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233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43213</v>
      </c>
      <c r="L15" s="38">
        <f ca="1">pricer_sf!N16</f>
        <v>43396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9" t="s">
        <v>38</v>
      </c>
      <c r="C1" s="139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3845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43213</v>
      </c>
      <c r="N8" s="21">
        <f ca="1">M8+O8</f>
        <v>43243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-62.088895759581845</v>
      </c>
      <c r="T8" s="25">
        <v>80</v>
      </c>
      <c r="U8" s="24">
        <f>T8/10000*P8*H8</f>
        <v>2.5282191780821917</v>
      </c>
      <c r="V8" s="24">
        <f>IF(S8&lt;=0,ABS(S8)+U8,S8-U8)</f>
        <v>64.617114937664041</v>
      </c>
      <c r="W8" s="26">
        <f>V8/H8</f>
        <v>1.6805491531252027E-2</v>
      </c>
      <c r="X8" s="24">
        <f>_xll.dnetStandardBarrierNGreeks("delta",G8,H8,I8,K8,L8*H8,P8,$C$3,Q8,R8,$C$4)</f>
        <v>0.18022684038605519</v>
      </c>
      <c r="Y8" s="24">
        <f>_xll.dnetStandardBarrierNGreeks("vega",G8,H8,I8,K8,L8*H8,P8,$C$3,Q8,R8,$C$4)</f>
        <v>0.42272249997999012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43213</v>
      </c>
      <c r="N9" s="8">
        <f ca="1">M9+O9</f>
        <v>43393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226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43213</v>
      </c>
      <c r="N11" s="8">
        <f t="shared" ref="N11:N16" ca="1" si="2">M11+O11</f>
        <v>43304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228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43213</v>
      </c>
      <c r="N12" s="8">
        <f t="shared" ca="1" si="2"/>
        <v>43304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229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43213</v>
      </c>
      <c r="N13" s="8">
        <f t="shared" ca="1" si="2"/>
        <v>43304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226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43213</v>
      </c>
      <c r="N14" s="8">
        <f t="shared" ca="1" si="2"/>
        <v>43396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228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43213</v>
      </c>
      <c r="N15" s="8">
        <f t="shared" ca="1" si="2"/>
        <v>43396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229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43213</v>
      </c>
      <c r="N16" s="8">
        <f t="shared" ca="1" si="2"/>
        <v>43396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1" t="s">
        <v>37</v>
      </c>
      <c r="C1" s="141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3845</v>
      </c>
      <c r="I8" s="19">
        <v>3800</v>
      </c>
      <c r="J8" s="21">
        <f ca="1">TODAY()</f>
        <v>43213</v>
      </c>
      <c r="K8" s="21">
        <f ca="1">J8+L8</f>
        <v>43243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156.39771984206072</v>
      </c>
      <c r="P8" s="25">
        <v>80</v>
      </c>
      <c r="Q8" s="24">
        <f>P8/10000*M8*H8*(-E8)</f>
        <v>2.5282191780821917</v>
      </c>
      <c r="R8" s="24">
        <f>O8+Q8</f>
        <v>158.92593902014292</v>
      </c>
      <c r="S8" s="26">
        <f>R8/H8</f>
        <v>4.1333144088463697E-2</v>
      </c>
      <c r="T8" s="24">
        <f>_xll.dnetGBlackScholesNGreeks("delta",$G8,$H8,$I8,$M8,$C$3,$C$4,$N8,$C$4)</f>
        <v>0.57465284487534518</v>
      </c>
      <c r="U8" s="24">
        <f>_xll.dnetGBlackScholesNGreeks("vega",$G8,$H8,$I8,$M8,$C$3,$C$4,$N8)</f>
        <v>4.3158427899265916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43213</v>
      </c>
      <c r="K9" s="8">
        <f ca="1">J9+L9</f>
        <v>43243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43213</v>
      </c>
      <c r="K10" s="8">
        <f ca="1">J10+L10</f>
        <v>43243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2018-04-23T14:02:47Z</dcterms:modified>
</cp:coreProperties>
</file>