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602" activeTab="2"/>
  </bookViews>
  <sheets>
    <sheet name="quate_van" sheetId="6" r:id="rId1"/>
    <sheet name="recap" sheetId="2" r:id="rId2"/>
    <sheet name="pricer_van" sheetId="1" r:id="rId3"/>
    <sheet name="pricer_combo" sheetId="9" r:id="rId4"/>
    <sheet name="quote_sf" sheetId="10" r:id="rId5"/>
    <sheet name="ref_vol_table" sheetId="4" r:id="rId6"/>
    <sheet name="pricer_sf" sheetId="8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I32" i="1" l="1"/>
  <c r="I31" i="1"/>
  <c r="R32" i="1"/>
  <c r="E32" i="1"/>
  <c r="F32" i="1" s="1"/>
  <c r="R31" i="1"/>
  <c r="E31" i="1"/>
  <c r="F31" i="1" s="1"/>
  <c r="P31" i="1"/>
  <c r="P32" i="1"/>
  <c r="U32" i="1"/>
  <c r="L31" i="1"/>
  <c r="Y32" i="1" l="1"/>
  <c r="N32" i="1"/>
  <c r="N31" i="1"/>
  <c r="O31" i="1" s="1"/>
  <c r="T31" i="1" s="1"/>
  <c r="R29" i="1"/>
  <c r="I29" i="1"/>
  <c r="E29" i="1"/>
  <c r="F29" i="1" s="1"/>
  <c r="P29" i="1"/>
  <c r="V32" i="1"/>
  <c r="V29" i="1"/>
  <c r="L32" i="1"/>
  <c r="U31" i="1"/>
  <c r="V31" i="1"/>
  <c r="Y31" i="1" l="1"/>
  <c r="O32" i="1"/>
  <c r="T32" i="1" s="1"/>
  <c r="N29" i="1"/>
  <c r="U29" i="1"/>
  <c r="L29" i="1"/>
  <c r="Y29" i="1" l="1"/>
  <c r="O29" i="1"/>
  <c r="T29" i="1" s="1"/>
  <c r="R27" i="1" l="1"/>
  <c r="I27" i="1"/>
  <c r="E27" i="1"/>
  <c r="F27" i="1" s="1"/>
  <c r="P27" i="1"/>
  <c r="L27" i="1" s="1"/>
  <c r="N27" i="1" l="1"/>
  <c r="O27" i="1" s="1"/>
  <c r="T27" i="1" s="1"/>
  <c r="V27" i="1"/>
  <c r="U27" i="1"/>
  <c r="Y27" i="1" l="1"/>
  <c r="R25" i="1"/>
  <c r="I25" i="1"/>
  <c r="E25" i="1"/>
  <c r="F25" i="1" s="1"/>
  <c r="P25" i="1"/>
  <c r="G25" i="1" l="1"/>
  <c r="N25" i="1"/>
  <c r="D22" i="9"/>
  <c r="D23" i="9" s="1"/>
  <c r="R23" i="1"/>
  <c r="I23" i="1"/>
  <c r="E23" i="1"/>
  <c r="F23" i="1" s="1"/>
  <c r="P23" i="1"/>
  <c r="U25" i="1"/>
  <c r="V25" i="1"/>
  <c r="L25" i="1"/>
  <c r="O25" i="1" l="1"/>
  <c r="T25" i="1" s="1"/>
  <c r="Y25" i="1"/>
  <c r="N23" i="1"/>
  <c r="G23" i="1"/>
  <c r="R22" i="1"/>
  <c r="I22" i="1"/>
  <c r="E22" i="1"/>
  <c r="F22" i="1" s="1"/>
  <c r="R20" i="1"/>
  <c r="I20" i="1"/>
  <c r="E20" i="1"/>
  <c r="F20" i="1" s="1"/>
  <c r="U23" i="1"/>
  <c r="V23" i="1"/>
  <c r="P22" i="1"/>
  <c r="P20" i="1"/>
  <c r="L23" i="1"/>
  <c r="O23" i="1" l="1"/>
  <c r="T23" i="1" s="1"/>
  <c r="Y23" i="1"/>
  <c r="G22" i="1"/>
  <c r="N22" i="1"/>
  <c r="N20" i="1"/>
  <c r="F27" i="2"/>
  <c r="U20" i="1"/>
  <c r="V22" i="1"/>
  <c r="V20" i="1"/>
  <c r="L22" i="1"/>
  <c r="L20" i="1"/>
  <c r="U22" i="1"/>
  <c r="O22" i="1" l="1"/>
  <c r="T22" i="1" s="1"/>
  <c r="Y22" i="1"/>
  <c r="O20" i="1"/>
  <c r="T20" i="1" s="1"/>
  <c r="Y20" i="1"/>
  <c r="I18" i="1"/>
  <c r="S40" i="2" l="1"/>
  <c r="K18" i="9" l="1"/>
  <c r="R22" i="9"/>
  <c r="J22" i="9"/>
  <c r="H22" i="9"/>
  <c r="H23" i="9" s="1"/>
  <c r="R21" i="9"/>
  <c r="I21" i="9"/>
  <c r="E21" i="9"/>
  <c r="F21" i="9" s="1"/>
  <c r="F22" i="9" s="1"/>
  <c r="F23" i="9" s="1"/>
  <c r="R19" i="9"/>
  <c r="J19" i="9"/>
  <c r="H19" i="9"/>
  <c r="H20" i="9" s="1"/>
  <c r="R18" i="9"/>
  <c r="I18" i="9"/>
  <c r="E18" i="9"/>
  <c r="F18" i="9" s="1"/>
  <c r="F19" i="9" s="1"/>
  <c r="F20" i="9" s="1"/>
  <c r="P21" i="9"/>
  <c r="P18" i="9"/>
  <c r="E22" i="9" l="1"/>
  <c r="E23" i="9" s="1"/>
  <c r="G18" i="9"/>
  <c r="G29" i="9"/>
  <c r="P22" i="9"/>
  <c r="I22" i="9"/>
  <c r="I23" i="9" s="1"/>
  <c r="I19" i="9"/>
  <c r="I20" i="9" s="1"/>
  <c r="E19" i="9"/>
  <c r="E20" i="9" s="1"/>
  <c r="P19" i="9"/>
  <c r="V21" i="9"/>
  <c r="U19" i="9"/>
  <c r="L21" i="9"/>
  <c r="V22" i="9"/>
  <c r="V19" i="9"/>
  <c r="U22" i="9"/>
  <c r="L22" i="9"/>
  <c r="L18" i="9"/>
  <c r="U21" i="9"/>
  <c r="U18" i="9"/>
  <c r="L19" i="9"/>
  <c r="V18" i="9"/>
  <c r="O21" i="9" l="1"/>
  <c r="U23" i="9"/>
  <c r="L23" i="9"/>
  <c r="O22" i="9"/>
  <c r="V23" i="9"/>
  <c r="P23" i="9"/>
  <c r="N23" i="9" s="1"/>
  <c r="G23" i="9"/>
  <c r="G20" i="9"/>
  <c r="U20" i="9"/>
  <c r="V20" i="9"/>
  <c r="O18" i="9"/>
  <c r="O19" i="9"/>
  <c r="L20" i="9"/>
  <c r="P20" i="9"/>
  <c r="N20" i="9" s="1"/>
  <c r="O23" i="9" l="1"/>
  <c r="T23" i="9" s="1"/>
  <c r="O20" i="9"/>
  <c r="T20" i="9" s="1"/>
  <c r="A10" i="10" l="1"/>
  <c r="B10" i="10"/>
  <c r="E10" i="10"/>
  <c r="F10" i="10"/>
  <c r="G10" i="10"/>
  <c r="H10" i="10"/>
  <c r="J10" i="10"/>
  <c r="M10" i="10"/>
  <c r="O10" i="10"/>
  <c r="P10" i="10"/>
  <c r="A11" i="10"/>
  <c r="B11" i="10"/>
  <c r="E11" i="10"/>
  <c r="F11" i="10"/>
  <c r="G11" i="10"/>
  <c r="H11" i="10"/>
  <c r="J11" i="10"/>
  <c r="M11" i="10"/>
  <c r="O11" i="10"/>
  <c r="P11" i="10"/>
  <c r="A12" i="10"/>
  <c r="B12" i="10"/>
  <c r="E12" i="10"/>
  <c r="F12" i="10"/>
  <c r="G12" i="10"/>
  <c r="H12" i="10"/>
  <c r="J12" i="10"/>
  <c r="M12" i="10"/>
  <c r="O12" i="10"/>
  <c r="P12" i="10"/>
  <c r="A13" i="10"/>
  <c r="B13" i="10"/>
  <c r="E13" i="10"/>
  <c r="F13" i="10"/>
  <c r="G13" i="10"/>
  <c r="H13" i="10"/>
  <c r="J13" i="10"/>
  <c r="M13" i="10"/>
  <c r="O13" i="10"/>
  <c r="P13" i="10"/>
  <c r="A14" i="10"/>
  <c r="B14" i="10"/>
  <c r="E14" i="10"/>
  <c r="F14" i="10"/>
  <c r="G14" i="10"/>
  <c r="H14" i="10"/>
  <c r="J14" i="10"/>
  <c r="M14" i="10"/>
  <c r="O14" i="10"/>
  <c r="P14" i="10"/>
  <c r="A15" i="10"/>
  <c r="B15" i="10"/>
  <c r="E15" i="10"/>
  <c r="F15" i="10"/>
  <c r="G15" i="10"/>
  <c r="H15" i="10"/>
  <c r="J15" i="10"/>
  <c r="M15" i="10"/>
  <c r="O15" i="10"/>
  <c r="P15" i="10"/>
  <c r="T12" i="8"/>
  <c r="R11" i="10" s="1"/>
  <c r="T13" i="8"/>
  <c r="R12" i="10" s="1"/>
  <c r="T14" i="8"/>
  <c r="R13" i="10" s="1"/>
  <c r="T15" i="8"/>
  <c r="R14" i="10" s="1"/>
  <c r="T16" i="8"/>
  <c r="R15" i="10" s="1"/>
  <c r="T11" i="8"/>
  <c r="R10" i="10" s="1"/>
  <c r="R18" i="1" l="1"/>
  <c r="E18" i="1"/>
  <c r="F18" i="1" s="1"/>
  <c r="P16" i="8"/>
  <c r="M16" i="8"/>
  <c r="E16" i="8"/>
  <c r="C15" i="10" s="1"/>
  <c r="P15" i="8"/>
  <c r="M15" i="8"/>
  <c r="E15" i="8"/>
  <c r="C14" i="10" s="1"/>
  <c r="P14" i="8"/>
  <c r="M14" i="8"/>
  <c r="E14" i="8"/>
  <c r="C13" i="10" s="1"/>
  <c r="P13" i="8"/>
  <c r="M13" i="8"/>
  <c r="E13" i="8"/>
  <c r="C12" i="10" s="1"/>
  <c r="P12" i="8"/>
  <c r="M12" i="8"/>
  <c r="E12" i="8"/>
  <c r="C11" i="10" s="1"/>
  <c r="P11" i="8"/>
  <c r="M11" i="8"/>
  <c r="E11" i="8"/>
  <c r="C10" i="10" s="1"/>
  <c r="I16" i="1"/>
  <c r="R16" i="1"/>
  <c r="E16" i="1"/>
  <c r="F16" i="1" s="1"/>
  <c r="I14" i="1"/>
  <c r="R14" i="1"/>
  <c r="E14" i="1"/>
  <c r="F14" i="1" s="1"/>
  <c r="K14" i="9"/>
  <c r="D15" i="9"/>
  <c r="D16" i="9" s="1"/>
  <c r="R15" i="9"/>
  <c r="J15" i="9"/>
  <c r="H15" i="9"/>
  <c r="H16" i="9" s="1"/>
  <c r="R14" i="9"/>
  <c r="I14" i="9"/>
  <c r="E14" i="9"/>
  <c r="F14" i="9" s="1"/>
  <c r="F15" i="9" s="1"/>
  <c r="F16" i="9" s="1"/>
  <c r="P14" i="1"/>
  <c r="K14" i="8"/>
  <c r="K12" i="8"/>
  <c r="K13" i="8"/>
  <c r="K16" i="8"/>
  <c r="S14" i="8"/>
  <c r="P16" i="1"/>
  <c r="P18" i="1"/>
  <c r="P13" i="1"/>
  <c r="K15" i="8"/>
  <c r="P14" i="9"/>
  <c r="K11" i="8"/>
  <c r="X14" i="8"/>
  <c r="X13" i="8"/>
  <c r="G18" i="1" l="1"/>
  <c r="I12" i="10"/>
  <c r="I15" i="10"/>
  <c r="I10" i="10"/>
  <c r="Q13" i="10"/>
  <c r="I11" i="10"/>
  <c r="I14" i="10"/>
  <c r="I13" i="10"/>
  <c r="U14" i="8"/>
  <c r="S13" i="10" s="1"/>
  <c r="N13" i="10"/>
  <c r="U12" i="8"/>
  <c r="S11" i="10" s="1"/>
  <c r="N11" i="10"/>
  <c r="U15" i="8"/>
  <c r="S14" i="10" s="1"/>
  <c r="N14" i="10"/>
  <c r="U13" i="8"/>
  <c r="S12" i="10" s="1"/>
  <c r="N12" i="10"/>
  <c r="U16" i="8"/>
  <c r="S15" i="10" s="1"/>
  <c r="N15" i="10"/>
  <c r="U11" i="8"/>
  <c r="S10" i="10" s="1"/>
  <c r="N10" i="10"/>
  <c r="N12" i="8"/>
  <c r="L11" i="10" s="1"/>
  <c r="K11" i="10"/>
  <c r="N15" i="8"/>
  <c r="L14" i="10" s="1"/>
  <c r="K14" i="10"/>
  <c r="N13" i="8"/>
  <c r="L12" i="10" s="1"/>
  <c r="K12" i="10"/>
  <c r="N16" i="8"/>
  <c r="L15" i="10" s="1"/>
  <c r="K15" i="10"/>
  <c r="N11" i="8"/>
  <c r="L10" i="10" s="1"/>
  <c r="K10" i="10"/>
  <c r="N14" i="8"/>
  <c r="L13" i="10" s="1"/>
  <c r="K13" i="10"/>
  <c r="N18" i="1"/>
  <c r="N16" i="1"/>
  <c r="G13" i="1"/>
  <c r="G14" i="1"/>
  <c r="N14" i="1"/>
  <c r="E15" i="9"/>
  <c r="E16" i="9" s="1"/>
  <c r="P15" i="9"/>
  <c r="I15" i="9"/>
  <c r="I16" i="9" s="1"/>
  <c r="I13" i="1"/>
  <c r="R13" i="1"/>
  <c r="E13" i="1"/>
  <c r="F13" i="1" s="1"/>
  <c r="R11" i="1"/>
  <c r="I11" i="1"/>
  <c r="E11" i="1"/>
  <c r="F11" i="1" s="1"/>
  <c r="Y13" i="8"/>
  <c r="V16" i="1"/>
  <c r="Y14" i="8"/>
  <c r="Y12" i="8"/>
  <c r="L16" i="1"/>
  <c r="U14" i="9"/>
  <c r="Y15" i="8"/>
  <c r="U14" i="1"/>
  <c r="U18" i="1"/>
  <c r="S15" i="8"/>
  <c r="X12" i="8"/>
  <c r="V14" i="9"/>
  <c r="V14" i="1"/>
  <c r="S13" i="8"/>
  <c r="U16" i="1"/>
  <c r="V18" i="1"/>
  <c r="S12" i="8"/>
  <c r="Y16" i="8"/>
  <c r="L14" i="9"/>
  <c r="S11" i="8"/>
  <c r="L14" i="1"/>
  <c r="X15" i="8"/>
  <c r="X16" i="8"/>
  <c r="S16" i="8"/>
  <c r="X11" i="8"/>
  <c r="L18" i="1"/>
  <c r="Y11" i="8"/>
  <c r="Q10" i="10" l="1"/>
  <c r="Q14" i="10"/>
  <c r="Q12" i="10"/>
  <c r="O18" i="1"/>
  <c r="T18" i="1" s="1"/>
  <c r="Q11" i="10"/>
  <c r="Q15" i="10"/>
  <c r="V11" i="8"/>
  <c r="W11" i="8" s="1"/>
  <c r="V14" i="8"/>
  <c r="W14" i="8" s="1"/>
  <c r="V16" i="8"/>
  <c r="T15" i="10" s="1"/>
  <c r="V12" i="8"/>
  <c r="T11" i="10" s="1"/>
  <c r="V13" i="8"/>
  <c r="V15" i="8"/>
  <c r="Y18" i="1"/>
  <c r="Y16" i="1"/>
  <c r="O16" i="1"/>
  <c r="T16" i="1" s="1"/>
  <c r="O14" i="1"/>
  <c r="T14" i="1" s="1"/>
  <c r="Y14" i="1"/>
  <c r="O14" i="9"/>
  <c r="P16" i="9"/>
  <c r="N16" i="9" s="1"/>
  <c r="G16" i="9"/>
  <c r="N13" i="1"/>
  <c r="N11" i="1"/>
  <c r="N40" i="2"/>
  <c r="L15" i="9"/>
  <c r="V11" i="1"/>
  <c r="U13" i="1"/>
  <c r="L11" i="1"/>
  <c r="L13" i="1"/>
  <c r="U11" i="1"/>
  <c r="V15" i="9"/>
  <c r="V13" i="1"/>
  <c r="U15" i="9"/>
  <c r="T10" i="10" l="1"/>
  <c r="W16" i="8"/>
  <c r="T13" i="10"/>
  <c r="W12" i="8"/>
  <c r="W13" i="8"/>
  <c r="T12" i="10"/>
  <c r="W15" i="8"/>
  <c r="T14" i="10"/>
  <c r="O15" i="9"/>
  <c r="L16" i="9"/>
  <c r="O16" i="9" s="1"/>
  <c r="T16" i="9" s="1"/>
  <c r="U16" i="9"/>
  <c r="V16" i="9"/>
  <c r="Y11" i="1"/>
  <c r="Y13" i="1"/>
  <c r="O13" i="1"/>
  <c r="T13" i="1" s="1"/>
  <c r="O11" i="1"/>
  <c r="T11" i="1" s="1"/>
  <c r="D13" i="9"/>
  <c r="R12" i="9"/>
  <c r="J12" i="9"/>
  <c r="H12" i="9"/>
  <c r="H13" i="9" s="1"/>
  <c r="R11" i="9"/>
  <c r="I11" i="9"/>
  <c r="E11" i="9"/>
  <c r="E12" i="9" s="1"/>
  <c r="E13" i="9" s="1"/>
  <c r="P11" i="9"/>
  <c r="G11" i="9" l="1"/>
  <c r="P12" i="9"/>
  <c r="I12" i="9"/>
  <c r="I13" i="9" s="1"/>
  <c r="F11" i="9"/>
  <c r="F12" i="9" s="1"/>
  <c r="F13" i="9" s="1"/>
  <c r="P13" i="9" l="1"/>
  <c r="N13" i="9" s="1"/>
  <c r="I40" i="2" l="1"/>
  <c r="N10" i="1" l="1"/>
  <c r="I9" i="1" l="1"/>
  <c r="R9" i="1"/>
  <c r="E9" i="1"/>
  <c r="F9" i="1" s="1"/>
  <c r="P9" i="1"/>
  <c r="N9" i="1" l="1"/>
  <c r="U9" i="1"/>
  <c r="L9" i="1"/>
  <c r="V9" i="1"/>
  <c r="O9" i="1" l="1"/>
  <c r="T9" i="1" s="1"/>
  <c r="I26" i="2" l="1"/>
  <c r="I23" i="2"/>
  <c r="X23" i="2" l="1"/>
  <c r="S23" i="2"/>
  <c r="X26" i="2"/>
  <c r="S26" i="2"/>
  <c r="N26" i="2" l="1"/>
  <c r="N23" i="2"/>
  <c r="D26" i="2" l="1"/>
  <c r="D10" i="9" l="1"/>
  <c r="J9" i="9" l="1"/>
  <c r="N8" i="2" l="1"/>
  <c r="G10" i="9" l="1"/>
  <c r="P10" i="9"/>
  <c r="H9" i="9"/>
  <c r="I9" i="9" s="1"/>
  <c r="I10" i="9" s="1"/>
  <c r="R9" i="9"/>
  <c r="I8" i="9"/>
  <c r="E8" i="9"/>
  <c r="F8" i="9" s="1"/>
  <c r="F9" i="9" s="1"/>
  <c r="F10" i="9" s="1"/>
  <c r="R8" i="9"/>
  <c r="V8" i="9"/>
  <c r="U9" i="9"/>
  <c r="N10" i="9" l="1"/>
  <c r="H10" i="9"/>
  <c r="E9" i="9"/>
  <c r="E10" i="9" s="1"/>
  <c r="V9" i="9"/>
  <c r="U8" i="9"/>
  <c r="L8" i="9"/>
  <c r="L9" i="9"/>
  <c r="O9" i="9" l="1"/>
  <c r="O8" i="9"/>
  <c r="U10" i="9"/>
  <c r="L10" i="9"/>
  <c r="V10" i="9"/>
  <c r="O10" i="9" l="1"/>
  <c r="T10" i="9" s="1"/>
  <c r="D8" i="2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U9" i="7"/>
  <c r="T10" i="7"/>
  <c r="T9" i="7"/>
  <c r="K9" i="8"/>
  <c r="O10" i="7"/>
  <c r="H8" i="7"/>
  <c r="U10" i="7"/>
  <c r="H8" i="8"/>
  <c r="O9" i="7"/>
  <c r="U8" i="8" l="1"/>
  <c r="Q9" i="7"/>
  <c r="R9" i="7" s="1"/>
  <c r="S9" i="7" s="1"/>
  <c r="Q10" i="7"/>
  <c r="R10" i="7" s="1"/>
  <c r="S10" i="7" s="1"/>
  <c r="Q8" i="7"/>
  <c r="K8" i="8"/>
  <c r="S9" i="8"/>
  <c r="U8" i="7"/>
  <c r="T8" i="7"/>
  <c r="Y9" i="8"/>
  <c r="O8" i="7"/>
  <c r="X9" i="8"/>
  <c r="V9" i="8" l="1"/>
  <c r="W9" i="8" s="1"/>
  <c r="R8" i="7"/>
  <c r="S8" i="7" s="1"/>
  <c r="S8" i="8"/>
  <c r="Y8" i="8"/>
  <c r="X8" i="8"/>
  <c r="V8" i="8" l="1"/>
  <c r="W8" i="8" s="1"/>
  <c r="R8" i="1"/>
  <c r="I8" i="1" l="1"/>
  <c r="E8" i="1"/>
  <c r="F8" i="1" s="1"/>
  <c r="N8" i="1" l="1"/>
  <c r="U8" i="1"/>
  <c r="V8" i="1"/>
  <c r="L8" i="1"/>
  <c r="O8" i="1" l="1"/>
  <c r="T8" i="1" s="1"/>
  <c r="G12" i="9" l="1"/>
  <c r="G13" i="9" s="1"/>
  <c r="V12" i="9"/>
  <c r="U11" i="9"/>
  <c r="L11" i="9"/>
  <c r="V11" i="9"/>
  <c r="L12" i="9"/>
  <c r="U12" i="9"/>
  <c r="O11" i="9" l="1"/>
  <c r="V13" i="9"/>
  <c r="U13" i="9"/>
  <c r="L13" i="9"/>
  <c r="O13" i="9" s="1"/>
  <c r="T13" i="9" s="1"/>
  <c r="O12" i="9"/>
</calcChain>
</file>

<file path=xl/sharedStrings.xml><?xml version="1.0" encoding="utf-8"?>
<sst xmlns="http://schemas.openxmlformats.org/spreadsheetml/2006/main" count="1119" uniqueCount="258">
  <si>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</si>
  <si>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</si>
  <si>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</si>
  <si>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</si>
  <si>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</si>
  <si>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</si>
  <si>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</si>
  <si>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</si>
  <si>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</si>
  <si>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</si>
  <si>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</si>
  <si>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</si>
  <si>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</si>
  <si>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</si>
  <si>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</si>
  <si>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</si>
  <si>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</si>
  <si>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</si>
  <si>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</si>
  <si>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</si>
  <si>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</si>
  <si>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</si>
  <si>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</si>
  <si>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</si>
  <si>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</si>
  <si>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</si>
  <si>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</si>
  <si>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</si>
  <si>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</si>
  <si>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</si>
  <si>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</si>
  <si>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</si>
  <si>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</si>
  <si>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</si>
  <si>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</si>
  <si>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</si>
  <si>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</si>
  <si>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</si>
  <si>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</si>
  <si>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</si>
  <si>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</si>
  <si>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</si>
  <si>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</si>
  <si>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</si>
  <si>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</si>
  <si>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</si>
  <si>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</si>
  <si>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</si>
  <si>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</si>
  <si>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</si>
  <si>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</si>
  <si>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</si>
  <si>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</si>
  <si>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</si>
  <si>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</si>
  <si>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</si>
  <si>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</si>
  <si>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</si>
  <si>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</si>
  <si>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</si>
  <si>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</si>
  <si>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</si>
  <si>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</si>
  <si>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</si>
  <si>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</si>
  <si>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</si>
  <si>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</si>
  <si>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</si>
  <si>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</si>
  <si>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</si>
  <si>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</si>
  <si>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</si>
  <si>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</si>
  <si>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</si>
  <si>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</si>
  <si>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</si>
  <si>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</si>
  <si>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</si>
  <si>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</si>
  <si>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</si>
  <si>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</si>
  <si>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</si>
  <si>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</si>
  <si>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</si>
  <si>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</si>
  <si>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</si>
  <si>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</si>
  <si>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</si>
  <si>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</si>
  <si>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</si>
  <si>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</si>
  <si>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</si>
  <si>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</si>
  <si>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</si>
  <si>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</si>
  <si>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</si>
  <si>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</si>
  <si>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</si>
  <si>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</si>
  <si>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</si>
  <si>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</si>
  <si>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</si>
  <si>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</si>
  <si>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</si>
  <si>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</si>
  <si>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</si>
  <si>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</si>
  <si>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</si>
  <si>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</si>
  <si>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</si>
  <si>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</si>
  <si>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</si>
  <si>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</si>
  <si>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</si>
  <si>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</si>
  <si>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</si>
  <si>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</si>
  <si>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</si>
  <si>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</si>
  <si>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</si>
  <si>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</si>
  <si>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</si>
  <si>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</si>
  <si>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</si>
  <si>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</si>
  <si>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</si>
  <si>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</si>
  <si>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</si>
  <si>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</si>
  <si>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</si>
  <si>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</si>
  <si>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</si>
  <si>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</si>
  <si>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</si>
  <si>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</si>
  <si>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</si>
  <si>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</si>
  <si>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</si>
  <si>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</si>
  <si>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</si>
  <si>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</si>
  <si>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</si>
  <si>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</si>
  <si>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</si>
  <si>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</si>
  <si>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</si>
  <si>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</si>
  <si>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</si>
  <si>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</si>
  <si>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</si>
  <si>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</si>
  <si>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</si>
  <si>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</si>
  <si>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</si>
  <si>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</si>
  <si>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</si>
  <si>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</si>
  <si>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</si>
  <si>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</si>
  <si>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</si>
  <si>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</si>
  <si>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</si>
  <si>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</si>
  <si>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</si>
  <si>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</si>
  <si>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</si>
  <si>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</si>
  <si>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</si>
  <si>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</si>
  <si>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</si>
  <si>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</si>
  <si>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</si>
  <si>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</si>
  <si>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</si>
  <si>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</si>
  <si>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</si>
  <si>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</si>
  <si>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</si>
  <si>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</si>
  <si>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权利金总额（元）：</t>
    <phoneticPr fontId="1" type="noConversion"/>
  </si>
  <si>
    <t>起始日期</t>
    <phoneticPr fontId="1" type="noConversion"/>
  </si>
  <si>
    <t>标的</t>
    <phoneticPr fontId="1" type="noConversion"/>
  </si>
  <si>
    <t>期权价格</t>
    <phoneticPr fontId="1" type="noConversion"/>
  </si>
  <si>
    <t>起始日</t>
    <phoneticPr fontId="1" type="noConversion"/>
  </si>
  <si>
    <t>行权价</t>
    <phoneticPr fontId="1" type="noConversion"/>
  </si>
  <si>
    <t>rb1810</t>
  </si>
  <si>
    <t>中金公司</t>
    <phoneticPr fontId="1" type="noConversion"/>
  </si>
  <si>
    <t>华泰长城</t>
    <phoneticPr fontId="1" type="noConversion"/>
  </si>
  <si>
    <t>成交回报1</t>
    <phoneticPr fontId="1" type="noConversion"/>
  </si>
  <si>
    <t>成交回报2</t>
    <phoneticPr fontId="1" type="noConversion"/>
  </si>
  <si>
    <t>看跌期权</t>
    <phoneticPr fontId="1" type="noConversion"/>
  </si>
  <si>
    <t>看涨期权</t>
    <phoneticPr fontId="1" type="noConversion"/>
  </si>
  <si>
    <t>i1805</t>
    <phoneticPr fontId="1" type="noConversion"/>
  </si>
  <si>
    <t>LME20180122-CICC-MRJH-NI-SWP-4</t>
    <phoneticPr fontId="18" type="noConversion"/>
  </si>
  <si>
    <t>rb1810</t>
    <phoneticPr fontId="1" type="noConversion"/>
  </si>
  <si>
    <t>天物国际</t>
    <phoneticPr fontId="1" type="noConversion"/>
  </si>
  <si>
    <t>rb1805</t>
    <phoneticPr fontId="1" type="noConversion"/>
  </si>
  <si>
    <t>看涨期权</t>
    <phoneticPr fontId="1" type="noConversion"/>
  </si>
  <si>
    <t>权利金（每吨）：</t>
    <phoneticPr fontId="1" type="noConversion"/>
  </si>
  <si>
    <t>标的:</t>
    <phoneticPr fontId="1" type="noConversion"/>
  </si>
  <si>
    <t>交易量（吨）：</t>
    <phoneticPr fontId="1" type="noConversion"/>
  </si>
  <si>
    <t>last_trd_date</t>
    <phoneticPr fontId="7" type="noConversion"/>
  </si>
  <si>
    <t>i1809</t>
    <phoneticPr fontId="1" type="noConversion"/>
  </si>
  <si>
    <t>al1808</t>
    <phoneticPr fontId="1" type="noConversion"/>
  </si>
  <si>
    <t>成交回报 - rr1</t>
    <phoneticPr fontId="1" type="noConversion"/>
  </si>
  <si>
    <t>中金公司</t>
  </si>
  <si>
    <t>RMB</t>
    <phoneticPr fontId="1" type="noConversion"/>
  </si>
  <si>
    <t>成交回报(平仓交易)</t>
    <phoneticPr fontId="1" type="noConversion"/>
  </si>
  <si>
    <t>RMB</t>
  </si>
  <si>
    <t xml:space="preserve">    看跌期权 </t>
    <phoneticPr fontId="1" type="noConversion"/>
  </si>
  <si>
    <t>ni1809</t>
    <phoneticPr fontId="1" type="noConversion"/>
  </si>
  <si>
    <t>j1809</t>
  </si>
  <si>
    <t>al1807</t>
    <phoneticPr fontId="1" type="noConversion"/>
  </si>
  <si>
    <t>rb1810</t>
    <phoneticPr fontId="1" type="noConversion"/>
  </si>
  <si>
    <t>3480|3280</t>
  </si>
  <si>
    <t>客户支付</t>
    <phoneticPr fontId="1" type="noConversion"/>
  </si>
  <si>
    <t>rr</t>
    <phoneticPr fontId="1" type="noConversion"/>
  </si>
  <si>
    <t>.</t>
    <phoneticPr fontId="1" type="noConversion"/>
  </si>
  <si>
    <t>c</t>
    <phoneticPr fontId="1" type="noConversion"/>
  </si>
  <si>
    <t>中金买入</t>
    <phoneticPr fontId="1" type="noConversion"/>
  </si>
  <si>
    <t>c</t>
    <phoneticPr fontId="1" type="noConversion"/>
  </si>
  <si>
    <t>中金卖出</t>
    <phoneticPr fontId="1" type="noConversion"/>
  </si>
  <si>
    <t>J1809</t>
  </si>
  <si>
    <t>J1809</t>
    <phoneticPr fontId="1" type="noConversion"/>
  </si>
  <si>
    <t>中金买入</t>
    <phoneticPr fontId="1" type="noConversion"/>
  </si>
  <si>
    <t>i1809</t>
    <phoneticPr fontId="1" type="noConversion"/>
  </si>
  <si>
    <t>ru1809</t>
  </si>
  <si>
    <t>ru1809</t>
    <phoneticPr fontId="1" type="noConversion"/>
  </si>
  <si>
    <t>sc1809</t>
    <phoneticPr fontId="1" type="noConversion"/>
  </si>
  <si>
    <t>ni1809</t>
  </si>
  <si>
    <t>i</t>
    <phoneticPr fontId="1" type="noConversion"/>
  </si>
  <si>
    <t>ru</t>
    <phoneticPr fontId="1" type="noConversion"/>
  </si>
  <si>
    <t>sc</t>
    <phoneticPr fontId="1" type="noConversion"/>
  </si>
  <si>
    <t>al1807</t>
  </si>
  <si>
    <t>al1808</t>
  </si>
  <si>
    <t>中信寰球</t>
    <phoneticPr fontId="1" type="noConversion"/>
  </si>
  <si>
    <t>看跌期权</t>
    <phoneticPr fontId="1" type="noConversion"/>
  </si>
  <si>
    <t>cu1808</t>
  </si>
  <si>
    <t>cu1808</t>
    <phoneticPr fontId="1" type="noConversion"/>
  </si>
  <si>
    <t>52000|52500</t>
  </si>
  <si>
    <t>中金支付</t>
    <phoneticPr fontId="1" type="noConversion"/>
  </si>
  <si>
    <t>中金卖出</t>
    <phoneticPr fontId="1" type="noConversion"/>
  </si>
  <si>
    <t>51070|52000</t>
  </si>
  <si>
    <t>中金买入</t>
    <phoneticPr fontId="1" type="noConversion"/>
  </si>
  <si>
    <t>i1809</t>
  </si>
  <si>
    <t>hc1810</t>
  </si>
  <si>
    <t>中金卖出</t>
    <phoneticPr fontId="1" type="noConversion"/>
  </si>
  <si>
    <t>al1807</t>
    <phoneticPr fontId="1" type="noConversion"/>
  </si>
  <si>
    <t>v1809</t>
  </si>
  <si>
    <t>v1809</t>
    <phoneticPr fontId="1" type="noConversion"/>
  </si>
  <si>
    <t xml:space="preserve">成交回报(平仓) </t>
    <phoneticPr fontId="1" type="noConversion"/>
  </si>
  <si>
    <t>江铜国贸</t>
    <phoneticPr fontId="1" type="noConversion"/>
  </si>
  <si>
    <t>al1809</t>
  </si>
  <si>
    <t>al1809</t>
    <phoneticPr fontId="1" type="noConversion"/>
  </si>
  <si>
    <t>l1809</t>
  </si>
  <si>
    <t>l1809</t>
    <phoneticPr fontId="1" type="noConversion"/>
  </si>
  <si>
    <t>p1809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</si>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</sst>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#,###,##0.0000"/>
    <numFmt numFmtId="177" formatCode="0.0000"/>
    <numFmt numFmtId="178" formatCode="###,###,##0"/>
    <numFmt numFmtId="179" formatCode="###,###,##0.0"/>
    <numFmt numFmtId="180" formatCode="#,##0.0_ "/>
  </numFmts>
  <fonts count="3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42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7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5" fillId="6" borderId="2" xfId="0" applyFont="1" applyFill="1" applyBorder="1"/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10" fillId="6" borderId="0" xfId="0" applyFont="1" applyFill="1"/>
    <xf numFmtId="0" fontId="11" fillId="6" borderId="0" xfId="0" applyFont="1" applyFill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2" fillId="7" borderId="1" xfId="0" applyFont="1" applyFill="1" applyBorder="1"/>
    <xf numFmtId="0" fontId="13" fillId="6" borderId="0" xfId="0" applyFont="1" applyFill="1"/>
    <xf numFmtId="2" fontId="12" fillId="9" borderId="6" xfId="0" applyNumberFormat="1" applyFont="1" applyFill="1" applyBorder="1"/>
    <xf numFmtId="0" fontId="12" fillId="9" borderId="6" xfId="0" applyFont="1" applyFill="1" applyBorder="1"/>
    <xf numFmtId="176" fontId="12" fillId="9" borderId="6" xfId="0" applyNumberFormat="1" applyFont="1" applyFill="1" applyBorder="1"/>
    <xf numFmtId="14" fontId="12" fillId="5" borderId="6" xfId="0" applyNumberFormat="1" applyFont="1" applyFill="1" applyBorder="1"/>
    <xf numFmtId="177" fontId="12" fillId="9" borderId="6" xfId="0" applyNumberFormat="1" applyFont="1" applyFill="1" applyBorder="1"/>
    <xf numFmtId="0" fontId="12" fillId="4" borderId="6" xfId="0" applyFont="1" applyFill="1" applyBorder="1"/>
    <xf numFmtId="0" fontId="12" fillId="8" borderId="6" xfId="0" applyFont="1" applyFill="1" applyBorder="1"/>
    <xf numFmtId="10" fontId="12" fillId="9" borderId="6" xfId="1" applyNumberFormat="1" applyFont="1" applyFill="1" applyBorder="1" applyAlignment="1"/>
    <xf numFmtId="2" fontId="12" fillId="9" borderId="2" xfId="0" applyNumberFormat="1" applyFont="1" applyFill="1" applyBorder="1"/>
    <xf numFmtId="0" fontId="12" fillId="9" borderId="2" xfId="0" applyFont="1" applyFill="1" applyBorder="1"/>
    <xf numFmtId="178" fontId="12" fillId="9" borderId="2" xfId="0" applyNumberFormat="1" applyFont="1" applyFill="1" applyBorder="1"/>
    <xf numFmtId="14" fontId="12" fillId="5" borderId="2" xfId="0" applyNumberFormat="1" applyFont="1" applyFill="1" applyBorder="1"/>
    <xf numFmtId="177" fontId="12" fillId="9" borderId="2" xfId="0" applyNumberFormat="1" applyFont="1" applyFill="1" applyBorder="1"/>
    <xf numFmtId="0" fontId="12" fillId="4" borderId="2" xfId="0" applyFont="1" applyFill="1" applyBorder="1"/>
    <xf numFmtId="0" fontId="12" fillId="8" borderId="2" xfId="0" applyFont="1" applyFill="1" applyBorder="1"/>
    <xf numFmtId="10" fontId="12" fillId="9" borderId="2" xfId="1" applyNumberFormat="1" applyFont="1" applyFill="1" applyBorder="1" applyAlignment="1"/>
    <xf numFmtId="2" fontId="12" fillId="12" borderId="2" xfId="0" applyNumberFormat="1" applyFont="1" applyFill="1" applyBorder="1"/>
    <xf numFmtId="0" fontId="12" fillId="12" borderId="2" xfId="0" applyFont="1" applyFill="1" applyBorder="1"/>
    <xf numFmtId="178" fontId="12" fillId="12" borderId="2" xfId="0" applyNumberFormat="1" applyFont="1" applyFill="1" applyBorder="1"/>
    <xf numFmtId="14" fontId="12" fillId="12" borderId="2" xfId="0" applyNumberFormat="1" applyFont="1" applyFill="1" applyBorder="1"/>
    <xf numFmtId="177" fontId="12" fillId="12" borderId="2" xfId="0" applyNumberFormat="1" applyFont="1" applyFill="1" applyBorder="1"/>
    <xf numFmtId="10" fontId="12" fillId="12" borderId="2" xfId="1" applyNumberFormat="1" applyFont="1" applyFill="1" applyBorder="1" applyAlignment="1"/>
    <xf numFmtId="14" fontId="15" fillId="13" borderId="9" xfId="0" applyNumberFormat="1" applyFont="1" applyFill="1" applyBorder="1" applyAlignment="1">
      <alignment horizontal="right" vertical="center" wrapText="1"/>
    </xf>
    <xf numFmtId="0" fontId="16" fillId="13" borderId="9" xfId="0" applyFont="1" applyFill="1" applyBorder="1" applyAlignment="1">
      <alignment vertical="center" wrapText="1"/>
    </xf>
    <xf numFmtId="0" fontId="15" fillId="13" borderId="9" xfId="0" applyFont="1" applyFill="1" applyBorder="1" applyAlignment="1">
      <alignment vertical="center" wrapText="1"/>
    </xf>
    <xf numFmtId="0" fontId="16" fillId="13" borderId="10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horizontal="right" vertical="center" wrapText="1"/>
    </xf>
    <xf numFmtId="0" fontId="17" fillId="14" borderId="12" xfId="0" applyFont="1" applyFill="1" applyBorder="1" applyAlignment="1">
      <alignment horizontal="right" vertical="center" wrapText="1"/>
    </xf>
    <xf numFmtId="0" fontId="17" fillId="0" borderId="11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10" fontId="17" fillId="0" borderId="11" xfId="0" applyNumberFormat="1" applyFont="1" applyBorder="1" applyAlignment="1">
      <alignment horizontal="right" vertical="center" wrapText="1"/>
    </xf>
    <xf numFmtId="0" fontId="18" fillId="0" borderId="11" xfId="0" applyFont="1" applyBorder="1" applyAlignment="1">
      <alignment horizontal="right" vertical="center" wrapText="1"/>
    </xf>
    <xf numFmtId="10" fontId="17" fillId="0" borderId="12" xfId="0" applyNumberFormat="1" applyFont="1" applyBorder="1" applyAlignment="1">
      <alignment horizontal="right"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18" fillId="0" borderId="12" xfId="0" applyFont="1" applyBorder="1" applyAlignment="1">
      <alignment horizontal="right" vertical="center" wrapText="1"/>
    </xf>
    <xf numFmtId="10" fontId="17" fillId="14" borderId="11" xfId="0" applyNumberFormat="1" applyFont="1" applyFill="1" applyBorder="1" applyAlignment="1">
      <alignment horizontal="right" vertical="center" wrapText="1"/>
    </xf>
    <xf numFmtId="10" fontId="17" fillId="14" borderId="12" xfId="0" applyNumberFormat="1" applyFont="1" applyFill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vertical="center" wrapText="1"/>
    </xf>
    <xf numFmtId="0" fontId="20" fillId="14" borderId="12" xfId="0" applyFont="1" applyFill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14" fontId="5" fillId="9" borderId="0" xfId="0" applyNumberFormat="1" applyFont="1" applyFill="1" applyAlignment="1">
      <alignment horizontal="center"/>
    </xf>
    <xf numFmtId="179" fontId="12" fillId="9" borderId="2" xfId="0" applyNumberFormat="1" applyFont="1" applyFill="1" applyBorder="1"/>
    <xf numFmtId="0" fontId="5" fillId="6" borderId="0" xfId="0" applyFont="1" applyFill="1" applyBorder="1"/>
    <xf numFmtId="0" fontId="14" fillId="6" borderId="15" xfId="0" applyFont="1" applyFill="1" applyBorder="1"/>
    <xf numFmtId="0" fontId="14" fillId="6" borderId="13" xfId="0" applyFont="1" applyFill="1" applyBorder="1"/>
    <xf numFmtId="0" fontId="5" fillId="6" borderId="14" xfId="0" applyFont="1" applyFill="1" applyBorder="1"/>
    <xf numFmtId="2" fontId="5" fillId="9" borderId="0" xfId="0" applyNumberFormat="1" applyFont="1" applyFill="1" applyAlignment="1">
      <alignment horizontal="center"/>
    </xf>
    <xf numFmtId="0" fontId="22" fillId="6" borderId="0" xfId="0" applyFont="1" applyFill="1"/>
    <xf numFmtId="0" fontId="26" fillId="10" borderId="0" xfId="0" applyFont="1" applyFill="1" applyBorder="1" applyAlignment="1">
      <alignment horizontal="left"/>
    </xf>
    <xf numFmtId="0" fontId="25" fillId="10" borderId="0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9" fillId="6" borderId="0" xfId="0" applyFont="1" applyFill="1"/>
    <xf numFmtId="0" fontId="22" fillId="6" borderId="1" xfId="0" applyFont="1" applyFill="1" applyBorder="1"/>
    <xf numFmtId="179" fontId="12" fillId="9" borderId="6" xfId="0" applyNumberFormat="1" applyFont="1" applyFill="1" applyBorder="1"/>
    <xf numFmtId="179" fontId="12" fillId="12" borderId="2" xfId="0" applyNumberFormat="1" applyFont="1" applyFill="1" applyBorder="1"/>
    <xf numFmtId="0" fontId="6" fillId="6" borderId="0" xfId="0" applyFont="1" applyFill="1"/>
    <xf numFmtId="14" fontId="5" fillId="6" borderId="0" xfId="0" applyNumberFormat="1" applyFont="1" applyFill="1"/>
    <xf numFmtId="180" fontId="12" fillId="9" borderId="6" xfId="0" applyNumberFormat="1" applyFont="1" applyFill="1" applyBorder="1"/>
    <xf numFmtId="180" fontId="5" fillId="6" borderId="0" xfId="0" applyNumberFormat="1" applyFont="1" applyFill="1"/>
    <xf numFmtId="0" fontId="8" fillId="0" borderId="4" xfId="0" applyFont="1" applyBorder="1" applyAlignment="1">
      <alignment horizontal="center"/>
    </xf>
    <xf numFmtId="0" fontId="31" fillId="10" borderId="0" xfId="0" applyFont="1" applyFill="1" applyBorder="1" applyAlignment="1">
      <alignment horizontal="left" vertical="center"/>
    </xf>
    <xf numFmtId="0" fontId="32" fillId="10" borderId="3" xfId="0" applyFont="1" applyFill="1" applyBorder="1" applyAlignment="1">
      <alignment horizontal="right" vertical="center"/>
    </xf>
    <xf numFmtId="0" fontId="32" fillId="10" borderId="0" xfId="0" applyFont="1" applyFill="1" applyBorder="1" applyAlignment="1">
      <alignment horizontal="right" vertical="center"/>
    </xf>
    <xf numFmtId="0" fontId="31" fillId="10" borderId="1" xfId="0" applyFont="1" applyFill="1" applyBorder="1" applyAlignment="1">
      <alignment horizontal="left" vertical="center"/>
    </xf>
    <xf numFmtId="0" fontId="32" fillId="10" borderId="5" xfId="0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right" vertical="center"/>
    </xf>
    <xf numFmtId="14" fontId="32" fillId="10" borderId="3" xfId="0" applyNumberFormat="1" applyFont="1" applyFill="1" applyBorder="1" applyAlignment="1">
      <alignment horizontal="right" vertical="center"/>
    </xf>
    <xf numFmtId="0" fontId="31" fillId="10" borderId="16" xfId="0" applyFont="1" applyFill="1" applyBorder="1" applyAlignment="1">
      <alignment horizontal="left" vertical="center"/>
    </xf>
    <xf numFmtId="0" fontId="30" fillId="10" borderId="1" xfId="0" applyFont="1" applyFill="1" applyBorder="1" applyAlignment="1">
      <alignment horizontal="center"/>
    </xf>
    <xf numFmtId="14" fontId="32" fillId="10" borderId="0" xfId="0" applyNumberFormat="1" applyFont="1" applyFill="1" applyBorder="1" applyAlignment="1">
      <alignment horizontal="right" vertical="center"/>
    </xf>
    <xf numFmtId="0" fontId="25" fillId="10" borderId="1" xfId="0" applyFont="1" applyFill="1" applyBorder="1" applyAlignment="1">
      <alignment horizontal="center"/>
    </xf>
    <xf numFmtId="0" fontId="27" fillId="10" borderId="1" xfId="0" applyFont="1" applyFill="1" applyBorder="1" applyAlignment="1">
      <alignment horizontal="left" vertical="center"/>
    </xf>
    <xf numFmtId="0" fontId="28" fillId="10" borderId="5" xfId="0" applyFont="1" applyFill="1" applyBorder="1" applyAlignment="1">
      <alignment horizontal="right" vertical="center"/>
    </xf>
    <xf numFmtId="0" fontId="28" fillId="10" borderId="1" xfId="0" applyFont="1" applyFill="1" applyBorder="1" applyAlignment="1">
      <alignment horizontal="right" vertic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4" fillId="6" borderId="1" xfId="0" applyFont="1" applyFill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51860</v>
        <stp/>
        <stp>cu1808</stp>
        <stp>LastPrice</stp>
        <tr r="P18" s="9"/>
      </tp>
      <tp>
        <v>4980</v>
        <stp/>
        <stp>p1809</stp>
        <stp>LastPrice</stp>
        <tr r="P32" s="1"/>
        <tr r="P31" s="1"/>
      </tp>
      <tp>
        <v>6775</v>
        <stp/>
        <stp>v1809</stp>
        <stp>LastPrice</stp>
        <tr r="P18" s="1"/>
      </tp>
      <tp>
        <v>14460</v>
        <stp/>
        <stp>al1807</stp>
        <stp>LastPrice</stp>
        <tr r="P29" s="1"/>
      </tp>
      <tp>
        <v>14610</v>
        <stp/>
        <stp>al1809</stp>
        <stp>LastPrice</stp>
        <tr r="P20" s="1"/>
        <tr r="P27" s="1"/>
      </tp>
      <tp>
        <v>14535</v>
        <stp/>
        <stp>al1808</stp>
        <stp>LastPrice</stp>
        <tr r="P9" s="1"/>
      </tp>
      <tp>
        <v>470</v>
        <stp/>
        <stp>i1809</stp>
        <stp>LastPrice</stp>
        <tr r="P11" s="9"/>
        <tr r="P21" s="9"/>
        <tr r="P22" s="1"/>
        <tr r="P23" s="1"/>
      </tp>
      <tp>
        <v>3562</v>
        <stp/>
        <stp>rb1810</stp>
        <stp>LastPrice</stp>
        <tr r="P14" s="9"/>
        <tr r="P13" s="1"/>
        <tr r="P14" s="1"/>
      </tp>
      <tp>
        <v>9230</v>
        <stp/>
        <stp>l1809</stp>
        <stp>LastPrice</stp>
        <tr r="P25" s="1"/>
      </tp>
      <tp>
        <v>1938.5</v>
        <stp/>
        <stp>J1809</stp>
        <stp>LastPrice</stp>
        <tr r="P16" s="1"/>
      </tp>
      <tp>
        <v>3890</v>
        <stp/>
        <stp>RB1805</stp>
        <stp>LastPrice</stp>
        <tr r="H8" s="8"/>
        <tr r="H8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R61"/>
  <sheetViews>
    <sheetView topLeftCell="A25" zoomScaleNormal="100" workbookViewId="0">
      <selection activeCell="R66" sqref="R66"/>
    </sheetView>
  </sheetViews>
  <sheetFormatPr defaultColWidth="9" defaultRowHeight="11.25" x14ac:dyDescent="0.15"/>
  <cols>
    <col min="1" max="1" width="9" style="6"/>
    <col min="2" max="2" width="7.5" style="6" bestFit="1" customWidth="1"/>
    <col min="3" max="3" width="6" style="6" bestFit="1" customWidth="1"/>
    <col min="4" max="5" width="8.25" style="6" bestFit="1" customWidth="1"/>
    <col min="6" max="6" width="8.875" style="6" customWidth="1"/>
    <col min="7" max="7" width="4.5" style="6" hidden="1" customWidth="1"/>
    <col min="8" max="8" width="9.75" style="6" hidden="1" customWidth="1"/>
    <col min="9" max="9" width="17" style="6" hidden="1" customWidth="1"/>
    <col min="10" max="10" width="6" style="6" hidden="1" customWidth="1"/>
    <col min="11" max="11" width="10.5" style="6" hidden="1" customWidth="1"/>
    <col min="12" max="12" width="7.5" style="6" hidden="1" customWidth="1"/>
    <col min="13" max="13" width="1.375" style="6" hidden="1" customWidth="1"/>
    <col min="14" max="14" width="9.75" style="6" bestFit="1" customWidth="1"/>
    <col min="15" max="15" width="6" style="6" bestFit="1" customWidth="1"/>
    <col min="16" max="16" width="3.75" style="6" bestFit="1" customWidth="1"/>
    <col min="17" max="17" width="3" style="6" hidden="1" customWidth="1"/>
    <col min="18" max="18" width="7.5" style="6" bestFit="1" customWidth="1"/>
    <col min="19" max="16384" width="9" style="6"/>
  </cols>
  <sheetData>
    <row r="1" spans="2:18" ht="14.25" customHeight="1" thickBot="1" x14ac:dyDescent="0.2">
      <c r="B1" s="116" t="s">
        <v>158</v>
      </c>
      <c r="C1" s="116"/>
      <c r="D1" s="116"/>
    </row>
    <row r="2" spans="2:18" ht="12" thickTop="1" x14ac:dyDescent="0.15"/>
    <row r="3" spans="2:18" ht="13.5" x14ac:dyDescent="0.15">
      <c r="I3" s="112" t="s">
        <v>201</v>
      </c>
    </row>
    <row r="5" spans="2:18" x14ac:dyDescent="0.15">
      <c r="B5" s="91" t="s">
        <v>2</v>
      </c>
      <c r="C5" s="33" t="s">
        <v>181</v>
      </c>
      <c r="D5" s="33" t="s">
        <v>180</v>
      </c>
      <c r="E5" s="33" t="s">
        <v>10</v>
      </c>
      <c r="F5" s="33" t="s">
        <v>184</v>
      </c>
      <c r="G5" s="33" t="s">
        <v>11</v>
      </c>
      <c r="H5" s="33" t="s">
        <v>12</v>
      </c>
      <c r="I5" s="33" t="s">
        <v>47</v>
      </c>
      <c r="J5" s="33" t="s">
        <v>13</v>
      </c>
      <c r="K5" s="33" t="s">
        <v>14</v>
      </c>
      <c r="L5" s="33" t="s">
        <v>26</v>
      </c>
      <c r="M5" s="33" t="s">
        <v>28</v>
      </c>
      <c r="N5" s="33" t="s">
        <v>182</v>
      </c>
      <c r="O5" s="33" t="s">
        <v>8</v>
      </c>
      <c r="P5" s="33" t="s">
        <v>23</v>
      </c>
      <c r="Q5" s="33"/>
      <c r="R5" s="33" t="s">
        <v>30</v>
      </c>
    </row>
    <row r="6" spans="2:18" x14ac:dyDescent="0.15">
      <c r="B6" s="92" t="s">
        <v>160</v>
      </c>
      <c r="C6" s="92" t="s">
        <v>159</v>
      </c>
      <c r="D6" s="93">
        <v>43105</v>
      </c>
      <c r="E6" s="93">
        <v>43135</v>
      </c>
      <c r="F6" s="92">
        <v>3800</v>
      </c>
      <c r="G6" s="92">
        <v>30</v>
      </c>
      <c r="H6" s="92">
        <v>8.2191780821917804E-2</v>
      </c>
      <c r="I6" s="92">
        <v>0</v>
      </c>
      <c r="J6" s="92">
        <v>0.3</v>
      </c>
      <c r="K6" s="92" t="e">
        <v>#VALUE!</v>
      </c>
      <c r="L6" s="92">
        <v>80</v>
      </c>
      <c r="M6" s="92" t="e">
        <v>#N/A</v>
      </c>
      <c r="N6" s="92" t="e">
        <v>#VALUE!</v>
      </c>
      <c r="O6" s="92" t="e">
        <v>#N/A</v>
      </c>
      <c r="P6" s="92" t="s">
        <v>39</v>
      </c>
      <c r="Q6" s="92">
        <v>-1</v>
      </c>
      <c r="R6" s="92" t="s">
        <v>20</v>
      </c>
    </row>
    <row r="7" spans="2:18" x14ac:dyDescent="0.15">
      <c r="B7" s="92" t="s">
        <v>160</v>
      </c>
      <c r="C7" s="92" t="s">
        <v>159</v>
      </c>
      <c r="D7" s="93">
        <v>43105</v>
      </c>
      <c r="E7" s="93">
        <v>43470</v>
      </c>
      <c r="F7" s="92">
        <v>100</v>
      </c>
      <c r="G7" s="92">
        <v>365</v>
      </c>
      <c r="H7" s="92">
        <v>1</v>
      </c>
      <c r="I7" s="92">
        <v>0</v>
      </c>
      <c r="J7" s="92">
        <v>0.18</v>
      </c>
      <c r="K7" s="92">
        <v>7.0292776883103798</v>
      </c>
      <c r="L7" s="92">
        <v>80</v>
      </c>
      <c r="M7" s="92">
        <v>0.8</v>
      </c>
      <c r="N7" s="92">
        <v>6.22927768831038</v>
      </c>
      <c r="O7" s="92">
        <v>100</v>
      </c>
      <c r="P7" s="92" t="s">
        <v>39</v>
      </c>
      <c r="Q7" s="92">
        <v>1</v>
      </c>
      <c r="R7" s="92" t="s">
        <v>151</v>
      </c>
    </row>
    <row r="8" spans="2:18" x14ac:dyDescent="0.15">
      <c r="B8" s="91" t="s">
        <v>2</v>
      </c>
      <c r="C8" s="33" t="s">
        <v>181</v>
      </c>
      <c r="D8" s="33" t="s">
        <v>180</v>
      </c>
      <c r="E8" s="33" t="s">
        <v>10</v>
      </c>
      <c r="F8" s="33" t="s">
        <v>184</v>
      </c>
      <c r="G8" s="33" t="s">
        <v>11</v>
      </c>
      <c r="H8" s="33" t="s">
        <v>12</v>
      </c>
      <c r="I8" s="33" t="s">
        <v>47</v>
      </c>
      <c r="J8" s="33" t="s">
        <v>13</v>
      </c>
      <c r="K8" s="33" t="s">
        <v>14</v>
      </c>
      <c r="L8" s="33" t="s">
        <v>26</v>
      </c>
      <c r="M8" s="33" t="s">
        <v>28</v>
      </c>
      <c r="N8" s="33" t="s">
        <v>182</v>
      </c>
      <c r="O8" s="33" t="s">
        <v>8</v>
      </c>
      <c r="P8" s="33" t="s">
        <v>23</v>
      </c>
      <c r="Q8" s="33"/>
      <c r="R8" s="33" t="s">
        <v>30</v>
      </c>
    </row>
    <row r="9" spans="2:18" x14ac:dyDescent="0.15">
      <c r="B9" s="92" t="s">
        <v>160</v>
      </c>
      <c r="C9" s="92" t="s">
        <v>185</v>
      </c>
      <c r="D9" s="93">
        <v>43119</v>
      </c>
      <c r="E9" s="93">
        <v>43189</v>
      </c>
      <c r="F9" s="92">
        <v>3650</v>
      </c>
      <c r="G9" s="92">
        <v>70</v>
      </c>
      <c r="H9" s="92">
        <v>0.17808219178082191</v>
      </c>
      <c r="I9" s="92">
        <v>0</v>
      </c>
      <c r="J9" s="92">
        <v>0.19</v>
      </c>
      <c r="K9" s="92">
        <v>82.749480015912013</v>
      </c>
      <c r="L9" s="92"/>
      <c r="M9" s="92">
        <v>0</v>
      </c>
      <c r="N9" s="99">
        <v>82.749480015912013</v>
      </c>
      <c r="O9" s="92">
        <v>3728</v>
      </c>
      <c r="P9" s="92" t="s">
        <v>85</v>
      </c>
      <c r="Q9" s="92">
        <v>1</v>
      </c>
      <c r="R9" s="92" t="s">
        <v>151</v>
      </c>
    </row>
    <row r="10" spans="2:18" x14ac:dyDescent="0.15">
      <c r="B10" s="92" t="s">
        <v>160</v>
      </c>
      <c r="C10" s="92" t="s">
        <v>185</v>
      </c>
      <c r="D10" s="93">
        <v>43119</v>
      </c>
      <c r="E10" s="93">
        <v>43189</v>
      </c>
      <c r="F10" s="92">
        <v>3700</v>
      </c>
      <c r="G10" s="92">
        <v>70</v>
      </c>
      <c r="H10" s="92">
        <v>0.17808219178082191</v>
      </c>
      <c r="I10" s="92">
        <v>0</v>
      </c>
      <c r="J10" s="92">
        <v>0.19</v>
      </c>
      <c r="K10" s="92">
        <v>104.91801880194794</v>
      </c>
      <c r="L10" s="92"/>
      <c r="M10" s="92">
        <v>0</v>
      </c>
      <c r="N10" s="99">
        <v>104.91801880194794</v>
      </c>
      <c r="O10" s="92">
        <v>3728</v>
      </c>
      <c r="P10" s="92" t="s">
        <v>85</v>
      </c>
      <c r="Q10" s="92">
        <v>1</v>
      </c>
      <c r="R10" s="92" t="s">
        <v>151</v>
      </c>
    </row>
    <row r="11" spans="2:18" x14ac:dyDescent="0.15">
      <c r="B11" s="92" t="s">
        <v>160</v>
      </c>
      <c r="C11" s="92" t="s">
        <v>185</v>
      </c>
      <c r="D11" s="93">
        <v>43119</v>
      </c>
      <c r="E11" s="93">
        <v>43189</v>
      </c>
      <c r="F11" s="92">
        <v>3750</v>
      </c>
      <c r="G11" s="92">
        <v>70</v>
      </c>
      <c r="H11" s="92">
        <v>0.17808219178082191</v>
      </c>
      <c r="I11" s="92">
        <v>0</v>
      </c>
      <c r="J11" s="92">
        <v>0.19</v>
      </c>
      <c r="K11" s="92">
        <v>130.42375876594815</v>
      </c>
      <c r="L11" s="92"/>
      <c r="M11" s="92">
        <v>0</v>
      </c>
      <c r="N11" s="99">
        <v>130.42375876594815</v>
      </c>
      <c r="O11" s="92">
        <v>3728</v>
      </c>
      <c r="P11" s="92" t="s">
        <v>85</v>
      </c>
      <c r="Q11" s="92">
        <v>1</v>
      </c>
      <c r="R11" s="92" t="s">
        <v>151</v>
      </c>
    </row>
    <row r="12" spans="2:18" x14ac:dyDescent="0.15">
      <c r="B12" s="92"/>
      <c r="C12" s="92"/>
      <c r="D12" s="93"/>
      <c r="E12" s="93"/>
      <c r="F12" s="92"/>
      <c r="G12" s="92"/>
      <c r="H12" s="92"/>
      <c r="I12" s="92"/>
      <c r="J12" s="92"/>
      <c r="K12" s="92"/>
      <c r="L12" s="92"/>
      <c r="M12" s="92"/>
      <c r="N12" s="99"/>
      <c r="O12" s="92"/>
      <c r="P12" s="92"/>
      <c r="Q12" s="92"/>
      <c r="R12" s="92"/>
    </row>
    <row r="13" spans="2:18" x14ac:dyDescent="0.15">
      <c r="B13" s="91" t="s">
        <v>2</v>
      </c>
      <c r="C13" s="33" t="s">
        <v>181</v>
      </c>
      <c r="D13" s="33" t="s">
        <v>180</v>
      </c>
      <c r="E13" s="33" t="s">
        <v>10</v>
      </c>
      <c r="F13" s="33" t="s">
        <v>184</v>
      </c>
      <c r="G13" s="33" t="s">
        <v>11</v>
      </c>
      <c r="H13" s="33" t="s">
        <v>12</v>
      </c>
      <c r="I13" s="33" t="s">
        <v>47</v>
      </c>
      <c r="J13" s="33" t="s">
        <v>13</v>
      </c>
      <c r="K13" s="33" t="s">
        <v>14</v>
      </c>
      <c r="L13" s="33" t="s">
        <v>26</v>
      </c>
      <c r="M13" s="33" t="s">
        <v>28</v>
      </c>
      <c r="N13" s="33" t="s">
        <v>182</v>
      </c>
      <c r="O13" s="33" t="s">
        <v>8</v>
      </c>
      <c r="P13" s="33" t="s">
        <v>23</v>
      </c>
      <c r="Q13" s="33"/>
      <c r="R13" s="33" t="s">
        <v>30</v>
      </c>
    </row>
    <row r="14" spans="2:18" x14ac:dyDescent="0.15">
      <c r="B14" s="92" t="s">
        <v>160</v>
      </c>
      <c r="C14" s="92" t="s">
        <v>185</v>
      </c>
      <c r="D14" s="93">
        <v>43203</v>
      </c>
      <c r="E14" s="93">
        <v>43248</v>
      </c>
      <c r="F14" s="92">
        <v>3138</v>
      </c>
      <c r="G14" s="92">
        <v>45</v>
      </c>
      <c r="H14" s="92">
        <v>0.12328767123287671</v>
      </c>
      <c r="I14" s="92">
        <v>0</v>
      </c>
      <c r="J14" s="92">
        <v>0.27</v>
      </c>
      <c r="K14" s="92">
        <v>-27.730831337650329</v>
      </c>
      <c r="L14" s="92">
        <v>70</v>
      </c>
      <c r="M14" s="92">
        <v>2.9670410958904108</v>
      </c>
      <c r="N14" s="99">
        <v>30.697872433540741</v>
      </c>
      <c r="O14" s="92">
        <v>3438</v>
      </c>
      <c r="P14" s="92" t="s">
        <v>85</v>
      </c>
      <c r="Q14" s="92">
        <v>-1</v>
      </c>
      <c r="R14" s="92" t="s">
        <v>20</v>
      </c>
    </row>
    <row r="15" spans="2:18" x14ac:dyDescent="0.15">
      <c r="B15" s="91" t="s">
        <v>2</v>
      </c>
      <c r="C15" s="33" t="s">
        <v>181</v>
      </c>
      <c r="D15" s="33" t="s">
        <v>180</v>
      </c>
      <c r="E15" s="33" t="s">
        <v>10</v>
      </c>
      <c r="F15" s="33" t="s">
        <v>184</v>
      </c>
      <c r="G15" s="33" t="s">
        <v>11</v>
      </c>
      <c r="H15" s="33" t="s">
        <v>12</v>
      </c>
      <c r="I15" s="33" t="s">
        <v>47</v>
      </c>
      <c r="J15" s="33" t="s">
        <v>13</v>
      </c>
      <c r="K15" s="33" t="s">
        <v>14</v>
      </c>
      <c r="L15" s="33" t="s">
        <v>26</v>
      </c>
      <c r="M15" s="33" t="s">
        <v>28</v>
      </c>
      <c r="N15" s="33" t="s">
        <v>182</v>
      </c>
      <c r="O15" s="33" t="s">
        <v>8</v>
      </c>
      <c r="P15" s="33" t="s">
        <v>23</v>
      </c>
      <c r="Q15" s="33"/>
      <c r="R15" s="33" t="s">
        <v>30</v>
      </c>
    </row>
    <row r="16" spans="2:18" x14ac:dyDescent="0.15">
      <c r="B16" s="92" t="s">
        <v>160</v>
      </c>
      <c r="C16" s="92" t="s">
        <v>211</v>
      </c>
      <c r="D16" s="93">
        <v>43206</v>
      </c>
      <c r="E16" s="93">
        <v>43222</v>
      </c>
      <c r="F16" s="92">
        <v>1780</v>
      </c>
      <c r="G16" s="92">
        <v>15</v>
      </c>
      <c r="H16" s="92">
        <v>3.5616438356164383E-2</v>
      </c>
      <c r="I16" s="92">
        <v>0</v>
      </c>
      <c r="J16" s="92">
        <v>0.25</v>
      </c>
      <c r="K16" s="92">
        <v>13.865015279579325</v>
      </c>
      <c r="L16" s="92"/>
      <c r="M16" s="92">
        <v>0</v>
      </c>
      <c r="N16" s="99">
        <v>13.865015279579325</v>
      </c>
      <c r="O16" s="92">
        <v>1730</v>
      </c>
      <c r="P16" s="92" t="s">
        <v>39</v>
      </c>
      <c r="Q16" s="92">
        <v>1</v>
      </c>
      <c r="R16" s="92" t="s">
        <v>151</v>
      </c>
    </row>
    <row r="17" spans="2:18" x14ac:dyDescent="0.15">
      <c r="B17" s="91" t="s">
        <v>2</v>
      </c>
      <c r="C17" s="33" t="s">
        <v>181</v>
      </c>
      <c r="D17" s="33" t="s">
        <v>180</v>
      </c>
      <c r="E17" s="33" t="s">
        <v>10</v>
      </c>
      <c r="F17" s="33" t="s">
        <v>184</v>
      </c>
      <c r="G17" s="33" t="s">
        <v>11</v>
      </c>
      <c r="H17" s="33" t="s">
        <v>12</v>
      </c>
      <c r="I17" s="33" t="s">
        <v>47</v>
      </c>
      <c r="J17" s="33" t="s">
        <v>13</v>
      </c>
      <c r="K17" s="33" t="s">
        <v>14</v>
      </c>
      <c r="L17" s="33" t="s">
        <v>26</v>
      </c>
      <c r="M17" s="33" t="s">
        <v>28</v>
      </c>
      <c r="N17" s="33" t="s">
        <v>182</v>
      </c>
      <c r="O17" s="33" t="s">
        <v>8</v>
      </c>
      <c r="P17" s="33" t="s">
        <v>23</v>
      </c>
      <c r="Q17" s="33"/>
      <c r="R17" s="33" t="s">
        <v>30</v>
      </c>
    </row>
    <row r="18" spans="2:18" x14ac:dyDescent="0.15">
      <c r="B18" s="92" t="s">
        <v>160</v>
      </c>
      <c r="C18" s="92" t="s">
        <v>185</v>
      </c>
      <c r="D18" s="93">
        <v>43207</v>
      </c>
      <c r="E18" s="93">
        <v>43298</v>
      </c>
      <c r="F18" s="92" t="s">
        <v>214</v>
      </c>
      <c r="G18" s="92">
        <v>91</v>
      </c>
      <c r="H18" s="92">
        <v>0.24931506849315069</v>
      </c>
      <c r="I18" s="92"/>
      <c r="J18" s="92"/>
      <c r="K18" s="92">
        <v>-53.809522931783931</v>
      </c>
      <c r="L18" s="92">
        <v>0</v>
      </c>
      <c r="M18" s="92">
        <v>0</v>
      </c>
      <c r="N18" s="99">
        <v>63</v>
      </c>
      <c r="O18" s="92">
        <v>3422</v>
      </c>
      <c r="P18" s="92" t="s">
        <v>216</v>
      </c>
      <c r="Q18" s="92"/>
      <c r="R18" s="92" t="s">
        <v>215</v>
      </c>
    </row>
    <row r="19" spans="2:18" x14ac:dyDescent="0.15">
      <c r="B19" s="91" t="s">
        <v>2</v>
      </c>
      <c r="C19" s="33" t="s">
        <v>181</v>
      </c>
      <c r="D19" s="33" t="s">
        <v>180</v>
      </c>
      <c r="E19" s="33" t="s">
        <v>10</v>
      </c>
      <c r="F19" s="33" t="s">
        <v>184</v>
      </c>
      <c r="G19" s="33" t="s">
        <v>11</v>
      </c>
      <c r="H19" s="33" t="s">
        <v>12</v>
      </c>
      <c r="I19" s="33" t="s">
        <v>47</v>
      </c>
      <c r="J19" s="33" t="s">
        <v>13</v>
      </c>
      <c r="K19" s="33" t="s">
        <v>14</v>
      </c>
      <c r="L19" s="33" t="s">
        <v>26</v>
      </c>
      <c r="M19" s="33" t="s">
        <v>28</v>
      </c>
      <c r="N19" s="33" t="s">
        <v>182</v>
      </c>
      <c r="O19" s="33" t="s">
        <v>8</v>
      </c>
      <c r="P19" s="33" t="s">
        <v>23</v>
      </c>
      <c r="Q19" s="33"/>
      <c r="R19" s="33" t="s">
        <v>30</v>
      </c>
    </row>
    <row r="20" spans="2:18" x14ac:dyDescent="0.15">
      <c r="B20" s="92" t="s">
        <v>160</v>
      </c>
      <c r="C20" s="92" t="s">
        <v>185</v>
      </c>
      <c r="D20" s="93">
        <v>43207</v>
      </c>
      <c r="E20" s="93">
        <v>43237</v>
      </c>
      <c r="F20" s="92">
        <v>3423</v>
      </c>
      <c r="G20" s="92">
        <v>30</v>
      </c>
      <c r="H20" s="92">
        <v>7.6712328767123292E-2</v>
      </c>
      <c r="I20" s="92">
        <v>0</v>
      </c>
      <c r="J20" s="92">
        <v>0.22</v>
      </c>
      <c r="K20" s="92">
        <v>83.068952073772834</v>
      </c>
      <c r="L20" s="92"/>
      <c r="M20" s="92">
        <v>0</v>
      </c>
      <c r="N20" s="99">
        <v>83.068952073772834</v>
      </c>
      <c r="O20" s="92">
        <v>3423</v>
      </c>
      <c r="P20" s="92" t="s">
        <v>218</v>
      </c>
      <c r="Q20" s="92">
        <v>1</v>
      </c>
      <c r="R20" s="92" t="s">
        <v>219</v>
      </c>
    </row>
    <row r="21" spans="2:18" x14ac:dyDescent="0.15">
      <c r="B21" s="92" t="s">
        <v>160</v>
      </c>
      <c r="C21" s="92" t="s">
        <v>185</v>
      </c>
      <c r="D21" s="93">
        <v>43207</v>
      </c>
      <c r="E21" s="93">
        <v>43237</v>
      </c>
      <c r="F21" s="92">
        <v>3423</v>
      </c>
      <c r="G21" s="92">
        <v>30</v>
      </c>
      <c r="H21" s="92">
        <v>8.2191780821917804E-2</v>
      </c>
      <c r="I21" s="92">
        <v>0</v>
      </c>
      <c r="J21" s="92">
        <v>0.28000000000000003</v>
      </c>
      <c r="K21" s="92">
        <v>-109.41042124359888</v>
      </c>
      <c r="L21" s="92"/>
      <c r="M21" s="92">
        <v>0</v>
      </c>
      <c r="N21" s="99">
        <v>109.41042124359888</v>
      </c>
      <c r="O21" s="92">
        <v>3423</v>
      </c>
      <c r="P21" s="92" t="s">
        <v>220</v>
      </c>
      <c r="Q21" s="92">
        <v>-1</v>
      </c>
      <c r="R21" s="92" t="s">
        <v>221</v>
      </c>
    </row>
    <row r="22" spans="2:18" x14ac:dyDescent="0.15">
      <c r="B22" s="91" t="s">
        <v>2</v>
      </c>
      <c r="C22" s="33" t="s">
        <v>181</v>
      </c>
      <c r="D22" s="33" t="s">
        <v>180</v>
      </c>
      <c r="E22" s="33" t="s">
        <v>10</v>
      </c>
      <c r="F22" s="33" t="s">
        <v>184</v>
      </c>
      <c r="G22" s="33" t="s">
        <v>11</v>
      </c>
      <c r="H22" s="33" t="s">
        <v>12</v>
      </c>
      <c r="I22" s="33" t="s">
        <v>47</v>
      </c>
      <c r="J22" s="33" t="s">
        <v>13</v>
      </c>
      <c r="K22" s="33" t="s">
        <v>14</v>
      </c>
      <c r="L22" s="33" t="s">
        <v>26</v>
      </c>
      <c r="M22" s="33" t="s">
        <v>28</v>
      </c>
      <c r="N22" s="33" t="s">
        <v>182</v>
      </c>
      <c r="O22" s="33" t="s">
        <v>8</v>
      </c>
      <c r="P22" s="33" t="s">
        <v>23</v>
      </c>
      <c r="Q22" s="33"/>
      <c r="R22" s="33" t="s">
        <v>30</v>
      </c>
    </row>
    <row r="23" spans="2:18" x14ac:dyDescent="0.15">
      <c r="B23" s="92" t="s">
        <v>160</v>
      </c>
      <c r="C23" s="92" t="s">
        <v>222</v>
      </c>
      <c r="D23" s="93">
        <v>43207</v>
      </c>
      <c r="E23" s="93">
        <v>43222</v>
      </c>
      <c r="F23" s="92">
        <v>1806</v>
      </c>
      <c r="G23" s="92">
        <v>15</v>
      </c>
      <c r="H23" s="92">
        <v>3.5616438356164383E-2</v>
      </c>
      <c r="I23" s="92">
        <v>0</v>
      </c>
      <c r="J23" s="92">
        <v>0.27</v>
      </c>
      <c r="K23" s="92">
        <v>23.718960380057069</v>
      </c>
      <c r="L23" s="92"/>
      <c r="M23" s="92">
        <v>0</v>
      </c>
      <c r="N23" s="99">
        <v>23.718960380057069</v>
      </c>
      <c r="O23" s="92">
        <v>1777</v>
      </c>
      <c r="P23" s="92" t="s">
        <v>218</v>
      </c>
      <c r="Q23" s="92">
        <v>1</v>
      </c>
      <c r="R23" s="92" t="s">
        <v>224</v>
      </c>
    </row>
    <row r="25" spans="2:18" x14ac:dyDescent="0.15">
      <c r="B25" s="91" t="s">
        <v>2</v>
      </c>
      <c r="C25" s="33" t="s">
        <v>181</v>
      </c>
      <c r="D25" s="33" t="s">
        <v>180</v>
      </c>
      <c r="E25" s="33" t="s">
        <v>10</v>
      </c>
      <c r="F25" s="33" t="s">
        <v>184</v>
      </c>
      <c r="G25" s="33" t="s">
        <v>11</v>
      </c>
      <c r="H25" s="33" t="s">
        <v>12</v>
      </c>
      <c r="I25" s="33" t="s">
        <v>47</v>
      </c>
      <c r="J25" s="33" t="s">
        <v>13</v>
      </c>
      <c r="K25" s="33" t="s">
        <v>14</v>
      </c>
      <c r="L25" s="33" t="s">
        <v>26</v>
      </c>
      <c r="M25" s="33" t="s">
        <v>28</v>
      </c>
      <c r="N25" s="33" t="s">
        <v>182</v>
      </c>
      <c r="O25" s="33" t="s">
        <v>8</v>
      </c>
      <c r="P25" s="33" t="s">
        <v>23</v>
      </c>
      <c r="Q25" s="33"/>
      <c r="R25" s="33" t="s">
        <v>30</v>
      </c>
    </row>
    <row r="26" spans="2:18" x14ac:dyDescent="0.15">
      <c r="B26" s="92" t="s">
        <v>160</v>
      </c>
      <c r="C26" s="92" t="s">
        <v>226</v>
      </c>
      <c r="D26" s="93">
        <v>43207</v>
      </c>
      <c r="E26" s="93">
        <v>43238</v>
      </c>
      <c r="F26" s="92">
        <v>11150</v>
      </c>
      <c r="G26" s="92">
        <v>31</v>
      </c>
      <c r="H26" s="92">
        <v>7.9452054794520555E-2</v>
      </c>
      <c r="I26" s="92">
        <v>0</v>
      </c>
      <c r="J26" s="92">
        <v>0.21</v>
      </c>
      <c r="K26" s="92">
        <v>293.180302984023</v>
      </c>
      <c r="L26" s="92">
        <v>30</v>
      </c>
      <c r="M26" s="92">
        <v>2.643369863013699</v>
      </c>
      <c r="N26" s="99">
        <v>290.53693312100933</v>
      </c>
      <c r="O26" s="92">
        <v>11090</v>
      </c>
      <c r="P26" s="92" t="s">
        <v>85</v>
      </c>
      <c r="Q26" s="92">
        <v>1</v>
      </c>
      <c r="R26" s="92" t="s">
        <v>151</v>
      </c>
    </row>
    <row r="27" spans="2:18" x14ac:dyDescent="0.15">
      <c r="B27" s="91" t="s">
        <v>2</v>
      </c>
      <c r="C27" s="33" t="s">
        <v>181</v>
      </c>
      <c r="D27" s="33" t="s">
        <v>180</v>
      </c>
      <c r="E27" s="33" t="s">
        <v>10</v>
      </c>
      <c r="F27" s="33" t="s">
        <v>184</v>
      </c>
      <c r="G27" s="33" t="s">
        <v>11</v>
      </c>
      <c r="H27" s="33" t="s">
        <v>12</v>
      </c>
      <c r="I27" s="33" t="s">
        <v>47</v>
      </c>
      <c r="J27" s="33" t="s">
        <v>13</v>
      </c>
      <c r="K27" s="33" t="s">
        <v>14</v>
      </c>
      <c r="L27" s="33" t="s">
        <v>26</v>
      </c>
      <c r="M27" s="33" t="s">
        <v>28</v>
      </c>
      <c r="N27" s="33" t="s">
        <v>182</v>
      </c>
      <c r="O27" s="33" t="s">
        <v>8</v>
      </c>
      <c r="P27" s="33" t="s">
        <v>23</v>
      </c>
      <c r="Q27" s="33"/>
      <c r="R27" s="33" t="s">
        <v>30</v>
      </c>
    </row>
    <row r="28" spans="2:18" x14ac:dyDescent="0.15">
      <c r="B28" s="92" t="s">
        <v>160</v>
      </c>
      <c r="C28" s="92" t="s">
        <v>229</v>
      </c>
      <c r="D28" s="93">
        <v>43207</v>
      </c>
      <c r="E28" s="93">
        <v>43223</v>
      </c>
      <c r="F28" s="92">
        <v>109000</v>
      </c>
      <c r="G28" s="92">
        <v>16</v>
      </c>
      <c r="H28" s="92">
        <v>4.3835616438356165E-2</v>
      </c>
      <c r="I28" s="92">
        <v>0</v>
      </c>
      <c r="J28" s="92">
        <v>0.27500000000000002</v>
      </c>
      <c r="K28" s="92">
        <v>-655.63214837387204</v>
      </c>
      <c r="L28" s="92">
        <v>0</v>
      </c>
      <c r="M28" s="92">
        <v>0</v>
      </c>
      <c r="N28" s="99">
        <v>655.63214837387204</v>
      </c>
      <c r="O28" s="92">
        <v>103710</v>
      </c>
      <c r="P28" s="92" t="s">
        <v>39</v>
      </c>
      <c r="Q28" s="92">
        <v>-1</v>
      </c>
      <c r="R28" s="92" t="s">
        <v>20</v>
      </c>
    </row>
    <row r="29" spans="2:18" x14ac:dyDescent="0.15">
      <c r="B29" s="92" t="s">
        <v>160</v>
      </c>
      <c r="C29" s="92" t="s">
        <v>229</v>
      </c>
      <c r="D29" s="93">
        <v>43207</v>
      </c>
      <c r="E29" s="93">
        <v>43223</v>
      </c>
      <c r="F29" s="92">
        <v>109000</v>
      </c>
      <c r="G29" s="92">
        <v>16</v>
      </c>
      <c r="H29" s="92">
        <v>3.8356164383561646E-2</v>
      </c>
      <c r="I29" s="92">
        <v>0</v>
      </c>
      <c r="J29" s="92">
        <v>0.22500000000000001</v>
      </c>
      <c r="K29" s="92">
        <v>399.17046778111762</v>
      </c>
      <c r="L29" s="92">
        <v>0</v>
      </c>
      <c r="M29" s="92">
        <v>0</v>
      </c>
      <c r="N29" s="99">
        <v>399.17046778111762</v>
      </c>
      <c r="O29" s="92">
        <v>104350</v>
      </c>
      <c r="P29" s="92" t="s">
        <v>39</v>
      </c>
      <c r="Q29" s="92">
        <v>1</v>
      </c>
      <c r="R29" s="92" t="s">
        <v>151</v>
      </c>
    </row>
    <row r="31" spans="2:18" x14ac:dyDescent="0.15">
      <c r="B31" s="91" t="s">
        <v>2</v>
      </c>
      <c r="C31" s="33" t="s">
        <v>181</v>
      </c>
      <c r="D31" s="33" t="s">
        <v>180</v>
      </c>
      <c r="E31" s="33" t="s">
        <v>10</v>
      </c>
      <c r="F31" s="33" t="s">
        <v>184</v>
      </c>
      <c r="G31" s="33" t="s">
        <v>11</v>
      </c>
      <c r="H31" s="33" t="s">
        <v>12</v>
      </c>
      <c r="I31" s="33" t="s">
        <v>47</v>
      </c>
      <c r="J31" s="33" t="s">
        <v>13</v>
      </c>
      <c r="K31" s="33" t="s">
        <v>14</v>
      </c>
      <c r="L31" s="33" t="s">
        <v>26</v>
      </c>
      <c r="M31" s="33" t="s">
        <v>28</v>
      </c>
      <c r="N31" s="33" t="s">
        <v>182</v>
      </c>
      <c r="O31" s="33" t="s">
        <v>8</v>
      </c>
      <c r="P31" s="33" t="s">
        <v>23</v>
      </c>
      <c r="Q31" s="33"/>
      <c r="R31" s="33" t="s">
        <v>30</v>
      </c>
    </row>
    <row r="32" spans="2:18" x14ac:dyDescent="0.15">
      <c r="B32" s="92" t="s">
        <v>160</v>
      </c>
      <c r="C32" s="92" t="s">
        <v>233</v>
      </c>
      <c r="D32" s="93">
        <v>43207</v>
      </c>
      <c r="E32" s="93">
        <v>43266</v>
      </c>
      <c r="F32" s="92">
        <v>14500</v>
      </c>
      <c r="G32" s="92">
        <v>59</v>
      </c>
      <c r="H32" s="92">
        <v>0.16164383561643836</v>
      </c>
      <c r="I32" s="92">
        <v>0</v>
      </c>
      <c r="J32" s="92">
        <v>0.19</v>
      </c>
      <c r="K32" s="92">
        <v>-264.86746330633196</v>
      </c>
      <c r="L32" s="92">
        <v>0</v>
      </c>
      <c r="M32" s="92">
        <v>0</v>
      </c>
      <c r="N32" s="99">
        <v>264.86746330633196</v>
      </c>
      <c r="O32" s="92">
        <v>14930</v>
      </c>
      <c r="P32" s="92" t="s">
        <v>85</v>
      </c>
      <c r="Q32" s="92">
        <v>-1</v>
      </c>
      <c r="R32" s="92" t="s">
        <v>20</v>
      </c>
    </row>
    <row r="33" spans="2:18" x14ac:dyDescent="0.15">
      <c r="B33" s="92" t="s">
        <v>160</v>
      </c>
      <c r="C33" s="92" t="s">
        <v>234</v>
      </c>
      <c r="D33" s="93">
        <v>43207</v>
      </c>
      <c r="E33" s="93">
        <v>43294</v>
      </c>
      <c r="F33" s="92">
        <v>14500</v>
      </c>
      <c r="G33" s="92">
        <v>87</v>
      </c>
      <c r="H33" s="92">
        <v>0.23835616438356164</v>
      </c>
      <c r="I33" s="92">
        <v>0</v>
      </c>
      <c r="J33" s="92">
        <v>0.19</v>
      </c>
      <c r="K33" s="92">
        <v>-328.39220787247541</v>
      </c>
      <c r="L33" s="92">
        <v>0</v>
      </c>
      <c r="M33" s="92">
        <v>0</v>
      </c>
      <c r="N33" s="99">
        <v>328.39220787247541</v>
      </c>
      <c r="O33" s="92">
        <v>15005</v>
      </c>
      <c r="P33" s="92" t="s">
        <v>85</v>
      </c>
      <c r="Q33" s="92">
        <v>-1</v>
      </c>
      <c r="R33" s="92" t="s">
        <v>20</v>
      </c>
    </row>
    <row r="34" spans="2:18" x14ac:dyDescent="0.15">
      <c r="B34" s="91" t="s">
        <v>2</v>
      </c>
      <c r="C34" s="33" t="s">
        <v>181</v>
      </c>
      <c r="D34" s="33" t="s">
        <v>180</v>
      </c>
      <c r="E34" s="33" t="s">
        <v>10</v>
      </c>
      <c r="F34" s="33" t="s">
        <v>184</v>
      </c>
      <c r="G34" s="33" t="s">
        <v>11</v>
      </c>
      <c r="H34" s="33" t="s">
        <v>12</v>
      </c>
      <c r="I34" s="33" t="s">
        <v>47</v>
      </c>
      <c r="J34" s="33" t="s">
        <v>13</v>
      </c>
      <c r="K34" s="33" t="s">
        <v>14</v>
      </c>
      <c r="L34" s="33" t="s">
        <v>26</v>
      </c>
      <c r="M34" s="33" t="s">
        <v>28</v>
      </c>
      <c r="N34" s="33" t="s">
        <v>182</v>
      </c>
      <c r="O34" s="33" t="s">
        <v>8</v>
      </c>
      <c r="P34" s="33" t="s">
        <v>23</v>
      </c>
      <c r="Q34" s="33"/>
      <c r="R34" s="33" t="s">
        <v>30</v>
      </c>
    </row>
    <row r="35" spans="2:18" x14ac:dyDescent="0.15">
      <c r="B35" s="92" t="s">
        <v>160</v>
      </c>
      <c r="C35" s="92" t="s">
        <v>237</v>
      </c>
      <c r="D35" s="93">
        <v>43207</v>
      </c>
      <c r="E35" s="93">
        <v>43298</v>
      </c>
      <c r="F35" s="92" t="s">
        <v>239</v>
      </c>
      <c r="G35" s="92">
        <v>91</v>
      </c>
      <c r="H35" s="92">
        <v>0.24931506849315069</v>
      </c>
      <c r="I35" s="92"/>
      <c r="J35" s="92"/>
      <c r="K35" s="92">
        <v>1088.1948889974738</v>
      </c>
      <c r="L35" s="92">
        <v>0</v>
      </c>
      <c r="M35" s="92">
        <v>0</v>
      </c>
      <c r="N35" s="99">
        <v>1088.1948889974738</v>
      </c>
      <c r="O35" s="92">
        <v>51010</v>
      </c>
      <c r="P35" s="92"/>
      <c r="Q35" s="92"/>
      <c r="R35" s="92" t="s">
        <v>240</v>
      </c>
    </row>
    <row r="36" spans="2:18" x14ac:dyDescent="0.15">
      <c r="B36" s="92" t="s">
        <v>160</v>
      </c>
      <c r="C36" s="92" t="s">
        <v>237</v>
      </c>
      <c r="D36" s="93">
        <v>43207</v>
      </c>
      <c r="E36" s="93">
        <v>43298</v>
      </c>
      <c r="F36" s="92">
        <v>52500</v>
      </c>
      <c r="G36" s="92">
        <v>91</v>
      </c>
      <c r="H36" s="92">
        <v>0.24931506849315069</v>
      </c>
      <c r="I36" s="92">
        <v>0</v>
      </c>
      <c r="J36" s="92">
        <v>0.21</v>
      </c>
      <c r="K36" s="92">
        <v>2975.114018289416</v>
      </c>
      <c r="L36" s="92"/>
      <c r="M36" s="92"/>
      <c r="N36" s="99">
        <v>2975.114018289416</v>
      </c>
      <c r="O36" s="92">
        <v>51010</v>
      </c>
      <c r="P36" s="92" t="s">
        <v>85</v>
      </c>
      <c r="Q36" s="92">
        <v>1</v>
      </c>
      <c r="R36" s="92" t="s">
        <v>151</v>
      </c>
    </row>
    <row r="37" spans="2:18" x14ac:dyDescent="0.15">
      <c r="B37" s="92" t="s">
        <v>160</v>
      </c>
      <c r="C37" s="92" t="s">
        <v>237</v>
      </c>
      <c r="D37" s="93">
        <v>43207</v>
      </c>
      <c r="E37" s="93">
        <v>43298</v>
      </c>
      <c r="F37" s="92" t="s">
        <v>239</v>
      </c>
      <c r="G37" s="92">
        <v>91</v>
      </c>
      <c r="H37" s="92">
        <v>0.24931506849315069</v>
      </c>
      <c r="I37" s="92"/>
      <c r="J37" s="92"/>
      <c r="K37" s="92">
        <v>1088.1948889974738</v>
      </c>
      <c r="L37" s="92">
        <v>0</v>
      </c>
      <c r="M37" s="92">
        <v>0</v>
      </c>
      <c r="N37" s="99">
        <v>1088.1948889974738</v>
      </c>
      <c r="O37" s="92">
        <v>51010</v>
      </c>
      <c r="P37" s="92"/>
      <c r="Q37" s="92"/>
      <c r="R37" s="92" t="s">
        <v>151</v>
      </c>
    </row>
    <row r="38" spans="2:18" x14ac:dyDescent="0.15">
      <c r="B38" s="91" t="s">
        <v>2</v>
      </c>
      <c r="C38" s="33" t="s">
        <v>181</v>
      </c>
      <c r="D38" s="33" t="s">
        <v>180</v>
      </c>
      <c r="E38" s="33" t="s">
        <v>10</v>
      </c>
      <c r="F38" s="33" t="s">
        <v>184</v>
      </c>
      <c r="G38" s="33" t="s">
        <v>11</v>
      </c>
      <c r="H38" s="33" t="s">
        <v>12</v>
      </c>
      <c r="I38" s="33" t="s">
        <v>47</v>
      </c>
      <c r="J38" s="33" t="s">
        <v>13</v>
      </c>
      <c r="K38" s="33" t="s">
        <v>14</v>
      </c>
      <c r="L38" s="33" t="s">
        <v>26</v>
      </c>
      <c r="M38" s="33" t="s">
        <v>28</v>
      </c>
      <c r="N38" s="33" t="s">
        <v>182</v>
      </c>
      <c r="O38" s="33" t="s">
        <v>8</v>
      </c>
      <c r="P38" s="33" t="s">
        <v>23</v>
      </c>
      <c r="Q38" s="33"/>
      <c r="R38" s="33" t="s">
        <v>30</v>
      </c>
    </row>
    <row r="39" spans="2:18" x14ac:dyDescent="0.15">
      <c r="B39" s="92" t="s">
        <v>160</v>
      </c>
      <c r="C39" s="92" t="s">
        <v>229</v>
      </c>
      <c r="D39" s="93">
        <v>43207</v>
      </c>
      <c r="E39" s="93">
        <v>43223</v>
      </c>
      <c r="F39" s="92">
        <v>109000</v>
      </c>
      <c r="G39" s="92">
        <v>16</v>
      </c>
      <c r="H39" s="92">
        <v>4.3835616438356165E-2</v>
      </c>
      <c r="I39" s="92">
        <v>0</v>
      </c>
      <c r="J39" s="92">
        <v>0.27500000000000002</v>
      </c>
      <c r="K39" s="92">
        <v>-657.65057545449963</v>
      </c>
      <c r="L39" s="92">
        <v>0</v>
      </c>
      <c r="M39" s="92">
        <v>0</v>
      </c>
      <c r="N39" s="99">
        <v>657.65057545449963</v>
      </c>
      <c r="O39" s="92">
        <v>103720</v>
      </c>
      <c r="P39" s="92" t="s">
        <v>39</v>
      </c>
      <c r="Q39" s="92">
        <v>-1</v>
      </c>
      <c r="R39" s="92" t="s">
        <v>241</v>
      </c>
    </row>
    <row r="41" spans="2:18" x14ac:dyDescent="0.15">
      <c r="B41" s="91" t="s">
        <v>2</v>
      </c>
      <c r="C41" s="33" t="s">
        <v>181</v>
      </c>
      <c r="D41" s="33" t="s">
        <v>180</v>
      </c>
      <c r="E41" s="33" t="s">
        <v>10</v>
      </c>
      <c r="F41" s="33" t="s">
        <v>184</v>
      </c>
      <c r="G41" s="33" t="s">
        <v>11</v>
      </c>
      <c r="H41" s="33" t="s">
        <v>12</v>
      </c>
      <c r="I41" s="33" t="s">
        <v>47</v>
      </c>
      <c r="J41" s="33" t="s">
        <v>13</v>
      </c>
      <c r="K41" s="33" t="s">
        <v>14</v>
      </c>
      <c r="L41" s="33" t="s">
        <v>26</v>
      </c>
      <c r="M41" s="33" t="s">
        <v>28</v>
      </c>
      <c r="N41" s="33" t="s">
        <v>182</v>
      </c>
      <c r="O41" s="33" t="s">
        <v>8</v>
      </c>
      <c r="P41" s="33" t="s">
        <v>23</v>
      </c>
      <c r="Q41" s="33"/>
      <c r="R41" s="33" t="s">
        <v>30</v>
      </c>
    </row>
    <row r="42" spans="2:18" x14ac:dyDescent="0.15">
      <c r="B42" s="92" t="s">
        <v>160</v>
      </c>
      <c r="C42" s="92" t="s">
        <v>237</v>
      </c>
      <c r="D42" s="93">
        <v>43207</v>
      </c>
      <c r="E42" s="93">
        <v>43298</v>
      </c>
      <c r="F42" s="92" t="s">
        <v>242</v>
      </c>
      <c r="G42" s="92">
        <v>91</v>
      </c>
      <c r="H42" s="92">
        <v>0.24931506849315069</v>
      </c>
      <c r="I42" s="92"/>
      <c r="J42" s="92"/>
      <c r="K42" s="92">
        <v>-510.31747254863876</v>
      </c>
      <c r="L42" s="92">
        <v>0</v>
      </c>
      <c r="M42" s="92">
        <v>0</v>
      </c>
      <c r="N42" s="99">
        <v>500</v>
      </c>
      <c r="O42" s="92">
        <v>51070</v>
      </c>
      <c r="P42" s="92"/>
      <c r="Q42" s="92"/>
      <c r="R42" s="92" t="s">
        <v>243</v>
      </c>
    </row>
    <row r="43" spans="2:18" x14ac:dyDescent="0.15">
      <c r="B43" s="92" t="s">
        <v>160</v>
      </c>
      <c r="C43" s="92" t="s">
        <v>237</v>
      </c>
      <c r="D43" s="93">
        <v>43207</v>
      </c>
      <c r="E43" s="93">
        <v>43237</v>
      </c>
      <c r="F43" s="92" t="s">
        <v>242</v>
      </c>
      <c r="G43" s="92">
        <v>30</v>
      </c>
      <c r="H43" s="92">
        <v>8.2191780821917804E-2</v>
      </c>
      <c r="I43" s="92"/>
      <c r="J43" s="92"/>
      <c r="K43" s="92">
        <v>-448.88062608455948</v>
      </c>
      <c r="L43" s="92">
        <v>0</v>
      </c>
      <c r="M43" s="92">
        <v>0</v>
      </c>
      <c r="N43" s="99">
        <v>450</v>
      </c>
      <c r="O43" s="92">
        <v>51070</v>
      </c>
      <c r="P43" s="92"/>
      <c r="Q43" s="92"/>
      <c r="R43" s="92" t="s">
        <v>243</v>
      </c>
    </row>
    <row r="44" spans="2:18" x14ac:dyDescent="0.15">
      <c r="B44" s="91" t="s">
        <v>2</v>
      </c>
      <c r="C44" s="33" t="s">
        <v>181</v>
      </c>
      <c r="D44" s="33" t="s">
        <v>180</v>
      </c>
      <c r="E44" s="33" t="s">
        <v>10</v>
      </c>
      <c r="F44" s="33" t="s">
        <v>184</v>
      </c>
      <c r="G44" s="33" t="s">
        <v>11</v>
      </c>
      <c r="H44" s="33" t="s">
        <v>12</v>
      </c>
      <c r="I44" s="33" t="s">
        <v>47</v>
      </c>
      <c r="J44" s="33" t="s">
        <v>13</v>
      </c>
      <c r="K44" s="33" t="s">
        <v>14</v>
      </c>
      <c r="L44" s="33" t="s">
        <v>26</v>
      </c>
      <c r="M44" s="33" t="s">
        <v>28</v>
      </c>
      <c r="N44" s="33" t="s">
        <v>182</v>
      </c>
      <c r="O44" s="33" t="s">
        <v>8</v>
      </c>
      <c r="P44" s="33" t="s">
        <v>23</v>
      </c>
      <c r="Q44" s="33"/>
      <c r="R44" s="33" t="s">
        <v>30</v>
      </c>
    </row>
    <row r="45" spans="2:18" x14ac:dyDescent="0.15">
      <c r="B45" s="92" t="s">
        <v>160</v>
      </c>
      <c r="C45" s="92" t="s">
        <v>244</v>
      </c>
      <c r="D45" s="93">
        <v>43208</v>
      </c>
      <c r="E45" s="93">
        <v>43312</v>
      </c>
      <c r="F45" s="92">
        <v>450</v>
      </c>
      <c r="G45" s="92">
        <v>104</v>
      </c>
      <c r="H45" s="92">
        <v>0.28493150684931506</v>
      </c>
      <c r="I45" s="92">
        <v>0</v>
      </c>
      <c r="J45" s="92">
        <v>0.32750000000000001</v>
      </c>
      <c r="K45" s="92">
        <v>-30.112166344427351</v>
      </c>
      <c r="L45" s="92">
        <v>0</v>
      </c>
      <c r="M45" s="92">
        <v>0</v>
      </c>
      <c r="N45" s="99">
        <v>30.112166344427351</v>
      </c>
      <c r="O45" s="92">
        <v>448</v>
      </c>
      <c r="P45" s="92" t="s">
        <v>39</v>
      </c>
      <c r="Q45" s="92">
        <v>-1</v>
      </c>
      <c r="R45" s="92" t="s">
        <v>21</v>
      </c>
    </row>
    <row r="46" spans="2:18" x14ac:dyDescent="0.15">
      <c r="B46" s="92" t="s">
        <v>160</v>
      </c>
      <c r="C46" s="92" t="s">
        <v>244</v>
      </c>
      <c r="D46" s="93">
        <v>43208</v>
      </c>
      <c r="E46" s="93">
        <v>43312</v>
      </c>
      <c r="F46" s="92">
        <v>500</v>
      </c>
      <c r="G46" s="92">
        <v>104</v>
      </c>
      <c r="H46" s="92">
        <v>0.28493150684931506</v>
      </c>
      <c r="I46" s="92">
        <v>0</v>
      </c>
      <c r="J46" s="92">
        <v>0.32750000000000001</v>
      </c>
      <c r="K46" s="92">
        <v>-13.223905674796143</v>
      </c>
      <c r="L46" s="92">
        <v>0</v>
      </c>
      <c r="M46" s="92">
        <v>0</v>
      </c>
      <c r="N46" s="99">
        <v>13.223905674796143</v>
      </c>
      <c r="O46" s="92">
        <v>448</v>
      </c>
      <c r="P46" s="92" t="s">
        <v>39</v>
      </c>
      <c r="Q46" s="92">
        <v>-1</v>
      </c>
      <c r="R46" s="92" t="s">
        <v>20</v>
      </c>
    </row>
    <row r="47" spans="2:18" x14ac:dyDescent="0.15">
      <c r="B47" s="92" t="s">
        <v>160</v>
      </c>
      <c r="C47" s="92" t="s">
        <v>244</v>
      </c>
      <c r="D47" s="93">
        <v>43208</v>
      </c>
      <c r="E47" s="93">
        <v>43312</v>
      </c>
      <c r="F47" s="92">
        <v>520</v>
      </c>
      <c r="G47" s="92">
        <v>104</v>
      </c>
      <c r="H47" s="92">
        <v>0.28493150684931506</v>
      </c>
      <c r="I47" s="92">
        <v>0</v>
      </c>
      <c r="J47" s="92">
        <v>0.32750000000000001</v>
      </c>
      <c r="K47" s="92">
        <v>-9.1633708447641737</v>
      </c>
      <c r="L47" s="92">
        <v>0</v>
      </c>
      <c r="M47" s="92">
        <v>0</v>
      </c>
      <c r="N47" s="99">
        <v>9.1633708447641737</v>
      </c>
      <c r="O47" s="92">
        <v>448</v>
      </c>
      <c r="P47" s="92" t="s">
        <v>39</v>
      </c>
      <c r="Q47" s="92">
        <v>-1</v>
      </c>
      <c r="R47" s="92" t="s">
        <v>20</v>
      </c>
    </row>
    <row r="48" spans="2:18" x14ac:dyDescent="0.15">
      <c r="B48" s="91" t="s">
        <v>2</v>
      </c>
      <c r="C48" s="33" t="s">
        <v>181</v>
      </c>
      <c r="D48" s="33" t="s">
        <v>180</v>
      </c>
      <c r="E48" s="33" t="s">
        <v>10</v>
      </c>
      <c r="F48" s="33" t="s">
        <v>184</v>
      </c>
      <c r="G48" s="33" t="s">
        <v>11</v>
      </c>
      <c r="H48" s="33" t="s">
        <v>12</v>
      </c>
      <c r="I48" s="33" t="s">
        <v>47</v>
      </c>
      <c r="J48" s="33" t="s">
        <v>13</v>
      </c>
      <c r="K48" s="33" t="s">
        <v>14</v>
      </c>
      <c r="L48" s="33" t="s">
        <v>26</v>
      </c>
      <c r="M48" s="33" t="s">
        <v>28</v>
      </c>
      <c r="N48" s="33" t="s">
        <v>182</v>
      </c>
      <c r="O48" s="33" t="s">
        <v>8</v>
      </c>
      <c r="P48" s="33" t="s">
        <v>23</v>
      </c>
      <c r="Q48" s="33"/>
      <c r="R48" s="33" t="s">
        <v>30</v>
      </c>
    </row>
    <row r="49" spans="2:18" x14ac:dyDescent="0.15">
      <c r="B49" s="92" t="s">
        <v>160</v>
      </c>
      <c r="C49" s="92" t="s">
        <v>185</v>
      </c>
      <c r="D49" s="93">
        <v>43208</v>
      </c>
      <c r="E49" s="93">
        <v>43238</v>
      </c>
      <c r="F49" s="92">
        <v>3446</v>
      </c>
      <c r="G49" s="92">
        <v>30</v>
      </c>
      <c r="H49" s="92">
        <v>8.2191780821917804E-2</v>
      </c>
      <c r="I49" s="92">
        <v>0</v>
      </c>
      <c r="J49" s="92">
        <v>0.28999999999999998</v>
      </c>
      <c r="K49" s="92">
        <v>-114.07712169744082</v>
      </c>
      <c r="L49" s="92">
        <v>0</v>
      </c>
      <c r="M49" s="92">
        <v>0</v>
      </c>
      <c r="N49" s="99">
        <v>114.07712169744082</v>
      </c>
      <c r="O49" s="92">
        <v>3446</v>
      </c>
      <c r="P49" s="92" t="s">
        <v>39</v>
      </c>
      <c r="Q49" s="92">
        <v>-1</v>
      </c>
      <c r="R49" s="92" t="s">
        <v>246</v>
      </c>
    </row>
    <row r="50" spans="2:18" x14ac:dyDescent="0.15">
      <c r="B50" s="92" t="s">
        <v>160</v>
      </c>
      <c r="C50" s="92" t="s">
        <v>245</v>
      </c>
      <c r="D50" s="93">
        <v>43208</v>
      </c>
      <c r="E50" s="93">
        <v>43238</v>
      </c>
      <c r="F50" s="92">
        <v>3574</v>
      </c>
      <c r="G50" s="92">
        <v>30</v>
      </c>
      <c r="H50" s="92">
        <v>8.2191780821917804E-2</v>
      </c>
      <c r="I50" s="92">
        <v>0</v>
      </c>
      <c r="J50" s="92">
        <v>0.28749999999999998</v>
      </c>
      <c r="K50" s="92">
        <v>-117.29508866199217</v>
      </c>
      <c r="L50" s="92">
        <v>0</v>
      </c>
      <c r="M50" s="92">
        <v>0</v>
      </c>
      <c r="N50" s="99">
        <v>117.29508866199217</v>
      </c>
      <c r="O50" s="92">
        <v>3574</v>
      </c>
      <c r="P50" s="92" t="s">
        <v>39</v>
      </c>
      <c r="Q50" s="92">
        <v>-1</v>
      </c>
      <c r="R50" s="92" t="s">
        <v>20</v>
      </c>
    </row>
    <row r="51" spans="2:18" x14ac:dyDescent="0.15">
      <c r="B51" s="91" t="s">
        <v>2</v>
      </c>
      <c r="C51" s="33" t="s">
        <v>181</v>
      </c>
      <c r="D51" s="33" t="s">
        <v>180</v>
      </c>
      <c r="E51" s="33" t="s">
        <v>10</v>
      </c>
      <c r="F51" s="33" t="s">
        <v>184</v>
      </c>
      <c r="G51" s="33" t="s">
        <v>11</v>
      </c>
      <c r="H51" s="33" t="s">
        <v>12</v>
      </c>
      <c r="I51" s="33" t="s">
        <v>47</v>
      </c>
      <c r="J51" s="33" t="s">
        <v>13</v>
      </c>
      <c r="K51" s="33" t="s">
        <v>14</v>
      </c>
      <c r="L51" s="33" t="s">
        <v>26</v>
      </c>
      <c r="M51" s="33" t="s">
        <v>28</v>
      </c>
      <c r="N51" s="33" t="s">
        <v>182</v>
      </c>
      <c r="O51" s="33" t="s">
        <v>8</v>
      </c>
      <c r="P51" s="33" t="s">
        <v>23</v>
      </c>
      <c r="Q51" s="33"/>
      <c r="R51" s="33" t="s">
        <v>30</v>
      </c>
    </row>
    <row r="52" spans="2:18" x14ac:dyDescent="0.15">
      <c r="B52" s="92" t="s">
        <v>160</v>
      </c>
      <c r="C52" s="92" t="s">
        <v>248</v>
      </c>
      <c r="D52" s="93">
        <v>43210</v>
      </c>
      <c r="E52" s="93">
        <v>43251</v>
      </c>
      <c r="F52" s="92">
        <v>6695</v>
      </c>
      <c r="G52" s="92">
        <v>41</v>
      </c>
      <c r="H52" s="92">
        <v>0.11232876712328767</v>
      </c>
      <c r="I52" s="92">
        <v>0</v>
      </c>
      <c r="J52" s="92">
        <v>0.22</v>
      </c>
      <c r="K52" s="92">
        <v>-196.45124124374433</v>
      </c>
      <c r="L52" s="92">
        <v>70</v>
      </c>
      <c r="M52" s="92">
        <v>5.2642876712328768</v>
      </c>
      <c r="N52" s="99">
        <v>201.7155289149772</v>
      </c>
      <c r="O52" s="92">
        <v>6695</v>
      </c>
      <c r="P52" s="92" t="s">
        <v>85</v>
      </c>
      <c r="Q52" s="92">
        <v>-1</v>
      </c>
      <c r="R52" s="92" t="s">
        <v>21</v>
      </c>
    </row>
    <row r="53" spans="2:18" x14ac:dyDescent="0.15">
      <c r="B53" s="91" t="s">
        <v>2</v>
      </c>
      <c r="C53" s="33" t="s">
        <v>181</v>
      </c>
      <c r="D53" s="33" t="s">
        <v>180</v>
      </c>
      <c r="E53" s="33" t="s">
        <v>10</v>
      </c>
      <c r="F53" s="33" t="s">
        <v>184</v>
      </c>
      <c r="G53" s="33" t="s">
        <v>11</v>
      </c>
      <c r="H53" s="33" t="s">
        <v>12</v>
      </c>
      <c r="I53" s="33" t="s">
        <v>47</v>
      </c>
      <c r="J53" s="33" t="s">
        <v>13</v>
      </c>
      <c r="K53" s="33" t="s">
        <v>14</v>
      </c>
      <c r="L53" s="33" t="s">
        <v>26</v>
      </c>
      <c r="M53" s="33" t="s">
        <v>28</v>
      </c>
      <c r="N53" s="33" t="s">
        <v>182</v>
      </c>
      <c r="O53" s="33" t="s">
        <v>8</v>
      </c>
      <c r="P53" s="33" t="s">
        <v>23</v>
      </c>
      <c r="Q53" s="33"/>
      <c r="R53" s="33" t="s">
        <v>30</v>
      </c>
    </row>
    <row r="54" spans="2:18" x14ac:dyDescent="0.15">
      <c r="B54" s="92" t="s">
        <v>160</v>
      </c>
      <c r="C54" s="92" t="s">
        <v>233</v>
      </c>
      <c r="D54" s="93">
        <v>43210</v>
      </c>
      <c r="E54" s="93">
        <v>43229</v>
      </c>
      <c r="F54" s="92">
        <v>14500</v>
      </c>
      <c r="G54" s="92">
        <v>19</v>
      </c>
      <c r="H54" s="92">
        <v>5.2054794520547946E-2</v>
      </c>
      <c r="I54" s="92">
        <v>0</v>
      </c>
      <c r="J54" s="92">
        <v>0.23</v>
      </c>
      <c r="K54" s="92">
        <v>-120.88623266910145</v>
      </c>
      <c r="L54" s="92"/>
      <c r="M54" s="92">
        <v>0</v>
      </c>
      <c r="N54" s="99">
        <v>120.88623266910145</v>
      </c>
      <c r="O54" s="92">
        <v>15000</v>
      </c>
      <c r="P54" s="92" t="s">
        <v>85</v>
      </c>
      <c r="Q54" s="92">
        <v>-1</v>
      </c>
      <c r="R54" s="92" t="s">
        <v>20</v>
      </c>
    </row>
    <row r="55" spans="2:18" x14ac:dyDescent="0.15">
      <c r="B55" s="92" t="s">
        <v>160</v>
      </c>
      <c r="C55" s="92" t="s">
        <v>233</v>
      </c>
      <c r="D55" s="93">
        <v>43210</v>
      </c>
      <c r="E55" s="93">
        <v>43229</v>
      </c>
      <c r="F55" s="92">
        <v>14700</v>
      </c>
      <c r="G55" s="92">
        <v>19</v>
      </c>
      <c r="H55" s="92">
        <v>5.2054794520547946E-2</v>
      </c>
      <c r="I55" s="92">
        <v>0</v>
      </c>
      <c r="J55" s="92">
        <v>0.23</v>
      </c>
      <c r="K55" s="92">
        <v>-183.40467983816507</v>
      </c>
      <c r="L55" s="92"/>
      <c r="M55" s="92">
        <v>0</v>
      </c>
      <c r="N55" s="99">
        <v>183.40467983816507</v>
      </c>
      <c r="O55" s="92">
        <v>15000</v>
      </c>
      <c r="P55" s="92" t="s">
        <v>85</v>
      </c>
      <c r="Q55" s="92">
        <v>-1</v>
      </c>
      <c r="R55" s="92" t="s">
        <v>20</v>
      </c>
    </row>
    <row r="56" spans="2:18" x14ac:dyDescent="0.15">
      <c r="B56" s="92" t="s">
        <v>160</v>
      </c>
      <c r="C56" s="92" t="s">
        <v>233</v>
      </c>
      <c r="D56" s="93">
        <v>43210</v>
      </c>
      <c r="E56" s="93">
        <v>43229</v>
      </c>
      <c r="F56" s="92">
        <v>14500</v>
      </c>
      <c r="G56" s="92">
        <v>19</v>
      </c>
      <c r="H56" s="92">
        <v>4.6575342465753428E-2</v>
      </c>
      <c r="I56" s="92">
        <v>0</v>
      </c>
      <c r="J56" s="92">
        <v>0.17499999999999999</v>
      </c>
      <c r="K56" s="92">
        <v>56.122563910676035</v>
      </c>
      <c r="L56" s="92"/>
      <c r="M56" s="92">
        <v>0</v>
      </c>
      <c r="N56" s="99">
        <v>56.122563910676035</v>
      </c>
      <c r="O56" s="92">
        <v>15000</v>
      </c>
      <c r="P56" s="92" t="s">
        <v>85</v>
      </c>
      <c r="Q56" s="92">
        <v>1</v>
      </c>
      <c r="R56" s="92" t="s">
        <v>151</v>
      </c>
    </row>
    <row r="57" spans="2:18" x14ac:dyDescent="0.15">
      <c r="B57" s="92" t="s">
        <v>160</v>
      </c>
      <c r="C57" s="92" t="s">
        <v>233</v>
      </c>
      <c r="D57" s="93">
        <v>43210</v>
      </c>
      <c r="E57" s="93">
        <v>43229</v>
      </c>
      <c r="F57" s="92">
        <v>14700</v>
      </c>
      <c r="G57" s="92">
        <v>19</v>
      </c>
      <c r="H57" s="92">
        <v>4.6575342465753428E-2</v>
      </c>
      <c r="I57" s="92">
        <v>0</v>
      </c>
      <c r="J57" s="92">
        <v>0.17499999999999999</v>
      </c>
      <c r="K57" s="92">
        <v>104.89638744610056</v>
      </c>
      <c r="L57" s="92"/>
      <c r="M57" s="92">
        <v>0</v>
      </c>
      <c r="N57" s="99">
        <v>104.89638744610056</v>
      </c>
      <c r="O57" s="92">
        <v>15000</v>
      </c>
      <c r="P57" s="92" t="s">
        <v>85</v>
      </c>
      <c r="Q57" s="92">
        <v>1</v>
      </c>
      <c r="R57" s="92" t="s">
        <v>151</v>
      </c>
    </row>
    <row r="58" spans="2:18" x14ac:dyDescent="0.15">
      <c r="B58" s="91" t="s">
        <v>2</v>
      </c>
      <c r="C58" s="33" t="s">
        <v>181</v>
      </c>
      <c r="D58" s="33" t="s">
        <v>180</v>
      </c>
      <c r="E58" s="33" t="s">
        <v>10</v>
      </c>
      <c r="F58" s="33" t="s">
        <v>184</v>
      </c>
      <c r="G58" s="33" t="s">
        <v>11</v>
      </c>
      <c r="H58" s="33" t="s">
        <v>12</v>
      </c>
      <c r="I58" s="33" t="s">
        <v>47</v>
      </c>
      <c r="J58" s="33" t="s">
        <v>13</v>
      </c>
      <c r="K58" s="33" t="s">
        <v>14</v>
      </c>
      <c r="L58" s="33" t="s">
        <v>26</v>
      </c>
      <c r="M58" s="33" t="s">
        <v>28</v>
      </c>
      <c r="N58" s="33" t="s">
        <v>182</v>
      </c>
      <c r="O58" s="33" t="s">
        <v>8</v>
      </c>
      <c r="P58" s="33" t="s">
        <v>23</v>
      </c>
      <c r="Q58" s="33"/>
      <c r="R58" s="33" t="s">
        <v>30</v>
      </c>
    </row>
    <row r="59" spans="2:18" x14ac:dyDescent="0.15">
      <c r="B59" s="92" t="s">
        <v>160</v>
      </c>
      <c r="C59" s="92" t="s">
        <v>252</v>
      </c>
      <c r="D59" s="93">
        <v>43213</v>
      </c>
      <c r="E59" s="93">
        <v>43304</v>
      </c>
      <c r="F59" s="92">
        <v>12325</v>
      </c>
      <c r="G59" s="92">
        <v>91</v>
      </c>
      <c r="H59" s="92">
        <v>0.24931506849315069</v>
      </c>
      <c r="I59" s="92">
        <v>0</v>
      </c>
      <c r="J59" s="92">
        <v>0.28999999999999998</v>
      </c>
      <c r="K59" s="92">
        <v>-59.359668296693826</v>
      </c>
      <c r="L59" s="92">
        <v>0</v>
      </c>
      <c r="M59" s="92">
        <v>0</v>
      </c>
      <c r="N59" s="99">
        <v>59.359668296693826</v>
      </c>
      <c r="O59" s="92">
        <v>15290</v>
      </c>
      <c r="P59" s="92" t="s">
        <v>85</v>
      </c>
      <c r="Q59" s="92">
        <v>-1</v>
      </c>
      <c r="R59" s="92" t="s">
        <v>20</v>
      </c>
    </row>
    <row r="60" spans="2:18" x14ac:dyDescent="0.15">
      <c r="B60" s="91" t="s">
        <v>2</v>
      </c>
      <c r="C60" s="33" t="s">
        <v>181</v>
      </c>
      <c r="D60" s="33" t="s">
        <v>180</v>
      </c>
      <c r="E60" s="33" t="s">
        <v>10</v>
      </c>
      <c r="F60" s="33" t="s">
        <v>184</v>
      </c>
      <c r="G60" s="33" t="s">
        <v>11</v>
      </c>
      <c r="H60" s="33" t="s">
        <v>12</v>
      </c>
      <c r="I60" s="33" t="s">
        <v>47</v>
      </c>
      <c r="J60" s="33" t="s">
        <v>13</v>
      </c>
      <c r="K60" s="33" t="s">
        <v>14</v>
      </c>
      <c r="L60" s="33" t="s">
        <v>26</v>
      </c>
      <c r="M60" s="33" t="s">
        <v>28</v>
      </c>
      <c r="N60" s="33" t="s">
        <v>182</v>
      </c>
      <c r="O60" s="33" t="s">
        <v>8</v>
      </c>
      <c r="P60" s="33" t="s">
        <v>23</v>
      </c>
      <c r="Q60" s="33"/>
      <c r="R60" s="33" t="s">
        <v>30</v>
      </c>
    </row>
    <row r="61" spans="2:18" x14ac:dyDescent="0.15">
      <c r="B61" s="92" t="s">
        <v>160</v>
      </c>
      <c r="C61" s="92" t="s">
        <v>254</v>
      </c>
      <c r="D61" s="93">
        <v>43214</v>
      </c>
      <c r="E61" s="93">
        <v>43229</v>
      </c>
      <c r="F61" s="92">
        <v>9200</v>
      </c>
      <c r="G61" s="92">
        <v>15</v>
      </c>
      <c r="H61" s="92">
        <v>4.1095890410958902E-2</v>
      </c>
      <c r="I61" s="92">
        <v>0</v>
      </c>
      <c r="J61" s="92">
        <v>0.17199999999999999</v>
      </c>
      <c r="K61" s="92">
        <v>-127.86349852365311</v>
      </c>
      <c r="L61" s="92">
        <v>70</v>
      </c>
      <c r="M61" s="92">
        <v>2.646575342465753</v>
      </c>
      <c r="N61" s="99">
        <v>130.51007386611886</v>
      </c>
      <c r="O61" s="92">
        <v>9200</v>
      </c>
      <c r="P61" s="92" t="s">
        <v>39</v>
      </c>
      <c r="Q61" s="92">
        <v>-1</v>
      </c>
      <c r="R61" s="92" t="s">
        <v>20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49"/>
  <sheetViews>
    <sheetView topLeftCell="D1" zoomScale="115" zoomScaleNormal="115" workbookViewId="0">
      <pane ySplit="17" topLeftCell="A24" activePane="bottomLeft" state="frozen"/>
      <selection pane="bottomLeft" activeCell="L37" sqref="L37:M37"/>
    </sheetView>
  </sheetViews>
  <sheetFormatPr defaultColWidth="9" defaultRowHeight="10.5" x14ac:dyDescent="0.15"/>
  <cols>
    <col min="1" max="3" width="9" style="100"/>
    <col min="4" max="4" width="9" style="100" customWidth="1"/>
    <col min="5" max="7" width="9" style="100"/>
    <col min="8" max="8" width="9.625" style="100" customWidth="1"/>
    <col min="9" max="9" width="9" style="100"/>
    <col min="10" max="10" width="9.25" style="100" customWidth="1"/>
    <col min="11" max="16384" width="9" style="100"/>
  </cols>
  <sheetData>
    <row r="1" spans="2:20" ht="11.25" thickBot="1" x14ac:dyDescent="0.2">
      <c r="B1" s="136" t="s">
        <v>118</v>
      </c>
      <c r="C1" s="136"/>
    </row>
    <row r="2" spans="2:20" ht="11.25" thickTop="1" x14ac:dyDescent="0.15"/>
    <row r="3" spans="2:20" ht="11.25" thickBot="1" x14ac:dyDescent="0.2">
      <c r="B3" s="135" t="s">
        <v>119</v>
      </c>
      <c r="C3" s="135"/>
      <c r="D3" s="135"/>
      <c r="E3" s="135"/>
      <c r="G3" s="134" t="s">
        <v>120</v>
      </c>
      <c r="H3" s="134"/>
      <c r="I3" s="134"/>
      <c r="J3" s="134"/>
      <c r="L3" s="135" t="s">
        <v>165</v>
      </c>
      <c r="M3" s="135"/>
      <c r="N3" s="135"/>
      <c r="O3" s="135"/>
      <c r="Q3" s="134" t="s">
        <v>166</v>
      </c>
      <c r="R3" s="134"/>
      <c r="S3" s="134"/>
      <c r="T3" s="134"/>
    </row>
    <row r="4" spans="2:20" ht="12" thickTop="1" thickBot="1" x14ac:dyDescent="0.2">
      <c r="B4" s="127" t="s">
        <v>121</v>
      </c>
      <c r="C4" s="127"/>
      <c r="D4" s="127"/>
      <c r="E4" s="127"/>
      <c r="G4" s="127" t="s">
        <v>34</v>
      </c>
      <c r="H4" s="127"/>
      <c r="I4" s="127"/>
      <c r="J4" s="127"/>
      <c r="L4" s="127" t="s">
        <v>121</v>
      </c>
      <c r="M4" s="127"/>
      <c r="N4" s="127"/>
      <c r="O4" s="127"/>
      <c r="Q4" s="127" t="s">
        <v>34</v>
      </c>
      <c r="R4" s="127"/>
      <c r="S4" s="127"/>
      <c r="T4" s="127"/>
    </row>
    <row r="5" spans="2:20" ht="15" customHeight="1" thickTop="1" x14ac:dyDescent="0.15">
      <c r="B5" s="131" t="s">
        <v>122</v>
      </c>
      <c r="C5" s="131"/>
      <c r="D5" s="137"/>
      <c r="E5" s="138"/>
      <c r="G5" s="131" t="s">
        <v>123</v>
      </c>
      <c r="H5" s="131"/>
      <c r="I5" s="103"/>
      <c r="J5" s="104"/>
      <c r="L5" s="101" t="s">
        <v>122</v>
      </c>
      <c r="M5" s="102"/>
      <c r="N5" s="103"/>
      <c r="O5" s="104"/>
      <c r="Q5" s="131" t="s">
        <v>123</v>
      </c>
      <c r="R5" s="131"/>
      <c r="S5" s="103"/>
      <c r="T5" s="104"/>
    </row>
    <row r="6" spans="2:20" x14ac:dyDescent="0.15">
      <c r="B6" s="131" t="s">
        <v>124</v>
      </c>
      <c r="C6" s="131"/>
      <c r="D6" s="132" t="s">
        <v>125</v>
      </c>
      <c r="E6" s="133"/>
      <c r="G6" s="131" t="s">
        <v>126</v>
      </c>
      <c r="H6" s="131"/>
      <c r="I6" s="132"/>
      <c r="J6" s="133"/>
      <c r="L6" s="131" t="s">
        <v>124</v>
      </c>
      <c r="M6" s="131"/>
      <c r="N6" s="132" t="s">
        <v>125</v>
      </c>
      <c r="O6" s="133"/>
      <c r="Q6" s="131" t="s">
        <v>126</v>
      </c>
      <c r="R6" s="131"/>
      <c r="S6" s="132"/>
      <c r="T6" s="133"/>
    </row>
    <row r="7" spans="2:20" ht="2.25" customHeight="1" x14ac:dyDescent="0.15">
      <c r="B7" s="131" t="s">
        <v>127</v>
      </c>
      <c r="C7" s="131"/>
      <c r="D7" s="132" t="s">
        <v>125</v>
      </c>
      <c r="E7" s="133"/>
      <c r="G7" s="131" t="s">
        <v>128</v>
      </c>
      <c r="H7" s="131"/>
      <c r="I7" s="132"/>
      <c r="J7" s="133"/>
      <c r="L7" s="131" t="s">
        <v>127</v>
      </c>
      <c r="M7" s="131"/>
      <c r="N7" s="132" t="s">
        <v>125</v>
      </c>
      <c r="O7" s="133"/>
      <c r="Q7" s="131" t="s">
        <v>128</v>
      </c>
      <c r="R7" s="131"/>
      <c r="S7" s="132"/>
      <c r="T7" s="133"/>
    </row>
    <row r="8" spans="2:20" hidden="1" x14ac:dyDescent="0.15">
      <c r="B8" s="131" t="s">
        <v>129</v>
      </c>
      <c r="C8" s="131"/>
      <c r="D8" s="132">
        <f>D13*D15</f>
        <v>305000</v>
      </c>
      <c r="E8" s="133"/>
      <c r="G8" s="131" t="s">
        <v>130</v>
      </c>
      <c r="H8" s="131"/>
      <c r="I8" s="132"/>
      <c r="J8" s="133"/>
      <c r="L8" s="131" t="s">
        <v>129</v>
      </c>
      <c r="M8" s="131"/>
      <c r="N8" s="132">
        <f>N14*N16</f>
        <v>305000</v>
      </c>
      <c r="O8" s="133"/>
      <c r="Q8" s="131" t="s">
        <v>130</v>
      </c>
      <c r="R8" s="131"/>
      <c r="S8" s="132"/>
      <c r="T8" s="133"/>
    </row>
    <row r="9" spans="2:20" hidden="1" x14ac:dyDescent="0.15">
      <c r="B9" s="131" t="s">
        <v>131</v>
      </c>
      <c r="C9" s="131"/>
      <c r="D9" s="132" t="s">
        <v>132</v>
      </c>
      <c r="E9" s="133"/>
      <c r="G9" s="131" t="s">
        <v>133</v>
      </c>
      <c r="H9" s="131"/>
      <c r="I9" s="132"/>
      <c r="J9" s="133"/>
      <c r="L9" s="131" t="s">
        <v>131</v>
      </c>
      <c r="M9" s="131"/>
      <c r="N9" s="132" t="s">
        <v>132</v>
      </c>
      <c r="O9" s="133"/>
      <c r="Q9" s="131" t="s">
        <v>133</v>
      </c>
      <c r="R9" s="131"/>
      <c r="S9" s="132"/>
      <c r="T9" s="133"/>
    </row>
    <row r="10" spans="2:20" hidden="1" x14ac:dyDescent="0.15">
      <c r="B10" s="131" t="s">
        <v>134</v>
      </c>
      <c r="C10" s="131"/>
      <c r="D10" s="132">
        <v>43084</v>
      </c>
      <c r="E10" s="133"/>
      <c r="G10" s="105" t="s">
        <v>135</v>
      </c>
      <c r="H10" s="105"/>
      <c r="I10" s="132"/>
      <c r="J10" s="133"/>
      <c r="L10" s="131" t="s">
        <v>134</v>
      </c>
      <c r="M10" s="131"/>
      <c r="N10" s="132">
        <v>43084</v>
      </c>
      <c r="O10" s="133"/>
      <c r="Q10" s="105" t="s">
        <v>135</v>
      </c>
      <c r="R10" s="105"/>
      <c r="S10" s="132"/>
      <c r="T10" s="133"/>
    </row>
    <row r="11" spans="2:20" hidden="1" x14ac:dyDescent="0.15">
      <c r="B11" s="131" t="s">
        <v>136</v>
      </c>
      <c r="C11" s="131"/>
      <c r="D11" s="132">
        <v>3935</v>
      </c>
      <c r="E11" s="133"/>
      <c r="G11" s="131" t="s">
        <v>137</v>
      </c>
      <c r="H11" s="131"/>
      <c r="I11" s="132"/>
      <c r="J11" s="133"/>
      <c r="L11" s="131" t="s">
        <v>136</v>
      </c>
      <c r="M11" s="131"/>
      <c r="N11" s="132">
        <v>3935</v>
      </c>
      <c r="O11" s="133"/>
      <c r="Q11" s="131" t="s">
        <v>137</v>
      </c>
      <c r="R11" s="131"/>
      <c r="S11" s="132"/>
      <c r="T11" s="133"/>
    </row>
    <row r="12" spans="2:20" hidden="1" x14ac:dyDescent="0.15">
      <c r="B12" s="131" t="s">
        <v>138</v>
      </c>
      <c r="C12" s="131"/>
      <c r="D12" s="132">
        <v>3800</v>
      </c>
      <c r="E12" s="133"/>
      <c r="G12" s="131" t="s">
        <v>139</v>
      </c>
      <c r="H12" s="131"/>
      <c r="I12" s="132"/>
      <c r="J12" s="133"/>
      <c r="L12" s="131" t="s">
        <v>163</v>
      </c>
      <c r="M12" s="131"/>
      <c r="N12" s="132">
        <v>3800</v>
      </c>
      <c r="O12" s="133"/>
      <c r="Q12" s="131" t="s">
        <v>167</v>
      </c>
      <c r="R12" s="131"/>
      <c r="S12" s="132"/>
      <c r="T12" s="133"/>
    </row>
    <row r="13" spans="2:20" hidden="1" x14ac:dyDescent="0.15">
      <c r="B13" s="131" t="s">
        <v>140</v>
      </c>
      <c r="C13" s="131"/>
      <c r="D13" s="132">
        <v>61</v>
      </c>
      <c r="E13" s="133"/>
      <c r="G13" s="131" t="s">
        <v>141</v>
      </c>
      <c r="H13" s="131"/>
      <c r="I13" s="132"/>
      <c r="J13" s="133"/>
      <c r="L13" s="131" t="s">
        <v>164</v>
      </c>
      <c r="M13" s="131"/>
      <c r="N13" s="132">
        <v>3800</v>
      </c>
      <c r="O13" s="133"/>
      <c r="Q13" s="131" t="s">
        <v>168</v>
      </c>
      <c r="R13" s="131"/>
      <c r="S13" s="132"/>
      <c r="T13" s="133"/>
    </row>
    <row r="14" spans="2:20" hidden="1" x14ac:dyDescent="0.15">
      <c r="B14" s="131" t="s">
        <v>142</v>
      </c>
      <c r="C14" s="131"/>
      <c r="D14" s="132" t="s">
        <v>143</v>
      </c>
      <c r="E14" s="133"/>
      <c r="G14" s="131" t="s">
        <v>144</v>
      </c>
      <c r="H14" s="131"/>
      <c r="I14" s="106"/>
      <c r="J14" s="107"/>
      <c r="L14" s="131" t="s">
        <v>140</v>
      </c>
      <c r="M14" s="131"/>
      <c r="N14" s="132">
        <v>61</v>
      </c>
      <c r="O14" s="133"/>
      <c r="Q14" s="131" t="s">
        <v>141</v>
      </c>
      <c r="R14" s="131"/>
      <c r="S14" s="132"/>
      <c r="T14" s="133"/>
    </row>
    <row r="15" spans="2:20" hidden="1" x14ac:dyDescent="0.15">
      <c r="B15" s="131" t="s">
        <v>145</v>
      </c>
      <c r="C15" s="131"/>
      <c r="D15" s="132">
        <v>5000</v>
      </c>
      <c r="E15" s="133"/>
      <c r="G15" s="131" t="s">
        <v>146</v>
      </c>
      <c r="H15" s="131"/>
      <c r="I15" s="132"/>
      <c r="J15" s="133"/>
      <c r="L15" s="131" t="s">
        <v>142</v>
      </c>
      <c r="M15" s="131"/>
      <c r="N15" s="132" t="s">
        <v>143</v>
      </c>
      <c r="O15" s="133"/>
      <c r="Q15" s="131" t="s">
        <v>144</v>
      </c>
      <c r="R15" s="131"/>
      <c r="S15" s="106"/>
      <c r="T15" s="107"/>
    </row>
    <row r="16" spans="2:20" ht="11.25" hidden="1" thickBot="1" x14ac:dyDescent="0.2">
      <c r="B16" s="128" t="s">
        <v>147</v>
      </c>
      <c r="C16" s="128"/>
      <c r="D16" s="129" t="s">
        <v>148</v>
      </c>
      <c r="E16" s="130"/>
      <c r="G16" s="128" t="s">
        <v>149</v>
      </c>
      <c r="H16" s="128"/>
      <c r="I16" s="129"/>
      <c r="J16" s="130"/>
      <c r="L16" s="131" t="s">
        <v>145</v>
      </c>
      <c r="M16" s="131"/>
      <c r="N16" s="132">
        <v>5000</v>
      </c>
      <c r="O16" s="133"/>
      <c r="Q16" s="131" t="s">
        <v>146</v>
      </c>
      <c r="R16" s="131"/>
      <c r="S16" s="132"/>
      <c r="T16" s="133"/>
    </row>
    <row r="17" spans="2:25" ht="12" hidden="1" thickTop="1" thickBot="1" x14ac:dyDescent="0.2">
      <c r="L17" s="128" t="s">
        <v>147</v>
      </c>
      <c r="M17" s="128"/>
      <c r="N17" s="129" t="s">
        <v>148</v>
      </c>
      <c r="O17" s="130"/>
      <c r="Q17" s="128" t="s">
        <v>149</v>
      </c>
      <c r="R17" s="128"/>
      <c r="S17" s="129"/>
      <c r="T17" s="130"/>
    </row>
    <row r="19" spans="2:25" x14ac:dyDescent="0.15">
      <c r="B19" s="108" t="s">
        <v>150</v>
      </c>
    </row>
    <row r="21" spans="2:25" ht="11.25" thickBot="1" x14ac:dyDescent="0.2">
      <c r="B21" s="109"/>
      <c r="C21" s="109"/>
      <c r="D21" s="109"/>
      <c r="E21" s="109"/>
      <c r="G21" s="109"/>
      <c r="H21" s="109"/>
      <c r="I21" s="109"/>
      <c r="J21" s="109"/>
      <c r="L21" s="109"/>
      <c r="M21" s="109"/>
      <c r="N21" s="109"/>
      <c r="O21" s="109"/>
      <c r="Q21" s="109"/>
      <c r="R21" s="109"/>
      <c r="S21" s="109"/>
      <c r="T21" s="109"/>
      <c r="V21" s="109"/>
      <c r="W21" s="109"/>
      <c r="X21" s="109"/>
      <c r="Y21" s="109"/>
    </row>
    <row r="22" spans="2:25" ht="12.75" thickTop="1" thickBot="1" x14ac:dyDescent="0.2">
      <c r="B22" s="125" t="s">
        <v>250</v>
      </c>
      <c r="C22" s="125"/>
      <c r="D22" s="125"/>
      <c r="E22" s="125"/>
      <c r="G22" s="125" t="s">
        <v>189</v>
      </c>
      <c r="H22" s="125"/>
      <c r="I22" s="125"/>
      <c r="J22" s="125"/>
      <c r="L22" s="127" t="s">
        <v>189</v>
      </c>
      <c r="M22" s="127"/>
      <c r="N22" s="127"/>
      <c r="O22" s="127"/>
      <c r="Q22" s="125" t="s">
        <v>188</v>
      </c>
      <c r="R22" s="125"/>
      <c r="S22" s="125"/>
      <c r="T22" s="125"/>
      <c r="V22" s="127" t="s">
        <v>189</v>
      </c>
      <c r="W22" s="127"/>
      <c r="X22" s="127"/>
      <c r="Y22" s="127"/>
    </row>
    <row r="23" spans="2:25" ht="12" thickTop="1" x14ac:dyDescent="0.15">
      <c r="B23" s="117" t="s">
        <v>122</v>
      </c>
      <c r="C23" s="117"/>
      <c r="D23" s="123">
        <v>43209</v>
      </c>
      <c r="E23" s="126"/>
      <c r="G23" s="117" t="s">
        <v>122</v>
      </c>
      <c r="H23" s="117"/>
      <c r="I23" s="123">
        <f ca="1">TODAY()</f>
        <v>43214</v>
      </c>
      <c r="J23" s="126"/>
      <c r="L23" s="117" t="s">
        <v>122</v>
      </c>
      <c r="M23" s="117"/>
      <c r="N23" s="123">
        <f ca="1">TODAY()</f>
        <v>43214</v>
      </c>
      <c r="O23" s="126"/>
      <c r="Q23" s="117" t="s">
        <v>122</v>
      </c>
      <c r="R23" s="117"/>
      <c r="S23" s="123">
        <f ca="1">TODAY()-1</f>
        <v>43213</v>
      </c>
      <c r="T23" s="126"/>
      <c r="V23" s="117" t="s">
        <v>122</v>
      </c>
      <c r="W23" s="117"/>
      <c r="X23" s="123">
        <f ca="1">TODAY()-1</f>
        <v>43213</v>
      </c>
      <c r="Y23" s="126"/>
    </row>
    <row r="24" spans="2:25" ht="11.25" x14ac:dyDescent="0.15">
      <c r="B24" s="117" t="s">
        <v>124</v>
      </c>
      <c r="C24" s="117"/>
      <c r="D24" s="118" t="s">
        <v>186</v>
      </c>
      <c r="E24" s="119"/>
      <c r="G24" s="117" t="s">
        <v>124</v>
      </c>
      <c r="H24" s="117"/>
      <c r="I24" s="118" t="s">
        <v>186</v>
      </c>
      <c r="J24" s="119"/>
      <c r="L24" s="117" t="s">
        <v>124</v>
      </c>
      <c r="M24" s="117"/>
      <c r="N24" s="118" t="s">
        <v>36</v>
      </c>
      <c r="O24" s="119"/>
      <c r="Q24" s="117" t="s">
        <v>124</v>
      </c>
      <c r="R24" s="117"/>
      <c r="S24" s="118" t="s">
        <v>36</v>
      </c>
      <c r="T24" s="119"/>
      <c r="V24" s="117" t="s">
        <v>124</v>
      </c>
      <c r="W24" s="117"/>
      <c r="X24" s="118" t="s">
        <v>36</v>
      </c>
      <c r="Y24" s="119"/>
    </row>
    <row r="25" spans="2:25" ht="11.25" x14ac:dyDescent="0.15">
      <c r="B25" s="117" t="s">
        <v>127</v>
      </c>
      <c r="C25" s="117"/>
      <c r="D25" s="118" t="s">
        <v>251</v>
      </c>
      <c r="E25" s="119"/>
      <c r="G25" s="117" t="s">
        <v>127</v>
      </c>
      <c r="H25" s="117"/>
      <c r="I25" s="118" t="s">
        <v>5</v>
      </c>
      <c r="J25" s="119"/>
      <c r="L25" s="117" t="s">
        <v>127</v>
      </c>
      <c r="M25" s="117"/>
      <c r="N25" s="118" t="s">
        <v>195</v>
      </c>
      <c r="O25" s="119"/>
      <c r="Q25" s="117" t="s">
        <v>127</v>
      </c>
      <c r="R25" s="117"/>
      <c r="S25" s="118" t="s">
        <v>187</v>
      </c>
      <c r="T25" s="119"/>
      <c r="V25" s="117" t="s">
        <v>127</v>
      </c>
      <c r="W25" s="117"/>
      <c r="X25" s="118" t="s">
        <v>187</v>
      </c>
      <c r="Y25" s="119"/>
    </row>
    <row r="26" spans="2:25" ht="11.25" x14ac:dyDescent="0.15">
      <c r="B26" s="117" t="s">
        <v>129</v>
      </c>
      <c r="C26" s="117"/>
      <c r="D26" s="118">
        <f>D31*D33</f>
        <v>290000</v>
      </c>
      <c r="E26" s="119"/>
      <c r="G26" s="117" t="s">
        <v>179</v>
      </c>
      <c r="H26" s="117"/>
      <c r="I26" s="118">
        <f>I31*I33</f>
        <v>271800</v>
      </c>
      <c r="J26" s="119"/>
      <c r="L26" s="117" t="s">
        <v>129</v>
      </c>
      <c r="M26" s="117"/>
      <c r="N26" s="118">
        <f>N31*N33</f>
        <v>275000</v>
      </c>
      <c r="O26" s="119"/>
      <c r="Q26" s="117" t="s">
        <v>129</v>
      </c>
      <c r="R26" s="117"/>
      <c r="S26" s="118">
        <f>S31*S33</f>
        <v>235799.99999999997</v>
      </c>
      <c r="T26" s="119"/>
      <c r="V26" s="117" t="s">
        <v>129</v>
      </c>
      <c r="W26" s="117"/>
      <c r="X26" s="118">
        <f>X31*X33</f>
        <v>235799.99999999997</v>
      </c>
      <c r="Y26" s="119"/>
    </row>
    <row r="27" spans="2:25" ht="11.25" x14ac:dyDescent="0.15">
      <c r="B27" s="117" t="s">
        <v>131</v>
      </c>
      <c r="C27" s="117"/>
      <c r="D27" s="118" t="s">
        <v>191</v>
      </c>
      <c r="E27" s="119"/>
      <c r="F27" s="100">
        <f>1160*250</f>
        <v>290000</v>
      </c>
      <c r="G27" s="117" t="s">
        <v>131</v>
      </c>
      <c r="H27" s="117"/>
      <c r="I27" s="118" t="s">
        <v>197</v>
      </c>
      <c r="J27" s="119"/>
      <c r="L27" s="117" t="s">
        <v>131</v>
      </c>
      <c r="M27" s="117"/>
      <c r="N27" s="118" t="s">
        <v>190</v>
      </c>
      <c r="O27" s="119"/>
      <c r="Q27" s="117" t="s">
        <v>131</v>
      </c>
      <c r="R27" s="117"/>
      <c r="S27" s="118" t="s">
        <v>191</v>
      </c>
      <c r="T27" s="119"/>
      <c r="V27" s="117" t="s">
        <v>131</v>
      </c>
      <c r="W27" s="117"/>
      <c r="X27" s="118" t="s">
        <v>190</v>
      </c>
      <c r="Y27" s="119"/>
    </row>
    <row r="28" spans="2:25" ht="11.25" x14ac:dyDescent="0.15">
      <c r="B28" s="117" t="s">
        <v>134</v>
      </c>
      <c r="C28" s="117"/>
      <c r="D28" s="123">
        <v>43222</v>
      </c>
      <c r="E28" s="119"/>
      <c r="G28" s="117" t="s">
        <v>134</v>
      </c>
      <c r="H28" s="117"/>
      <c r="I28" s="123">
        <v>43182</v>
      </c>
      <c r="J28" s="119"/>
      <c r="L28" s="117" t="s">
        <v>134</v>
      </c>
      <c r="M28" s="117"/>
      <c r="N28" s="123">
        <v>43219</v>
      </c>
      <c r="O28" s="119"/>
      <c r="Q28" s="117" t="s">
        <v>134</v>
      </c>
      <c r="R28" s="117"/>
      <c r="S28" s="123">
        <v>43201</v>
      </c>
      <c r="T28" s="119"/>
      <c r="V28" s="117" t="s">
        <v>134</v>
      </c>
      <c r="W28" s="117"/>
      <c r="X28" s="123">
        <v>43201</v>
      </c>
      <c r="Y28" s="119"/>
    </row>
    <row r="29" spans="2:25" ht="11.25" x14ac:dyDescent="0.15">
      <c r="B29" s="117" t="s">
        <v>136</v>
      </c>
      <c r="C29" s="117"/>
      <c r="D29" s="118">
        <v>108500</v>
      </c>
      <c r="E29" s="119"/>
      <c r="G29" s="117" t="s">
        <v>136</v>
      </c>
      <c r="H29" s="117"/>
      <c r="I29" s="118">
        <v>3856</v>
      </c>
      <c r="J29" s="119"/>
      <c r="L29" s="117" t="s">
        <v>136</v>
      </c>
      <c r="M29" s="117"/>
      <c r="N29" s="118">
        <v>3760</v>
      </c>
      <c r="O29" s="119"/>
      <c r="Q29" s="117" t="s">
        <v>136</v>
      </c>
      <c r="R29" s="117"/>
      <c r="S29" s="118">
        <v>524</v>
      </c>
      <c r="T29" s="119"/>
      <c r="V29" s="117" t="s">
        <v>136</v>
      </c>
      <c r="W29" s="117"/>
      <c r="X29" s="118">
        <v>524</v>
      </c>
      <c r="Y29" s="119"/>
    </row>
    <row r="30" spans="2:25" ht="11.25" x14ac:dyDescent="0.15">
      <c r="B30" s="117" t="s">
        <v>138</v>
      </c>
      <c r="C30" s="117"/>
      <c r="D30" s="118">
        <v>110000</v>
      </c>
      <c r="E30" s="119"/>
      <c r="G30" s="117" t="s">
        <v>138</v>
      </c>
      <c r="H30" s="117"/>
      <c r="I30" s="118">
        <v>3930</v>
      </c>
      <c r="J30" s="119"/>
      <c r="L30" s="117" t="s">
        <v>138</v>
      </c>
      <c r="M30" s="117"/>
      <c r="N30" s="118">
        <v>3700</v>
      </c>
      <c r="O30" s="119"/>
      <c r="Q30" s="117" t="s">
        <v>138</v>
      </c>
      <c r="R30" s="117"/>
      <c r="S30" s="118">
        <v>524</v>
      </c>
      <c r="T30" s="119"/>
      <c r="V30" s="117" t="s">
        <v>138</v>
      </c>
      <c r="W30" s="117"/>
      <c r="X30" s="118">
        <v>524</v>
      </c>
      <c r="Y30" s="119"/>
    </row>
    <row r="31" spans="2:25" ht="11.25" x14ac:dyDescent="0.15">
      <c r="B31" s="117" t="s">
        <v>140</v>
      </c>
      <c r="C31" s="117"/>
      <c r="D31" s="118">
        <v>1160</v>
      </c>
      <c r="E31" s="119"/>
      <c r="G31" s="117" t="s">
        <v>198</v>
      </c>
      <c r="H31" s="117"/>
      <c r="I31" s="118">
        <v>27.18</v>
      </c>
      <c r="J31" s="119"/>
      <c r="L31" s="117" t="s">
        <v>140</v>
      </c>
      <c r="M31" s="117"/>
      <c r="N31" s="118">
        <v>55</v>
      </c>
      <c r="O31" s="119"/>
      <c r="Q31" s="117" t="s">
        <v>140</v>
      </c>
      <c r="R31" s="117"/>
      <c r="S31" s="118">
        <v>23.58</v>
      </c>
      <c r="T31" s="119"/>
      <c r="V31" s="117" t="s">
        <v>140</v>
      </c>
      <c r="W31" s="117"/>
      <c r="X31" s="118">
        <v>23.58</v>
      </c>
      <c r="Y31" s="119"/>
    </row>
    <row r="32" spans="2:25" ht="11.25" x14ac:dyDescent="0.15">
      <c r="B32" s="117" t="s">
        <v>142</v>
      </c>
      <c r="C32" s="117"/>
      <c r="D32" s="118" t="s">
        <v>210</v>
      </c>
      <c r="E32" s="119"/>
      <c r="G32" s="117" t="s">
        <v>199</v>
      </c>
      <c r="H32" s="117"/>
      <c r="I32" s="118" t="s">
        <v>196</v>
      </c>
      <c r="J32" s="119"/>
      <c r="L32" s="117" t="s">
        <v>142</v>
      </c>
      <c r="M32" s="117"/>
      <c r="N32" s="118" t="s">
        <v>194</v>
      </c>
      <c r="O32" s="119"/>
      <c r="Q32" s="117" t="s">
        <v>142</v>
      </c>
      <c r="R32" s="117"/>
      <c r="S32" s="118" t="s">
        <v>192</v>
      </c>
      <c r="T32" s="119"/>
      <c r="V32" s="117" t="s">
        <v>142</v>
      </c>
      <c r="W32" s="117"/>
      <c r="X32" s="118" t="s">
        <v>192</v>
      </c>
      <c r="Y32" s="119"/>
    </row>
    <row r="33" spans="2:25" ht="11.25" x14ac:dyDescent="0.15">
      <c r="B33" s="117" t="s">
        <v>145</v>
      </c>
      <c r="C33" s="117"/>
      <c r="D33" s="118">
        <v>250</v>
      </c>
      <c r="E33" s="119"/>
      <c r="G33" s="117" t="s">
        <v>200</v>
      </c>
      <c r="H33" s="117"/>
      <c r="I33" s="118">
        <v>10000</v>
      </c>
      <c r="J33" s="119"/>
      <c r="L33" s="117" t="s">
        <v>145</v>
      </c>
      <c r="M33" s="117"/>
      <c r="N33" s="118">
        <v>5000</v>
      </c>
      <c r="O33" s="119"/>
      <c r="Q33" s="117" t="s">
        <v>145</v>
      </c>
      <c r="R33" s="117"/>
      <c r="S33" s="118">
        <v>10000</v>
      </c>
      <c r="T33" s="119"/>
      <c r="V33" s="117" t="s">
        <v>145</v>
      </c>
      <c r="W33" s="117"/>
      <c r="X33" s="118">
        <v>10000</v>
      </c>
      <c r="Y33" s="119"/>
    </row>
    <row r="34" spans="2:25" ht="12" thickBot="1" x14ac:dyDescent="0.2">
      <c r="B34" s="120" t="s">
        <v>147</v>
      </c>
      <c r="C34" s="120"/>
      <c r="D34" s="121" t="s">
        <v>148</v>
      </c>
      <c r="E34" s="122"/>
      <c r="G34" s="120" t="s">
        <v>147</v>
      </c>
      <c r="H34" s="120"/>
      <c r="I34" s="121" t="s">
        <v>148</v>
      </c>
      <c r="J34" s="122"/>
      <c r="L34" s="120" t="s">
        <v>147</v>
      </c>
      <c r="M34" s="120"/>
      <c r="N34" s="121" t="s">
        <v>148</v>
      </c>
      <c r="O34" s="122"/>
      <c r="Q34" s="120" t="s">
        <v>147</v>
      </c>
      <c r="R34" s="120"/>
      <c r="S34" s="121" t="s">
        <v>148</v>
      </c>
      <c r="T34" s="122"/>
      <c r="V34" s="120" t="s">
        <v>147</v>
      </c>
      <c r="W34" s="120"/>
      <c r="X34" s="121" t="s">
        <v>148</v>
      </c>
      <c r="Y34" s="122"/>
    </row>
    <row r="35" spans="2:25" ht="11.25" thickTop="1" x14ac:dyDescent="0.15"/>
    <row r="36" spans="2:25" ht="12" thickBot="1" x14ac:dyDescent="0.2">
      <c r="B36" s="125" t="s">
        <v>204</v>
      </c>
      <c r="C36" s="125"/>
      <c r="D36" s="125"/>
      <c r="E36" s="125"/>
      <c r="G36" s="125" t="s">
        <v>121</v>
      </c>
      <c r="H36" s="125"/>
      <c r="I36" s="125"/>
      <c r="J36" s="125"/>
      <c r="L36" s="125" t="s">
        <v>207</v>
      </c>
      <c r="M36" s="125"/>
      <c r="N36" s="125"/>
      <c r="O36" s="125"/>
      <c r="Q36" s="125" t="s">
        <v>121</v>
      </c>
      <c r="R36" s="125"/>
      <c r="S36" s="125"/>
      <c r="T36" s="125"/>
    </row>
    <row r="37" spans="2:25" ht="12" thickTop="1" x14ac:dyDescent="0.15">
      <c r="B37" s="117" t="s">
        <v>122</v>
      </c>
      <c r="C37" s="117"/>
      <c r="D37" s="123"/>
      <c r="E37" s="126"/>
      <c r="G37" s="117" t="s">
        <v>122</v>
      </c>
      <c r="H37" s="117"/>
      <c r="I37" s="123">
        <v>43207</v>
      </c>
      <c r="J37" s="126"/>
      <c r="L37" s="117" t="s">
        <v>122</v>
      </c>
      <c r="M37" s="117"/>
      <c r="N37" s="123">
        <v>43214</v>
      </c>
      <c r="O37" s="126"/>
      <c r="Q37" s="117" t="s">
        <v>122</v>
      </c>
      <c r="R37" s="117"/>
      <c r="S37" s="123">
        <v>43209</v>
      </c>
      <c r="T37" s="126"/>
    </row>
    <row r="38" spans="2:25" ht="11.25" x14ac:dyDescent="0.15">
      <c r="B38" s="117" t="s">
        <v>124</v>
      </c>
      <c r="C38" s="117"/>
      <c r="D38" s="118"/>
      <c r="E38" s="119"/>
      <c r="G38" s="117" t="s">
        <v>124</v>
      </c>
      <c r="H38" s="117"/>
      <c r="I38" s="118" t="s">
        <v>235</v>
      </c>
      <c r="J38" s="119"/>
      <c r="L38" s="117" t="s">
        <v>124</v>
      </c>
      <c r="M38" s="117"/>
      <c r="N38" s="118" t="s">
        <v>205</v>
      </c>
      <c r="O38" s="119"/>
      <c r="Q38" s="117" t="s">
        <v>124</v>
      </c>
      <c r="R38" s="117"/>
      <c r="S38" s="118" t="s">
        <v>235</v>
      </c>
      <c r="T38" s="119"/>
    </row>
    <row r="39" spans="2:25" ht="11.25" x14ac:dyDescent="0.15">
      <c r="B39" s="117" t="s">
        <v>127</v>
      </c>
      <c r="C39" s="117"/>
      <c r="D39" s="118"/>
      <c r="E39" s="119"/>
      <c r="G39" s="117" t="s">
        <v>127</v>
      </c>
      <c r="H39" s="117"/>
      <c r="I39" s="118" t="s">
        <v>205</v>
      </c>
      <c r="J39" s="119"/>
      <c r="L39" s="117" t="s">
        <v>127</v>
      </c>
      <c r="M39" s="117"/>
      <c r="N39" s="118" t="s">
        <v>4</v>
      </c>
      <c r="O39" s="119"/>
      <c r="Q39" s="117" t="s">
        <v>127</v>
      </c>
      <c r="R39" s="117"/>
      <c r="S39" s="118" t="s">
        <v>205</v>
      </c>
      <c r="T39" s="119"/>
    </row>
    <row r="40" spans="2:25" ht="11.25" x14ac:dyDescent="0.15">
      <c r="B40" s="117" t="s">
        <v>179</v>
      </c>
      <c r="C40" s="117"/>
      <c r="D40" s="118"/>
      <c r="E40" s="119"/>
      <c r="G40" s="117" t="s">
        <v>179</v>
      </c>
      <c r="H40" s="117"/>
      <c r="I40" s="118">
        <f>I45*I47</f>
        <v>1600000</v>
      </c>
      <c r="J40" s="119"/>
      <c r="L40" s="117" t="s">
        <v>129</v>
      </c>
      <c r="M40" s="117"/>
      <c r="N40" s="118">
        <f>N45*N47</f>
        <v>2117500</v>
      </c>
      <c r="O40" s="119"/>
      <c r="Q40" s="117" t="s">
        <v>179</v>
      </c>
      <c r="R40" s="117"/>
      <c r="S40" s="118">
        <f>S45*S47</f>
        <v>1045200</v>
      </c>
      <c r="T40" s="119"/>
    </row>
    <row r="41" spans="2:25" ht="11.25" x14ac:dyDescent="0.15">
      <c r="B41" s="117" t="s">
        <v>131</v>
      </c>
      <c r="C41" s="117"/>
      <c r="D41" s="118"/>
      <c r="E41" s="119"/>
      <c r="G41" s="117" t="s">
        <v>131</v>
      </c>
      <c r="H41" s="117"/>
      <c r="I41" s="118" t="s">
        <v>236</v>
      </c>
      <c r="J41" s="119"/>
      <c r="L41" s="117" t="s">
        <v>131</v>
      </c>
      <c r="M41" s="117"/>
      <c r="N41" s="118" t="s">
        <v>209</v>
      </c>
      <c r="O41" s="119"/>
      <c r="Q41" s="117" t="s">
        <v>131</v>
      </c>
      <c r="R41" s="117"/>
      <c r="S41" s="118" t="s">
        <v>236</v>
      </c>
      <c r="T41" s="119"/>
    </row>
    <row r="42" spans="2:25" ht="11.25" x14ac:dyDescent="0.15">
      <c r="B42" s="117" t="s">
        <v>134</v>
      </c>
      <c r="C42" s="117"/>
      <c r="D42" s="123"/>
      <c r="E42" s="119"/>
      <c r="G42" s="117" t="s">
        <v>134</v>
      </c>
      <c r="H42" s="117"/>
      <c r="I42" s="123">
        <v>43294</v>
      </c>
      <c r="J42" s="119"/>
      <c r="L42" s="117" t="s">
        <v>134</v>
      </c>
      <c r="M42" s="117"/>
      <c r="N42" s="123">
        <v>43266</v>
      </c>
      <c r="O42" s="119"/>
      <c r="Q42" s="117" t="s">
        <v>134</v>
      </c>
      <c r="R42" s="117"/>
      <c r="S42" s="123">
        <v>43266</v>
      </c>
      <c r="T42" s="119"/>
    </row>
    <row r="43" spans="2:25" ht="11.25" x14ac:dyDescent="0.15">
      <c r="B43" s="117" t="s">
        <v>136</v>
      </c>
      <c r="C43" s="117"/>
      <c r="D43" s="118"/>
      <c r="E43" s="119"/>
      <c r="G43" s="117" t="s">
        <v>136</v>
      </c>
      <c r="H43" s="117"/>
      <c r="I43" s="118">
        <v>15005</v>
      </c>
      <c r="J43" s="119"/>
      <c r="L43" s="117" t="s">
        <v>136</v>
      </c>
      <c r="M43" s="124"/>
      <c r="N43" s="118">
        <v>14535</v>
      </c>
      <c r="O43" s="119"/>
      <c r="Q43" s="117" t="s">
        <v>136</v>
      </c>
      <c r="R43" s="117"/>
      <c r="S43" s="118">
        <v>15250</v>
      </c>
      <c r="T43" s="119"/>
    </row>
    <row r="44" spans="2:25" ht="11.25" x14ac:dyDescent="0.15">
      <c r="B44" s="117" t="s">
        <v>138</v>
      </c>
      <c r="C44" s="117"/>
      <c r="D44" s="118"/>
      <c r="E44" s="119"/>
      <c r="G44" s="117" t="s">
        <v>138</v>
      </c>
      <c r="H44" s="117"/>
      <c r="I44" s="118">
        <v>14500</v>
      </c>
      <c r="J44" s="119"/>
      <c r="L44" s="117" t="s">
        <v>138</v>
      </c>
      <c r="M44" s="117"/>
      <c r="N44" s="118">
        <v>14500</v>
      </c>
      <c r="O44" s="119"/>
      <c r="Q44" s="117" t="s">
        <v>138</v>
      </c>
      <c r="R44" s="117"/>
      <c r="S44" s="118">
        <v>14500</v>
      </c>
      <c r="T44" s="119"/>
    </row>
    <row r="45" spans="2:25" ht="11.25" x14ac:dyDescent="0.15">
      <c r="B45" s="117" t="s">
        <v>198</v>
      </c>
      <c r="C45" s="117"/>
      <c r="D45" s="118"/>
      <c r="E45" s="119"/>
      <c r="G45" s="117" t="s">
        <v>198</v>
      </c>
      <c r="H45" s="117"/>
      <c r="I45" s="118">
        <v>320</v>
      </c>
      <c r="J45" s="119"/>
      <c r="L45" s="117" t="s">
        <v>140</v>
      </c>
      <c r="M45" s="117"/>
      <c r="N45" s="118">
        <v>423.5</v>
      </c>
      <c r="O45" s="119"/>
      <c r="Q45" s="117" t="s">
        <v>198</v>
      </c>
      <c r="R45" s="117"/>
      <c r="S45" s="118">
        <v>209.04</v>
      </c>
      <c r="T45" s="119"/>
    </row>
    <row r="46" spans="2:25" ht="11.25" x14ac:dyDescent="0.15">
      <c r="B46" s="117" t="s">
        <v>199</v>
      </c>
      <c r="C46" s="117"/>
      <c r="D46" s="118"/>
      <c r="E46" s="119"/>
      <c r="G46" s="117" t="s">
        <v>142</v>
      </c>
      <c r="H46" s="117"/>
      <c r="I46" s="118" t="s">
        <v>203</v>
      </c>
      <c r="J46" s="119"/>
      <c r="L46" s="117" t="s">
        <v>142</v>
      </c>
      <c r="M46" s="117"/>
      <c r="N46" s="118" t="s">
        <v>212</v>
      </c>
      <c r="O46" s="119"/>
      <c r="Q46" s="117" t="s">
        <v>142</v>
      </c>
      <c r="R46" s="117"/>
      <c r="S46" s="118" t="s">
        <v>247</v>
      </c>
      <c r="T46" s="119"/>
    </row>
    <row r="47" spans="2:25" ht="11.25" x14ac:dyDescent="0.15">
      <c r="B47" s="117" t="s">
        <v>200</v>
      </c>
      <c r="C47" s="117"/>
      <c r="D47" s="118"/>
      <c r="E47" s="119"/>
      <c r="G47" s="117" t="s">
        <v>145</v>
      </c>
      <c r="H47" s="117"/>
      <c r="I47" s="118">
        <v>5000</v>
      </c>
      <c r="J47" s="119"/>
      <c r="L47" s="117" t="s">
        <v>145</v>
      </c>
      <c r="M47" s="117"/>
      <c r="N47" s="118">
        <v>5000</v>
      </c>
      <c r="O47" s="119"/>
      <c r="Q47" s="117" t="s">
        <v>145</v>
      </c>
      <c r="R47" s="117"/>
      <c r="S47" s="118">
        <v>5000</v>
      </c>
      <c r="T47" s="119"/>
    </row>
    <row r="48" spans="2:25" ht="12" thickBot="1" x14ac:dyDescent="0.2">
      <c r="B48" s="120" t="s">
        <v>147</v>
      </c>
      <c r="C48" s="120"/>
      <c r="D48" s="121"/>
      <c r="E48" s="122"/>
      <c r="G48" s="120" t="s">
        <v>147</v>
      </c>
      <c r="H48" s="120"/>
      <c r="I48" s="121" t="s">
        <v>208</v>
      </c>
      <c r="J48" s="122"/>
      <c r="L48" s="120" t="s">
        <v>147</v>
      </c>
      <c r="M48" s="120"/>
      <c r="N48" s="121" t="s">
        <v>206</v>
      </c>
      <c r="O48" s="122"/>
      <c r="Q48" s="120" t="s">
        <v>147</v>
      </c>
      <c r="R48" s="120"/>
      <c r="S48" s="121" t="s">
        <v>208</v>
      </c>
      <c r="T48" s="122"/>
    </row>
    <row r="49" ht="11.25" thickTop="1" x14ac:dyDescent="0.15"/>
  </sheetData>
  <mergeCells count="326">
    <mergeCell ref="Q46:R46"/>
    <mergeCell ref="S46:T46"/>
    <mergeCell ref="Q47:R47"/>
    <mergeCell ref="S47:T47"/>
    <mergeCell ref="Q48:R48"/>
    <mergeCell ref="S48:T48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36:T36"/>
    <mergeCell ref="Q37:R37"/>
    <mergeCell ref="S37:T37"/>
    <mergeCell ref="Q38:R38"/>
    <mergeCell ref="S38:T38"/>
    <mergeCell ref="Q39:R39"/>
    <mergeCell ref="S39:T39"/>
    <mergeCell ref="Q40:R40"/>
    <mergeCell ref="S40:T40"/>
    <mergeCell ref="B46:C46"/>
    <mergeCell ref="D46:E46"/>
    <mergeCell ref="B47:C47"/>
    <mergeCell ref="D47:E47"/>
    <mergeCell ref="B48:C48"/>
    <mergeCell ref="D48:E48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  <mergeCell ref="B36:E36"/>
    <mergeCell ref="B37:C37"/>
    <mergeCell ref="D37:E37"/>
    <mergeCell ref="B38:C38"/>
    <mergeCell ref="D38:E38"/>
    <mergeCell ref="B39:C39"/>
    <mergeCell ref="D39:E39"/>
    <mergeCell ref="B40:C40"/>
    <mergeCell ref="D40:E40"/>
    <mergeCell ref="G33:H33"/>
    <mergeCell ref="I33:J33"/>
    <mergeCell ref="G34:H34"/>
    <mergeCell ref="I34:J34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G26:H26"/>
    <mergeCell ref="I30:J30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G23:H23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L22:O22"/>
    <mergeCell ref="L23:M23"/>
    <mergeCell ref="N23:O23"/>
    <mergeCell ref="L24:M24"/>
    <mergeCell ref="N24:O24"/>
    <mergeCell ref="L25:M25"/>
    <mergeCell ref="N25:O25"/>
    <mergeCell ref="L26:M26"/>
    <mergeCell ref="N26:O26"/>
    <mergeCell ref="L32:M32"/>
    <mergeCell ref="N32:O32"/>
    <mergeCell ref="L33:M33"/>
    <mergeCell ref="N33:O33"/>
    <mergeCell ref="L34:M34"/>
    <mergeCell ref="N34:O34"/>
    <mergeCell ref="L27:M27"/>
    <mergeCell ref="N27:O27"/>
    <mergeCell ref="L28:M28"/>
    <mergeCell ref="N28:O28"/>
    <mergeCell ref="L29:M29"/>
    <mergeCell ref="N29:O29"/>
    <mergeCell ref="L30:M30"/>
    <mergeCell ref="N30:O30"/>
    <mergeCell ref="L31:M31"/>
    <mergeCell ref="N31:O31"/>
    <mergeCell ref="Q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V27:W27"/>
    <mergeCell ref="X27:Y27"/>
    <mergeCell ref="V28:W28"/>
    <mergeCell ref="X28:Y28"/>
    <mergeCell ref="V29:W29"/>
    <mergeCell ref="X29:Y29"/>
    <mergeCell ref="V30:W30"/>
    <mergeCell ref="X30:Y30"/>
    <mergeCell ref="V31:W31"/>
    <mergeCell ref="X31:Y31"/>
    <mergeCell ref="V22:Y22"/>
    <mergeCell ref="V23:W23"/>
    <mergeCell ref="X23:Y23"/>
    <mergeCell ref="V24:W24"/>
    <mergeCell ref="X24:Y24"/>
    <mergeCell ref="V25:W25"/>
    <mergeCell ref="X25:Y25"/>
    <mergeCell ref="V26:W26"/>
    <mergeCell ref="X26:Y26"/>
    <mergeCell ref="V32:W32"/>
    <mergeCell ref="X32:Y32"/>
    <mergeCell ref="V33:W33"/>
    <mergeCell ref="X33:Y33"/>
    <mergeCell ref="V34:W34"/>
    <mergeCell ref="X34:Y34"/>
    <mergeCell ref="Q32:R32"/>
    <mergeCell ref="S32:T32"/>
    <mergeCell ref="Q33:R33"/>
    <mergeCell ref="S33:T33"/>
    <mergeCell ref="Q34:R34"/>
    <mergeCell ref="S34:T34"/>
    <mergeCell ref="G47:H47"/>
    <mergeCell ref="I47:J47"/>
    <mergeCell ref="G48:H48"/>
    <mergeCell ref="I48:J48"/>
    <mergeCell ref="G41:H41"/>
    <mergeCell ref="I41:J41"/>
    <mergeCell ref="G42:H42"/>
    <mergeCell ref="I42:J42"/>
    <mergeCell ref="G43:H43"/>
    <mergeCell ref="I43:J43"/>
    <mergeCell ref="G44:H44"/>
    <mergeCell ref="I44:J44"/>
    <mergeCell ref="G45:H45"/>
    <mergeCell ref="I45:J45"/>
    <mergeCell ref="L36:O36"/>
    <mergeCell ref="L37:M37"/>
    <mergeCell ref="N37:O37"/>
    <mergeCell ref="L38:M38"/>
    <mergeCell ref="L39:M39"/>
    <mergeCell ref="L40:M40"/>
    <mergeCell ref="N40:O40"/>
    <mergeCell ref="G46:H46"/>
    <mergeCell ref="I46:J46"/>
    <mergeCell ref="G36:J36"/>
    <mergeCell ref="G37:H37"/>
    <mergeCell ref="I37:J37"/>
    <mergeCell ref="G38:H38"/>
    <mergeCell ref="I38:J38"/>
    <mergeCell ref="G39:H39"/>
    <mergeCell ref="I39:J39"/>
    <mergeCell ref="G40:H40"/>
    <mergeCell ref="I40:J40"/>
    <mergeCell ref="L46:M46"/>
    <mergeCell ref="N46:O46"/>
    <mergeCell ref="L47:M47"/>
    <mergeCell ref="N47:O47"/>
    <mergeCell ref="L48:M48"/>
    <mergeCell ref="N48:O48"/>
    <mergeCell ref="N38:O38"/>
    <mergeCell ref="N39:O39"/>
    <mergeCell ref="L41:M41"/>
    <mergeCell ref="N41:O41"/>
    <mergeCell ref="L42:M42"/>
    <mergeCell ref="N42:O42"/>
    <mergeCell ref="L43:M43"/>
    <mergeCell ref="N43:O43"/>
    <mergeCell ref="L44:M44"/>
    <mergeCell ref="N44:O44"/>
    <mergeCell ref="L45:M45"/>
    <mergeCell ref="N45:O4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36"/>
  <sheetViews>
    <sheetView tabSelected="1" topLeftCell="E1" zoomScaleNormal="100" workbookViewId="0">
      <selection activeCell="K13" sqref="K13"/>
    </sheetView>
  </sheetViews>
  <sheetFormatPr defaultColWidth="9" defaultRowHeight="11.25" x14ac:dyDescent="0.15"/>
  <cols>
    <col min="1" max="1" width="8.125" style="6" customWidth="1"/>
    <col min="2" max="2" width="27" style="6" customWidth="1"/>
    <col min="3" max="3" width="19.375" style="6" customWidth="1"/>
    <col min="4" max="4" width="13.875" style="6" bestFit="1" customWidth="1"/>
    <col min="5" max="6" width="9" style="6"/>
    <col min="7" max="7" width="9.75" style="6" bestFit="1" customWidth="1"/>
    <col min="8" max="8" width="15" style="6" customWidth="1"/>
    <col min="9" max="10" width="22.625" style="6" customWidth="1"/>
    <col min="11" max="11" width="7.25" style="6" customWidth="1"/>
    <col min="12" max="12" width="15.75" style="6" customWidth="1"/>
    <col min="13" max="13" width="7.75" style="6" customWidth="1"/>
    <col min="14" max="14" width="10" style="6" customWidth="1"/>
    <col min="15" max="15" width="8.625" style="6" customWidth="1"/>
    <col min="16" max="16" width="13" style="6" bestFit="1" customWidth="1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16384" width="9" style="6"/>
  </cols>
  <sheetData>
    <row r="1" spans="1:25" ht="13.5" customHeight="1" thickBot="1" x14ac:dyDescent="0.2">
      <c r="B1" s="139" t="s">
        <v>37</v>
      </c>
      <c r="C1" s="139"/>
    </row>
    <row r="2" spans="1:25" ht="12" thickTop="1" x14ac:dyDescent="0.15">
      <c r="B2" s="3" t="s">
        <v>0</v>
      </c>
      <c r="C2" s="4">
        <v>43111</v>
      </c>
    </row>
    <row r="3" spans="1:25" ht="13.5" x14ac:dyDescent="0.15">
      <c r="A3" s="39" t="s">
        <v>193</v>
      </c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5" ht="12.75" thickTop="1" thickBot="1" x14ac:dyDescent="0.2">
      <c r="B7" s="18" t="s">
        <v>170</v>
      </c>
      <c r="C7" s="18" t="s">
        <v>2</v>
      </c>
      <c r="D7" s="17" t="s">
        <v>181</v>
      </c>
      <c r="E7" s="17" t="s">
        <v>180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182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22</v>
      </c>
      <c r="E8" s="21">
        <f t="shared" ref="E8:E32" ca="1" si="0">TODAY()</f>
        <v>43214</v>
      </c>
      <c r="F8" s="21">
        <f ca="1">E8+H8</f>
        <v>43394</v>
      </c>
      <c r="G8" s="19">
        <v>100</v>
      </c>
      <c r="H8" s="19">
        <v>180</v>
      </c>
      <c r="I8" s="22">
        <f>H8/365</f>
        <v>0.49315068493150682</v>
      </c>
      <c r="J8" s="22">
        <v>0</v>
      </c>
      <c r="K8" s="23">
        <v>0.26</v>
      </c>
      <c r="L8" s="24">
        <f>_xll.dnetGBlackScholesNGreeks("price",$Q8,$P8,$G8,$I8,$C$3,$J8,$K8,$C$4)*R8</f>
        <v>-7.2025596532922975</v>
      </c>
      <c r="M8" s="25"/>
      <c r="N8" s="24">
        <f>M8/10000*I8*P8</f>
        <v>0</v>
      </c>
      <c r="O8" s="24">
        <f>IF(L8&lt;=0,ABS(L8)+N8,L8-N8)</f>
        <v>7.2025596532922975</v>
      </c>
      <c r="P8" s="20">
        <v>100</v>
      </c>
      <c r="Q8" s="19" t="s">
        <v>27</v>
      </c>
      <c r="R8" s="19">
        <f>IF(S8="中金买入",1,-1)</f>
        <v>-1</v>
      </c>
      <c r="S8" s="19" t="s">
        <v>31</v>
      </c>
      <c r="T8" s="26">
        <f>O8/P8</f>
        <v>7.2025596532922981E-2</v>
      </c>
      <c r="U8" s="24">
        <f>_xll.dnetGBlackScholesNGreeks("delta",$Q8,$P8,$G8,$I8,$C$3,$J8,$K8,$C$4)*R8</f>
        <v>-0.53110552603214956</v>
      </c>
      <c r="V8" s="24">
        <f>_xll.dnetGBlackScholesNGreeks("vega",$Q8,$P8,$G8,$I8,$C$3,$J8,$K8,$C$4)*R8</f>
        <v>-0.27625222850264208</v>
      </c>
    </row>
    <row r="9" spans="1:25" ht="10.5" customHeight="1" x14ac:dyDescent="0.15">
      <c r="A9" s="34"/>
      <c r="B9" s="13" t="s">
        <v>172</v>
      </c>
      <c r="C9" s="10" t="s">
        <v>161</v>
      </c>
      <c r="D9" s="10" t="s">
        <v>203</v>
      </c>
      <c r="E9" s="8">
        <f t="shared" ca="1" si="0"/>
        <v>43214</v>
      </c>
      <c r="F9" s="8">
        <f t="shared" ref="F9" ca="1" si="1">E9+H9</f>
        <v>43305</v>
      </c>
      <c r="G9" s="10">
        <v>11500</v>
      </c>
      <c r="H9" s="10">
        <v>91</v>
      </c>
      <c r="I9" s="12">
        <f>H9/365</f>
        <v>0.24931506849315069</v>
      </c>
      <c r="J9" s="12">
        <v>0</v>
      </c>
      <c r="K9" s="9">
        <v>0.21</v>
      </c>
      <c r="L9" s="13">
        <f>_xll.dnetGBlackScholesNGreeks("price",$Q9,$P9,$G9,$I9,$C$3,$J9,$K9,$C$4)*R9</f>
        <v>-5.9807197790243833</v>
      </c>
      <c r="M9" s="15"/>
      <c r="N9" s="13">
        <f t="shared" ref="N9:N10" si="2">M9/10000*I9*P9</f>
        <v>0</v>
      </c>
      <c r="O9" s="13">
        <f>IF(L9&lt;=0,ABS(L9)+N9,L9-N9)</f>
        <v>5.9807197790243833</v>
      </c>
      <c r="P9" s="11">
        <f>RTD("wdf.rtq",,D9,"LastPrice")</f>
        <v>14535</v>
      </c>
      <c r="Q9" s="10" t="s">
        <v>85</v>
      </c>
      <c r="R9" s="10">
        <f t="shared" ref="R9" si="3">IF(S9="中金买入",1,-1)</f>
        <v>-1</v>
      </c>
      <c r="S9" s="10" t="s">
        <v>20</v>
      </c>
      <c r="T9" s="14">
        <f t="shared" ref="T9" si="4">O9/P9</f>
        <v>4.1147022903504531E-4</v>
      </c>
      <c r="U9" s="13">
        <f>_xll.dnetGBlackScholesNGreeks("delta",$Q9,$P9,$G9,$I9,$C$3,$J9,$K9,$C$4)*R9</f>
        <v>1.1069305732291923E-2</v>
      </c>
      <c r="V9" s="13">
        <f>_xll.dnetGBlackScholesNGreeks("vega",$Q9,$P9,$G9,$I9,$C$3,$J9,$K9,$C$4)*R9</f>
        <v>-2.1198356555282558</v>
      </c>
    </row>
    <row r="10" spans="1:25" x14ac:dyDescent="0.15">
      <c r="N10" s="6">
        <f t="shared" si="2"/>
        <v>0</v>
      </c>
    </row>
    <row r="11" spans="1:25" ht="10.5" customHeight="1" x14ac:dyDescent="0.15">
      <c r="A11" s="34"/>
      <c r="B11" s="13" t="s">
        <v>172</v>
      </c>
      <c r="C11" s="10" t="s">
        <v>161</v>
      </c>
      <c r="D11" s="10" t="s">
        <v>212</v>
      </c>
      <c r="E11" s="8">
        <f t="shared" ca="1" si="0"/>
        <v>43214</v>
      </c>
      <c r="F11" s="8">
        <f t="shared" ref="F11" ca="1" si="5">E11+H11</f>
        <v>43267</v>
      </c>
      <c r="G11" s="11">
        <v>15500</v>
      </c>
      <c r="H11" s="10">
        <v>53</v>
      </c>
      <c r="I11" s="12">
        <f>H11/365</f>
        <v>0.14520547945205478</v>
      </c>
      <c r="J11" s="12">
        <v>0</v>
      </c>
      <c r="K11" s="9">
        <v>0.16</v>
      </c>
      <c r="L11" s="13">
        <f>_xll.dnetGBlackScholesNGreeks("price",$Q11,$P11,$G11,$I11,$C$3,$J11,$K11,$C$4)*R11</f>
        <v>-138.81388791863401</v>
      </c>
      <c r="M11" s="15"/>
      <c r="N11" s="13">
        <f t="shared" ref="N11" si="6">M11/10000*I11*P11</f>
        <v>0</v>
      </c>
      <c r="O11" s="13">
        <f>IF(L11&lt;=0,ABS(L11)+N11,L11-N11)</f>
        <v>138.81388791863401</v>
      </c>
      <c r="P11" s="11">
        <v>14880</v>
      </c>
      <c r="Q11" s="10" t="s">
        <v>39</v>
      </c>
      <c r="R11" s="10">
        <f t="shared" ref="R11" si="7">IF(S11="中金买入",1,-1)</f>
        <v>-1</v>
      </c>
      <c r="S11" s="10" t="s">
        <v>20</v>
      </c>
      <c r="T11" s="14">
        <f t="shared" ref="T11" si="8">O11/P11</f>
        <v>9.3288903171125006E-3</v>
      </c>
      <c r="U11" s="13">
        <f>_xll.dnetGBlackScholesNGreeks("delta",$Q11,$P11,$G11,$I11,$C$3,$J11,$K11,$C$4)*R11</f>
        <v>-0.26063235136462026</v>
      </c>
      <c r="V11" s="13">
        <f>_xll.dnetGBlackScholesNGreeks("vega",$Q11,$P11,$G11,$I11,$C$3,$J11,$K11,$C$4)*R11</f>
        <v>-18.375309952342377</v>
      </c>
      <c r="Y11" s="6">
        <f>400*U11</f>
        <v>-104.25294054584811</v>
      </c>
    </row>
    <row r="12" spans="1:25" ht="11.25" customHeight="1" x14ac:dyDescent="0.15"/>
    <row r="13" spans="1:25" ht="10.5" customHeight="1" x14ac:dyDescent="0.15">
      <c r="A13" s="34"/>
      <c r="B13" s="13" t="s">
        <v>172</v>
      </c>
      <c r="C13" s="10" t="s">
        <v>161</v>
      </c>
      <c r="D13" s="10" t="s">
        <v>213</v>
      </c>
      <c r="E13" s="8">
        <f t="shared" ca="1" si="0"/>
        <v>43214</v>
      </c>
      <c r="F13" s="8">
        <f t="shared" ref="F13" ca="1" si="9">E13+H13</f>
        <v>43244</v>
      </c>
      <c r="G13" s="11">
        <f>P13</f>
        <v>3562</v>
      </c>
      <c r="H13" s="10">
        <v>30</v>
      </c>
      <c r="I13" s="12">
        <f>(H13-2)/365</f>
        <v>7.6712328767123292E-2</v>
      </c>
      <c r="J13" s="12">
        <v>0</v>
      </c>
      <c r="K13" s="9">
        <v>0.22</v>
      </c>
      <c r="L13" s="13">
        <f>_xll.dnetGBlackScholesNGreeks("price",$Q13,$P13,$G13,$I13,$C$3,$J13,$K13,$C$4)*R13</f>
        <v>86.442187346414812</v>
      </c>
      <c r="M13" s="15"/>
      <c r="N13" s="13">
        <f t="shared" ref="N13" si="10">M13/10000*I13*P13</f>
        <v>0</v>
      </c>
      <c r="O13" s="13">
        <f>IF(L13&lt;=0,ABS(L13)+N13,L13-N13)</f>
        <v>86.442187346414812</v>
      </c>
      <c r="P13" s="11">
        <f>RTD("wdf.rtq",,D13,"LastPrice")</f>
        <v>3562</v>
      </c>
      <c r="Q13" s="10" t="s">
        <v>39</v>
      </c>
      <c r="R13" s="10">
        <f t="shared" ref="R13" si="11">IF(S13="中金买入",1,-1)</f>
        <v>1</v>
      </c>
      <c r="S13" s="10" t="s">
        <v>151</v>
      </c>
      <c r="T13" s="14">
        <f t="shared" ref="T13" si="12">O13/P13</f>
        <v>2.4267879659296689E-2</v>
      </c>
      <c r="U13" s="13">
        <f>_xll.dnetGBlackScholesNGreeks("delta",$Q13,$P13,$G13,$I13,$C$3,$J13,$K13,$C$4)*R13</f>
        <v>0.51136740470383302</v>
      </c>
      <c r="V13" s="13">
        <f>_xll.dnetGBlackScholesNGreeks("vega",$Q13,$P13,$G13,$I13,$C$3,$J13,$K13,$C$4)*R13</f>
        <v>3.9279735134227849</v>
      </c>
      <c r="Y13" s="6">
        <f>V13*5*4000</f>
        <v>78559.470268455698</v>
      </c>
    </row>
    <row r="14" spans="1:25" ht="10.5" customHeight="1" x14ac:dyDescent="0.15">
      <c r="A14" s="34"/>
      <c r="B14" s="13" t="s">
        <v>172</v>
      </c>
      <c r="C14" s="10" t="s">
        <v>161</v>
      </c>
      <c r="D14" s="10" t="s">
        <v>213</v>
      </c>
      <c r="E14" s="8">
        <f t="shared" ca="1" si="0"/>
        <v>43214</v>
      </c>
      <c r="F14" s="8">
        <f t="shared" ref="F14" ca="1" si="13">E14+H14</f>
        <v>43244</v>
      </c>
      <c r="G14" s="11">
        <f>P14</f>
        <v>3562</v>
      </c>
      <c r="H14" s="10">
        <v>30</v>
      </c>
      <c r="I14" s="12">
        <f>(H14)/365</f>
        <v>8.2191780821917804E-2</v>
      </c>
      <c r="J14" s="12">
        <v>0</v>
      </c>
      <c r="K14" s="9">
        <v>0.28000000000000003</v>
      </c>
      <c r="L14" s="13">
        <f>_xll.dnetGBlackScholesNGreeks("price",$Q14,$P14,$G14,$I14,$C$3,$J14,$K14,$C$4)*R14</f>
        <v>-113.85332178489602</v>
      </c>
      <c r="M14" s="15"/>
      <c r="N14" s="13">
        <f t="shared" ref="N14" si="14">M14/10000*I14*P14</f>
        <v>0</v>
      </c>
      <c r="O14" s="13">
        <f>IF(L14&lt;=0,ABS(L14)+N14,L14-N14)</f>
        <v>113.85332178489602</v>
      </c>
      <c r="P14" s="11">
        <f>RTD("wdf.rtq",,D14,"LastPrice")</f>
        <v>3562</v>
      </c>
      <c r="Q14" s="10" t="s">
        <v>39</v>
      </c>
      <c r="R14" s="10">
        <f t="shared" ref="R14" si="15">IF(S14="中金买入",1,-1)</f>
        <v>-1</v>
      </c>
      <c r="S14" s="10" t="s">
        <v>20</v>
      </c>
      <c r="T14" s="14">
        <f t="shared" ref="T14" si="16">O14/P14</f>
        <v>3.1963313246742286E-2</v>
      </c>
      <c r="U14" s="13">
        <f>_xll.dnetGBlackScholesNGreeks("delta",$Q14,$P14,$G14,$I14,$C$3,$J14,$K14,$C$4)*R14</f>
        <v>-0.51516041399963797</v>
      </c>
      <c r="V14" s="13">
        <f>_xll.dnetGBlackScholesNGreeks("vega",$Q14,$P14,$G14,$I14,$C$3,$J14,$K14,$C$4)*R14</f>
        <v>-4.0640056548080565</v>
      </c>
      <c r="Y14" s="6">
        <f>V14*5*4000</f>
        <v>-81280.113096161134</v>
      </c>
    </row>
    <row r="15" spans="1:25" x14ac:dyDescent="0.15">
      <c r="A15" s="34"/>
      <c r="B15" s="13"/>
      <c r="C15" s="10"/>
      <c r="D15" s="10"/>
      <c r="E15" s="8"/>
      <c r="F15" s="8"/>
      <c r="G15" s="10"/>
      <c r="H15" s="10" t="s">
        <v>217</v>
      </c>
      <c r="I15" s="12"/>
      <c r="J15" s="12"/>
      <c r="K15" s="9"/>
      <c r="L15" s="13"/>
      <c r="M15" s="15"/>
      <c r="N15" s="13"/>
      <c r="O15" s="13"/>
      <c r="P15" s="11"/>
      <c r="Q15" s="10"/>
      <c r="R15" s="10"/>
      <c r="S15" s="10"/>
      <c r="T15" s="14"/>
      <c r="U15" s="13"/>
      <c r="V15" s="13"/>
    </row>
    <row r="16" spans="1:25" ht="10.5" customHeight="1" x14ac:dyDescent="0.15">
      <c r="A16" s="34"/>
      <c r="B16" s="13" t="s">
        <v>172</v>
      </c>
      <c r="C16" s="10" t="s">
        <v>161</v>
      </c>
      <c r="D16" s="10" t="s">
        <v>223</v>
      </c>
      <c r="E16" s="8">
        <f t="shared" ca="1" si="0"/>
        <v>43214</v>
      </c>
      <c r="F16" s="8">
        <f t="shared" ref="F16" ca="1" si="17">E16+H16</f>
        <v>43229</v>
      </c>
      <c r="G16" s="11">
        <v>1806</v>
      </c>
      <c r="H16" s="10">
        <v>15</v>
      </c>
      <c r="I16" s="12">
        <f>(H16-2)/365</f>
        <v>3.5616438356164383E-2</v>
      </c>
      <c r="J16" s="12">
        <v>0</v>
      </c>
      <c r="K16" s="9">
        <v>0.27</v>
      </c>
      <c r="L16" s="13">
        <f>_xll.dnetGBlackScholesNGreeks("price",$Q16,$P16,$G16,$I16,$C$3,$J16,$K16,$C$4)*R16</f>
        <v>135.98025964888529</v>
      </c>
      <c r="M16" s="15"/>
      <c r="N16" s="13">
        <f t="shared" ref="N16" si="18">M16/10000*I16*P16</f>
        <v>0</v>
      </c>
      <c r="O16" s="13">
        <f>IF(L16&lt;=0,ABS(L16)+N16,L16-N16)</f>
        <v>135.98025964888529</v>
      </c>
      <c r="P16" s="11">
        <f>RTD("wdf.rtq",,D16,"LastPrice")</f>
        <v>1938.5</v>
      </c>
      <c r="Q16" s="10" t="s">
        <v>39</v>
      </c>
      <c r="R16" s="10">
        <f t="shared" ref="R16" si="19">IF(S16="中金买入",1,-1)</f>
        <v>1</v>
      </c>
      <c r="S16" s="10" t="s">
        <v>151</v>
      </c>
      <c r="T16" s="14">
        <f t="shared" ref="T16" si="20">O16/P16</f>
        <v>7.0147154835638534E-2</v>
      </c>
      <c r="U16" s="13">
        <f>_xll.dnetGBlackScholesNGreeks("delta",$Q16,$P16,$G16,$I16,$C$3,$J16,$K16,$C$4)*R16</f>
        <v>0.92079968455891503</v>
      </c>
      <c r="V16" s="13">
        <f>_xll.dnetGBlackScholesNGreeks("vega",$Q16,$P16,$G16,$I16,$C$3,$J16,$K16,$C$4)*R16</f>
        <v>0.53573581185412422</v>
      </c>
      <c r="Y16" s="6">
        <f>V16*5*4000</f>
        <v>10714.716237082484</v>
      </c>
    </row>
    <row r="17" spans="1:25" ht="10.5" customHeight="1" x14ac:dyDescent="0.15">
      <c r="A17" s="34"/>
      <c r="B17" s="13"/>
      <c r="C17" s="10"/>
      <c r="D17" s="10"/>
      <c r="E17" s="8"/>
      <c r="F17" s="8"/>
      <c r="G17" s="10"/>
      <c r="H17" s="10"/>
      <c r="I17" s="12"/>
      <c r="J17" s="12"/>
      <c r="K17" s="9"/>
      <c r="L17" s="13"/>
      <c r="M17" s="15"/>
      <c r="N17" s="13"/>
      <c r="O17" s="13"/>
      <c r="P17" s="11"/>
      <c r="Q17" s="10"/>
      <c r="R17" s="10"/>
      <c r="S17" s="10"/>
      <c r="T17" s="14"/>
      <c r="U17" s="13"/>
      <c r="V17" s="13"/>
    </row>
    <row r="18" spans="1:25" ht="10.5" customHeight="1" x14ac:dyDescent="0.15">
      <c r="A18" s="34"/>
      <c r="B18" s="13" t="s">
        <v>172</v>
      </c>
      <c r="C18" s="10" t="s">
        <v>161</v>
      </c>
      <c r="D18" s="10" t="s">
        <v>249</v>
      </c>
      <c r="E18" s="8">
        <f t="shared" ca="1" si="0"/>
        <v>43214</v>
      </c>
      <c r="F18" s="8">
        <f t="shared" ref="F18" ca="1" si="21">E18+H18</f>
        <v>43255</v>
      </c>
      <c r="G18" s="11">
        <f>P18</f>
        <v>6775</v>
      </c>
      <c r="H18" s="10">
        <v>41</v>
      </c>
      <c r="I18" s="12">
        <f>(H18)/365</f>
        <v>0.11232876712328767</v>
      </c>
      <c r="J18" s="12">
        <v>0</v>
      </c>
      <c r="K18" s="9">
        <v>0.22</v>
      </c>
      <c r="L18" s="13">
        <f>_xll.dnetGBlackScholesNGreeks("price",$Q18,$P18,$G18,$I18,$C$3,$J18,$K18,$C$4)*R18</f>
        <v>-198.79867952596942</v>
      </c>
      <c r="M18" s="15">
        <v>70</v>
      </c>
      <c r="N18" s="13">
        <f t="shared" ref="N18" si="22">M18/10000*I18*P18</f>
        <v>5.3271917808219174</v>
      </c>
      <c r="O18" s="13">
        <f>IF(L18&lt;=0,ABS(L18)+N18,L18-N18)</f>
        <v>204.12587130679134</v>
      </c>
      <c r="P18" s="11">
        <f>RTD("wdf.rtq",,D18,"LastPrice")</f>
        <v>6775</v>
      </c>
      <c r="Q18" s="10" t="s">
        <v>85</v>
      </c>
      <c r="R18" s="10">
        <f t="shared" ref="R18" si="23">IF(S18="中金买入",1,-1)</f>
        <v>-1</v>
      </c>
      <c r="S18" s="10" t="s">
        <v>20</v>
      </c>
      <c r="T18" s="14">
        <f t="shared" ref="T18" si="24">O18/P18</f>
        <v>3.0129279897681379E-2</v>
      </c>
      <c r="U18" s="13">
        <f>_xll.dnetGBlackScholesNGreeks("delta",$Q18,$P18,$G18,$I18,$C$3,$J18,$K18,$C$4)*R18</f>
        <v>0.48420648390674614</v>
      </c>
      <c r="V18" s="13">
        <f>_xll.dnetGBlackScholesNGreeks("vega",$Q18,$P18,$G18,$I18,$C$3,$J18,$K18,$C$4)*R18</f>
        <v>-9.0322061530996507</v>
      </c>
      <c r="Y18" s="6">
        <f>V18*5*4000</f>
        <v>-180644.12306199301</v>
      </c>
    </row>
    <row r="19" spans="1:25" ht="10.5" customHeight="1" x14ac:dyDescent="0.15">
      <c r="A19" s="34"/>
      <c r="B19" s="13"/>
      <c r="C19" s="10"/>
      <c r="D19" s="10"/>
      <c r="E19" s="8"/>
      <c r="F19" s="8"/>
      <c r="G19" s="10"/>
      <c r="H19" s="10"/>
      <c r="I19" s="12"/>
      <c r="J19" s="12"/>
      <c r="K19" s="9"/>
      <c r="L19" s="13"/>
      <c r="M19" s="15"/>
      <c r="N19" s="13"/>
      <c r="O19" s="13"/>
      <c r="P19" s="11"/>
      <c r="Q19" s="10"/>
      <c r="R19" s="10"/>
      <c r="S19" s="10"/>
      <c r="T19" s="14"/>
      <c r="U19" s="13"/>
      <c r="V19" s="13"/>
    </row>
    <row r="20" spans="1:25" ht="10.5" customHeight="1" x14ac:dyDescent="0.15">
      <c r="A20" s="34"/>
      <c r="B20" s="13" t="s">
        <v>172</v>
      </c>
      <c r="C20" s="10" t="s">
        <v>161</v>
      </c>
      <c r="D20" s="10" t="s">
        <v>253</v>
      </c>
      <c r="E20" s="8">
        <f t="shared" ca="1" si="0"/>
        <v>43214</v>
      </c>
      <c r="F20" s="8">
        <f t="shared" ref="F20" ca="1" si="25">E20+H20</f>
        <v>43305</v>
      </c>
      <c r="G20" s="11">
        <v>12325</v>
      </c>
      <c r="H20" s="10">
        <v>91</v>
      </c>
      <c r="I20" s="12">
        <f>(H20)/365</f>
        <v>0.24931506849315069</v>
      </c>
      <c r="J20" s="12">
        <v>0</v>
      </c>
      <c r="K20" s="9">
        <v>0.28999999999999998</v>
      </c>
      <c r="L20" s="13">
        <f>_xll.dnetGBlackScholesNGreeks("price",$Q20,$P20,$G20,$I20,$C$3,$J20,$K20,$C$4)*R20</f>
        <v>-114.05374435640101</v>
      </c>
      <c r="M20" s="15">
        <v>0</v>
      </c>
      <c r="N20" s="13">
        <f t="shared" ref="N20" si="26">M20/10000*I20*P20</f>
        <v>0</v>
      </c>
      <c r="O20" s="13">
        <f>IF(L20&lt;=0,ABS(L20)+N20,L20-N20)</f>
        <v>114.05374435640101</v>
      </c>
      <c r="P20" s="11">
        <f>RTD("wdf.rtq",,D20,"LastPrice")</f>
        <v>14610</v>
      </c>
      <c r="Q20" s="10" t="s">
        <v>85</v>
      </c>
      <c r="R20" s="10">
        <f t="shared" ref="R20" si="27">IF(S20="中金买入",1,-1)</f>
        <v>-1</v>
      </c>
      <c r="S20" s="10" t="s">
        <v>20</v>
      </c>
      <c r="T20" s="14">
        <f t="shared" ref="T20" si="28">O20/P20</f>
        <v>7.8065533440383993E-3</v>
      </c>
      <c r="U20" s="13">
        <f>_xll.dnetGBlackScholesNGreeks("delta",$Q20,$P20,$G20,$I20,$C$3,$J20,$K20,$C$4)*R20</f>
        <v>0.10567926348130641</v>
      </c>
      <c r="V20" s="13">
        <f>_xll.dnetGBlackScholesNGreeks("vega",$Q20,$P20,$G20,$I20,$C$3,$J20,$K20,$C$4)*R20</f>
        <v>-13.302552616734374</v>
      </c>
      <c r="Y20" s="6">
        <f>V20*5*4000</f>
        <v>-266051.0523346875</v>
      </c>
    </row>
    <row r="21" spans="1:25" ht="10.5" customHeight="1" x14ac:dyDescent="0.15">
      <c r="A21" s="34"/>
      <c r="B21" s="13"/>
      <c r="C21" s="10"/>
      <c r="D21" s="10"/>
      <c r="E21" s="8"/>
      <c r="F21" s="8"/>
      <c r="G21" s="11"/>
      <c r="H21" s="10"/>
      <c r="I21" s="12"/>
      <c r="J21" s="12"/>
      <c r="K21" s="9"/>
      <c r="L21" s="13"/>
      <c r="M21" s="15"/>
      <c r="N21" s="13"/>
      <c r="O21" s="13"/>
      <c r="P21" s="11"/>
      <c r="Q21" s="10"/>
      <c r="R21" s="10"/>
      <c r="S21" s="10"/>
      <c r="T21" s="14"/>
      <c r="U21" s="13"/>
      <c r="V21" s="13"/>
    </row>
    <row r="22" spans="1:25" ht="10.5" customHeight="1" x14ac:dyDescent="0.15">
      <c r="A22" s="34"/>
      <c r="B22" s="13" t="s">
        <v>172</v>
      </c>
      <c r="C22" s="10" t="s">
        <v>161</v>
      </c>
      <c r="D22" s="10" t="s">
        <v>202</v>
      </c>
      <c r="E22" s="8">
        <f t="shared" ca="1" si="0"/>
        <v>43214</v>
      </c>
      <c r="F22" s="8">
        <f t="shared" ref="F22" ca="1" si="29">E22+H22</f>
        <v>43244</v>
      </c>
      <c r="G22" s="11">
        <f>P22</f>
        <v>470</v>
      </c>
      <c r="H22" s="10">
        <v>30</v>
      </c>
      <c r="I22" s="12">
        <f>(H22)/365</f>
        <v>8.2191780821917804E-2</v>
      </c>
      <c r="J22" s="12">
        <v>0</v>
      </c>
      <c r="K22" s="9">
        <v>0.28000000000000003</v>
      </c>
      <c r="L22" s="13">
        <f>_xll.dnetGBlackScholesNGreeks("price",$Q22,$P22,$G22,$I22,$C$3,$J22,$K22,$C$4)*R22</f>
        <v>15.022757225968888</v>
      </c>
      <c r="M22" s="15"/>
      <c r="N22" s="13">
        <f t="shared" ref="N22" si="30">M22/10000*I22*P22</f>
        <v>0</v>
      </c>
      <c r="O22" s="13">
        <f>IF(L22&lt;=0,ABS(L22)+N22,L22-N22)</f>
        <v>15.022757225968888</v>
      </c>
      <c r="P22" s="11">
        <f>RTD("wdf.rtq",,D22,"LastPrice")</f>
        <v>470</v>
      </c>
      <c r="Q22" s="10" t="s">
        <v>39</v>
      </c>
      <c r="R22" s="10">
        <f t="shared" ref="R22" si="31">IF(S22="中金买入",1,-1)</f>
        <v>1</v>
      </c>
      <c r="S22" s="10" t="s">
        <v>151</v>
      </c>
      <c r="T22" s="14">
        <f t="shared" ref="T22" si="32">O22/P22</f>
        <v>3.1963313246742314E-2</v>
      </c>
      <c r="U22" s="13">
        <f>_xll.dnetGBlackScholesNGreeks("delta",$Q22,$P22,$G22,$I22,$C$3,$J22,$K22,$C$4)*R22</f>
        <v>0.51516041343262486</v>
      </c>
      <c r="V22" s="13">
        <f>_xll.dnetGBlackScholesNGreeks("vega",$Q22,$P22,$G22,$I22,$C$3,$J22,$K22,$C$4)*R22</f>
        <v>0.53623881464339718</v>
      </c>
      <c r="Y22" s="6">
        <f>V22*5*4000</f>
        <v>10724.776292867944</v>
      </c>
    </row>
    <row r="23" spans="1:25" ht="10.5" customHeight="1" x14ac:dyDescent="0.15">
      <c r="A23" s="34"/>
      <c r="B23" s="13" t="s">
        <v>172</v>
      </c>
      <c r="C23" s="10" t="s">
        <v>161</v>
      </c>
      <c r="D23" s="10" t="s">
        <v>202</v>
      </c>
      <c r="E23" s="8">
        <f t="shared" ca="1" si="0"/>
        <v>43214</v>
      </c>
      <c r="F23" s="8">
        <f t="shared" ref="F23" ca="1" si="33">E23+H23</f>
        <v>43244</v>
      </c>
      <c r="G23" s="11">
        <f>P23</f>
        <v>470</v>
      </c>
      <c r="H23" s="10">
        <v>30</v>
      </c>
      <c r="I23" s="12">
        <f>(H23)/365</f>
        <v>8.2191780821917804E-2</v>
      </c>
      <c r="J23" s="12">
        <v>0</v>
      </c>
      <c r="K23" s="9">
        <v>0.34499999999999997</v>
      </c>
      <c r="L23" s="13">
        <f>_xll.dnetGBlackScholesNGreeks("price",$Q23,$P23,$G23,$I23,$C$3,$J23,$K23,$C$4)*R23</f>
        <v>-18.507608625099266</v>
      </c>
      <c r="M23" s="15"/>
      <c r="N23" s="13">
        <f t="shared" ref="N23" si="34">M23/10000*I23*P23</f>
        <v>0</v>
      </c>
      <c r="O23" s="13">
        <f>IF(L23&lt;=0,ABS(L23)+N23,L23-N23)</f>
        <v>18.507608625099266</v>
      </c>
      <c r="P23" s="11">
        <f>RTD("wdf.rtq",,D23,"LastPrice")</f>
        <v>470</v>
      </c>
      <c r="Q23" s="10" t="s">
        <v>39</v>
      </c>
      <c r="R23" s="10">
        <f t="shared" ref="R23" si="35">IF(S23="中金买入",1,-1)</f>
        <v>-1</v>
      </c>
      <c r="S23" s="10" t="s">
        <v>20</v>
      </c>
      <c r="T23" s="14">
        <f t="shared" ref="T23" si="36">O23/P23</f>
        <v>3.9377890691700564E-2</v>
      </c>
      <c r="U23" s="13">
        <f>_xll.dnetGBlackScholesNGreeks("delta",$Q23,$P23,$G23,$I23,$C$3,$J23,$K23,$C$4)*R23</f>
        <v>-0.51886770226161616</v>
      </c>
      <c r="V23" s="13">
        <f>_xll.dnetGBlackScholesNGreeks("vega",$Q23,$P23,$G23,$I23,$C$3,$J23,$K23,$C$4)*R23</f>
        <v>-0.53601504606827177</v>
      </c>
      <c r="Y23" s="6">
        <f>V23*5*4000</f>
        <v>-10720.300921365435</v>
      </c>
    </row>
    <row r="24" spans="1:25" ht="10.5" customHeight="1" x14ac:dyDescent="0.15">
      <c r="A24" s="34"/>
      <c r="B24" s="13"/>
      <c r="C24" s="10"/>
      <c r="D24" s="10"/>
      <c r="E24" s="8"/>
      <c r="F24" s="8"/>
      <c r="G24" s="11"/>
      <c r="H24" s="10"/>
      <c r="I24" s="12"/>
      <c r="J24" s="12"/>
      <c r="K24" s="9"/>
      <c r="L24" s="13"/>
      <c r="M24" s="15"/>
      <c r="N24" s="13"/>
      <c r="O24" s="13"/>
      <c r="P24" s="11"/>
      <c r="Q24" s="10"/>
      <c r="R24" s="10"/>
      <c r="S24" s="10"/>
      <c r="T24" s="14"/>
      <c r="U24" s="13"/>
      <c r="V24" s="13"/>
    </row>
    <row r="25" spans="1:25" ht="10.5" customHeight="1" x14ac:dyDescent="0.15">
      <c r="A25" s="34"/>
      <c r="B25" s="13" t="s">
        <v>172</v>
      </c>
      <c r="C25" s="10" t="s">
        <v>161</v>
      </c>
      <c r="D25" s="10" t="s">
        <v>255</v>
      </c>
      <c r="E25" s="8">
        <f t="shared" ca="1" si="0"/>
        <v>43214</v>
      </c>
      <c r="F25" s="8">
        <f t="shared" ref="F25" ca="1" si="37">E25+H25</f>
        <v>43229</v>
      </c>
      <c r="G25" s="11">
        <f>P25</f>
        <v>9230</v>
      </c>
      <c r="H25" s="10">
        <v>15</v>
      </c>
      <c r="I25" s="12">
        <f>(H25)/365</f>
        <v>4.1095890410958902E-2</v>
      </c>
      <c r="J25" s="12">
        <v>0</v>
      </c>
      <c r="K25" s="9">
        <v>0.17199999999999999</v>
      </c>
      <c r="L25" s="13">
        <f>_xll.dnetGBlackScholesNGreeks("price",$Q25,$P25,$G25,$I25,$C$3,$J25,$K25,$C$4)*R25</f>
        <v>-128.28044471449175</v>
      </c>
      <c r="M25" s="15">
        <v>70</v>
      </c>
      <c r="N25" s="13">
        <f t="shared" ref="N25" si="38">M25/10000*I25*P25</f>
        <v>2.6552054794520545</v>
      </c>
      <c r="O25" s="13">
        <f>IF(L25&lt;=0,ABS(L25)+N25,L25-N25)</f>
        <v>130.93565019394381</v>
      </c>
      <c r="P25" s="11">
        <f>RTD("wdf.rtq",,D25,"LastPrice")</f>
        <v>9230</v>
      </c>
      <c r="Q25" s="10" t="s">
        <v>39</v>
      </c>
      <c r="R25" s="10">
        <f t="shared" ref="R25" si="39">IF(S25="中金买入",1,-1)</f>
        <v>-1</v>
      </c>
      <c r="S25" s="10" t="s">
        <v>20</v>
      </c>
      <c r="T25" s="14">
        <f t="shared" ref="T25" si="40">O25/P25</f>
        <v>1.4185877594143425E-2</v>
      </c>
      <c r="U25" s="13">
        <f>_xll.dnetGBlackScholesNGreeks("delta",$Q25,$P25,$G25,$I25,$C$3,$J25,$K25,$C$4)*R25</f>
        <v>-0.50653831312956754</v>
      </c>
      <c r="V25" s="13">
        <f>_xll.dnetGBlackScholesNGreeks("vega",$Q25,$P25,$G25,$I25,$C$3,$J25,$K25,$C$4)*R25</f>
        <v>-7.4574085198964895</v>
      </c>
      <c r="Y25" s="6">
        <f>V25*5*4000</f>
        <v>-149148.17039792979</v>
      </c>
    </row>
    <row r="26" spans="1:25" ht="10.5" customHeight="1" x14ac:dyDescent="0.15">
      <c r="A26" s="34"/>
      <c r="B26" s="13"/>
      <c r="C26" s="10"/>
      <c r="D26" s="10"/>
      <c r="E26" s="8"/>
      <c r="F26" s="8"/>
      <c r="G26" s="11"/>
      <c r="H26" s="10"/>
      <c r="I26" s="12"/>
      <c r="J26" s="12"/>
      <c r="K26" s="9"/>
      <c r="L26" s="13"/>
      <c r="M26" s="15"/>
      <c r="N26" s="13"/>
      <c r="O26" s="13"/>
      <c r="P26" s="11"/>
      <c r="Q26" s="10"/>
      <c r="R26" s="10"/>
      <c r="S26" s="10"/>
      <c r="T26" s="14"/>
      <c r="U26" s="13"/>
      <c r="V26" s="13"/>
    </row>
    <row r="27" spans="1:25" ht="10.5" customHeight="1" x14ac:dyDescent="0.15">
      <c r="A27" s="34"/>
      <c r="B27" s="13" t="s">
        <v>172</v>
      </c>
      <c r="C27" s="10" t="s">
        <v>161</v>
      </c>
      <c r="D27" s="10" t="s">
        <v>253</v>
      </c>
      <c r="E27" s="8">
        <f t="shared" ca="1" si="0"/>
        <v>43214</v>
      </c>
      <c r="F27" s="8">
        <f t="shared" ref="F27" ca="1" si="41">E27+H27</f>
        <v>43304</v>
      </c>
      <c r="G27" s="11">
        <v>12000</v>
      </c>
      <c r="H27" s="10">
        <v>90</v>
      </c>
      <c r="I27" s="12">
        <f>(H27)/365</f>
        <v>0.24657534246575341</v>
      </c>
      <c r="J27" s="12">
        <v>0</v>
      </c>
      <c r="K27" s="9">
        <v>0.28999999999999998</v>
      </c>
      <c r="L27" s="13">
        <f>_xll.dnetGBlackScholesNGreeks("price",$Q27,$P27,$G27,$I27,$C$3,$J27,$K27,$C$4)*R27</f>
        <v>-74.709575848051827</v>
      </c>
      <c r="M27" s="15">
        <v>70</v>
      </c>
      <c r="N27" s="13">
        <f t="shared" ref="N27" si="42">M27/10000*I27*P27</f>
        <v>25.217260273972602</v>
      </c>
      <c r="O27" s="13">
        <f>IF(L27&lt;=0,ABS(L27)+N27,L27-N27)</f>
        <v>99.926836122024426</v>
      </c>
      <c r="P27" s="11">
        <f>RTD("wdf.rtq",,D27,"LastPrice")</f>
        <v>14610</v>
      </c>
      <c r="Q27" s="10" t="s">
        <v>85</v>
      </c>
      <c r="R27" s="10">
        <f t="shared" ref="R27" si="43">IF(S27="中金买入",1,-1)</f>
        <v>-1</v>
      </c>
      <c r="S27" s="10" t="s">
        <v>20</v>
      </c>
      <c r="T27" s="14">
        <f t="shared" ref="T27" si="44">O27/P27</f>
        <v>6.8396191733076268E-3</v>
      </c>
      <c r="U27" s="13">
        <f>_xll.dnetGBlackScholesNGreeks("delta",$Q27,$P27,$G27,$I27,$C$3,$J27,$K27,$C$4)*R27</f>
        <v>7.4757696575034061E-2</v>
      </c>
      <c r="V27" s="13">
        <f>_xll.dnetGBlackScholesNGreeks("vega",$Q27,$P27,$G27,$I27,$C$3,$J27,$K27,$C$4)*R27</f>
        <v>-10.227923203329112</v>
      </c>
      <c r="Y27" s="6">
        <f>6000*U27</f>
        <v>448.54617945020436</v>
      </c>
    </row>
    <row r="28" spans="1:25" ht="10.5" customHeight="1" x14ac:dyDescent="0.15">
      <c r="A28" s="34"/>
      <c r="B28" s="13"/>
      <c r="C28" s="10"/>
      <c r="D28" s="10"/>
      <c r="E28" s="8"/>
      <c r="F28" s="8"/>
      <c r="G28" s="11"/>
      <c r="H28" s="10"/>
      <c r="I28" s="12"/>
      <c r="J28" s="12"/>
      <c r="K28" s="9"/>
      <c r="L28" s="13"/>
      <c r="M28" s="15"/>
      <c r="N28" s="13"/>
      <c r="O28" s="13"/>
      <c r="P28" s="11"/>
      <c r="Q28" s="10"/>
      <c r="R28" s="10"/>
      <c r="S28" s="10"/>
      <c r="T28" s="14"/>
      <c r="U28" s="13"/>
      <c r="V28" s="13"/>
    </row>
    <row r="29" spans="1:25" ht="10.5" customHeight="1" x14ac:dyDescent="0.15">
      <c r="A29" s="34"/>
      <c r="B29" s="13" t="s">
        <v>172</v>
      </c>
      <c r="C29" s="10" t="s">
        <v>161</v>
      </c>
      <c r="D29" s="10" t="s">
        <v>212</v>
      </c>
      <c r="E29" s="8">
        <f t="shared" ca="1" si="0"/>
        <v>43214</v>
      </c>
      <c r="F29" s="8">
        <f t="shared" ref="F29" ca="1" si="45">E29+H29</f>
        <v>43266</v>
      </c>
      <c r="G29" s="11">
        <v>14500</v>
      </c>
      <c r="H29" s="10">
        <v>52</v>
      </c>
      <c r="I29" s="12">
        <f>(H29)/365</f>
        <v>0.14246575342465753</v>
      </c>
      <c r="J29" s="12">
        <v>0</v>
      </c>
      <c r="K29" s="9">
        <v>0.2</v>
      </c>
      <c r="L29" s="13">
        <f>_xll.dnetGBlackScholesNGreeks("price",$Q29,$P29,$G29,$I29,$C$3,$J29,$K29,$C$4)*R29</f>
        <v>-454.96770313913021</v>
      </c>
      <c r="M29" s="15">
        <v>0</v>
      </c>
      <c r="N29" s="13">
        <f t="shared" ref="N29" si="46">M29/10000*I29*P29</f>
        <v>0</v>
      </c>
      <c r="O29" s="13">
        <f>IF(L29&lt;=0,ABS(L29)+N29,L29-N29)</f>
        <v>454.96770313913021</v>
      </c>
      <c r="P29" s="11">
        <f>RTD("wdf.rtq",,D29,"LastPrice")</f>
        <v>14460</v>
      </c>
      <c r="Q29" s="10" t="s">
        <v>85</v>
      </c>
      <c r="R29" s="10">
        <f t="shared" ref="R29" si="47">IF(S29="中金买入",1,-1)</f>
        <v>-1</v>
      </c>
      <c r="S29" s="10" t="s">
        <v>20</v>
      </c>
      <c r="T29" s="14">
        <f t="shared" ref="T29" si="48">O29/P29</f>
        <v>3.1463879885140399E-2</v>
      </c>
      <c r="U29" s="13">
        <f>_xll.dnetGBlackScholesNGreeks("delta",$Q29,$P29,$G29,$I29,$C$3,$J29,$K29,$C$4)*R29</f>
        <v>0.49811952467280207</v>
      </c>
      <c r="V29" s="13">
        <f>_xll.dnetGBlackScholesNGreeks("vega",$Q29,$P29,$G29,$I29,$C$3,$J29,$K29,$C$4)*R29</f>
        <v>-21.71175263385021</v>
      </c>
      <c r="Y29" s="6">
        <f>6000*U29</f>
        <v>2988.7171480368124</v>
      </c>
    </row>
    <row r="30" spans="1:25" ht="10.5" customHeight="1" x14ac:dyDescent="0.15">
      <c r="A30" s="34"/>
      <c r="B30" s="13"/>
      <c r="C30" s="10"/>
      <c r="D30" s="10"/>
      <c r="E30" s="8"/>
      <c r="F30" s="8"/>
      <c r="G30" s="11"/>
      <c r="H30" s="10"/>
      <c r="I30" s="12"/>
      <c r="J30" s="12"/>
      <c r="K30" s="9"/>
      <c r="L30" s="13"/>
      <c r="M30" s="15"/>
      <c r="N30" s="13"/>
      <c r="O30" s="13"/>
      <c r="P30" s="11"/>
      <c r="Q30" s="10"/>
      <c r="R30" s="10"/>
      <c r="S30" s="10"/>
      <c r="T30" s="14"/>
      <c r="U30" s="13"/>
      <c r="V30" s="13"/>
    </row>
    <row r="31" spans="1:25" ht="10.5" customHeight="1" x14ac:dyDescent="0.15">
      <c r="A31" s="34"/>
      <c r="B31" s="13" t="s">
        <v>172</v>
      </c>
      <c r="C31" s="10" t="s">
        <v>161</v>
      </c>
      <c r="D31" s="10" t="s">
        <v>256</v>
      </c>
      <c r="E31" s="8">
        <f t="shared" ca="1" si="0"/>
        <v>43214</v>
      </c>
      <c r="F31" s="8">
        <f t="shared" ref="F31:F32" ca="1" si="49">E31+H31</f>
        <v>43305</v>
      </c>
      <c r="G31" s="11">
        <v>4500</v>
      </c>
      <c r="H31" s="10">
        <v>91</v>
      </c>
      <c r="I31" s="12">
        <f>(H31-2)/365</f>
        <v>0.24383561643835616</v>
      </c>
      <c r="J31" s="12">
        <v>0</v>
      </c>
      <c r="K31" s="9">
        <v>0.13500000000000001</v>
      </c>
      <c r="L31" s="13">
        <f>_xll.dnetGBlackScholesNGreeks("price",$Q31,$P31,$G31,$I31,$C$3,$J31,$K31,$C$4)*R31</f>
        <v>-8.7807598191878924</v>
      </c>
      <c r="M31" s="15">
        <v>0</v>
      </c>
      <c r="N31" s="13">
        <f t="shared" ref="N31:N32" si="50">M31/10000*I31*P31</f>
        <v>0</v>
      </c>
      <c r="O31" s="13">
        <f>IF(L31&lt;=0,ABS(L31)+N31,L31-N31)</f>
        <v>8.7807598191878924</v>
      </c>
      <c r="P31" s="11">
        <f>RTD("wdf.rtq",,D31,"LastPrice")</f>
        <v>4980</v>
      </c>
      <c r="Q31" s="10" t="s">
        <v>85</v>
      </c>
      <c r="R31" s="10">
        <f t="shared" ref="R31:R32" si="51">IF(S31="中金买入",1,-1)</f>
        <v>-1</v>
      </c>
      <c r="S31" s="10" t="s">
        <v>20</v>
      </c>
      <c r="T31" s="14">
        <f t="shared" ref="T31:T32" si="52">O31/P31</f>
        <v>1.7632047829694564E-3</v>
      </c>
      <c r="U31" s="13">
        <f>_xll.dnetGBlackScholesNGreeks("delta",$Q31,$P31,$G31,$I31,$C$3,$J31,$K31,$C$4)*R31</f>
        <v>5.9834160200011866E-2</v>
      </c>
      <c r="V31" s="13">
        <f>_xll.dnetGBlackScholesNGreeks("vega",$Q31,$P31,$G31,$I31,$C$3,$J31,$K31,$C$4)*R31</f>
        <v>-2.915715333489274</v>
      </c>
      <c r="Y31" s="6">
        <f>6000*U31</f>
        <v>359.00496120007119</v>
      </c>
    </row>
    <row r="32" spans="1:25" ht="10.5" customHeight="1" x14ac:dyDescent="0.15">
      <c r="A32" s="34"/>
      <c r="B32" s="13" t="s">
        <v>172</v>
      </c>
      <c r="C32" s="10" t="s">
        <v>161</v>
      </c>
      <c r="D32" s="10" t="s">
        <v>256</v>
      </c>
      <c r="E32" s="8">
        <f t="shared" ca="1" si="0"/>
        <v>43214</v>
      </c>
      <c r="F32" s="8">
        <f t="shared" ca="1" si="49"/>
        <v>43305</v>
      </c>
      <c r="G32" s="11">
        <v>5300</v>
      </c>
      <c r="H32" s="10">
        <v>91</v>
      </c>
      <c r="I32" s="12">
        <f>(H32-2)/365</f>
        <v>0.24383561643835616</v>
      </c>
      <c r="J32" s="12">
        <v>0</v>
      </c>
      <c r="K32" s="9">
        <v>0.13500000000000001</v>
      </c>
      <c r="L32" s="13">
        <f>_xll.dnetGBlackScholesNGreeks("price",$Q32,$P32,$G32,$I32,$C$3,$J32,$K32,$C$4)*R32</f>
        <v>-32.123703517074773</v>
      </c>
      <c r="M32" s="15">
        <v>0</v>
      </c>
      <c r="N32" s="13">
        <f t="shared" si="50"/>
        <v>0</v>
      </c>
      <c r="O32" s="13">
        <f>IF(L32&lt;=0,ABS(L32)+N32,L32-N32)</f>
        <v>32.123703517074773</v>
      </c>
      <c r="P32" s="11">
        <f>RTD("wdf.rtq",,D32,"LastPrice")</f>
        <v>4980</v>
      </c>
      <c r="Q32" s="10" t="s">
        <v>257</v>
      </c>
      <c r="R32" s="10">
        <f t="shared" si="51"/>
        <v>-1</v>
      </c>
      <c r="S32" s="10" t="s">
        <v>20</v>
      </c>
      <c r="T32" s="14">
        <f t="shared" si="52"/>
        <v>6.4505428749146131E-3</v>
      </c>
      <c r="U32" s="13">
        <f>_xll.dnetGBlackScholesNGreeks("delta",$Q32,$P32,$G32,$I32,$C$3,$J32,$K32,$C$4)*R32</f>
        <v>-0.18293193049885303</v>
      </c>
      <c r="V32" s="13">
        <f>_xll.dnetGBlackScholesNGreeks("vega",$Q32,$P32,$G32,$I32,$C$3,$J32,$K32,$C$4)*R32</f>
        <v>-6.4952665205311177</v>
      </c>
      <c r="Y32" s="6">
        <f>6000*U32</f>
        <v>-1097.5915829931182</v>
      </c>
    </row>
    <row r="33" spans="1:22" ht="10.5" customHeight="1" x14ac:dyDescent="0.15">
      <c r="A33" s="34"/>
      <c r="B33" s="13"/>
      <c r="C33" s="10"/>
      <c r="D33" s="10"/>
      <c r="E33" s="8"/>
      <c r="F33" s="8"/>
      <c r="G33" s="11"/>
      <c r="H33" s="10"/>
      <c r="I33" s="12"/>
      <c r="J33" s="12"/>
      <c r="K33" s="9"/>
      <c r="L33" s="13"/>
      <c r="M33" s="15"/>
      <c r="N33" s="13"/>
      <c r="O33" s="13"/>
      <c r="P33" s="11"/>
      <c r="Q33" s="10"/>
      <c r="R33" s="10"/>
      <c r="S33" s="10"/>
      <c r="T33" s="14"/>
      <c r="U33" s="13"/>
      <c r="V33" s="13"/>
    </row>
    <row r="34" spans="1:22" ht="10.5" customHeight="1" x14ac:dyDescent="0.15">
      <c r="A34" s="34"/>
      <c r="B34" s="13"/>
      <c r="C34" s="10"/>
      <c r="D34" s="10"/>
      <c r="E34" s="8"/>
      <c r="F34" s="8"/>
      <c r="G34" s="11"/>
      <c r="H34" s="10"/>
      <c r="I34" s="12"/>
      <c r="J34" s="12"/>
      <c r="K34" s="9"/>
      <c r="L34" s="13"/>
      <c r="M34" s="15"/>
      <c r="N34" s="13"/>
      <c r="O34" s="13"/>
      <c r="P34" s="11"/>
      <c r="Q34" s="10"/>
      <c r="R34" s="10"/>
      <c r="S34" s="10"/>
      <c r="T34" s="14"/>
      <c r="U34" s="13"/>
      <c r="V34" s="13"/>
    </row>
    <row r="35" spans="1:22" x14ac:dyDescent="0.15">
      <c r="F35" s="113"/>
    </row>
    <row r="36" spans="1:22" ht="10.5" customHeight="1" x14ac:dyDescent="0.15">
      <c r="A36" s="34"/>
      <c r="B36" s="13"/>
      <c r="C36" s="10"/>
      <c r="D36" s="10"/>
      <c r="E36" s="8"/>
      <c r="F36" s="8"/>
      <c r="G36" s="11"/>
      <c r="H36" s="10"/>
      <c r="I36" s="12"/>
      <c r="J36" s="12"/>
      <c r="K36" s="9"/>
      <c r="L36" s="13"/>
      <c r="M36" s="15"/>
      <c r="N36" s="13"/>
      <c r="O36" s="13"/>
      <c r="P36" s="11"/>
      <c r="Q36" s="10"/>
      <c r="R36" s="10"/>
      <c r="S36" s="10"/>
      <c r="T36" s="14"/>
      <c r="U36" s="13"/>
      <c r="V36" s="13"/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S8:S9 S11 S36 S13:S34</xm:sqref>
        </x14:dataValidation>
        <x14:dataValidation type="list" allowBlank="1" showInputMessage="1" showErrorMessage="1">
          <x14:formula1>
            <xm:f>configs!$C$1:$C$2</xm:f>
          </x14:formula1>
          <xm:sqref>Q8:Q9 Q11 Q36 Q13:Q34</xm:sqref>
        </x14:dataValidation>
        <x14:dataValidation type="list" allowBlank="1" showInputMessage="1">
          <x14:formula1>
            <xm:f>configs!$A$1:$A$36</xm:f>
          </x14:formula1>
          <xm:sqref>C8:C9 C11 C36 C13:C34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29"/>
  <sheetViews>
    <sheetView zoomScale="85" zoomScaleNormal="85" workbookViewId="0">
      <selection activeCell="V4" sqref="V4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9" style="6"/>
    <col min="5" max="5" width="11.625" style="6" bestFit="1" customWidth="1"/>
    <col min="6" max="6" width="10.5" style="6" bestFit="1" customWidth="1"/>
    <col min="7" max="7" width="11.5" style="6" customWidth="1"/>
    <col min="8" max="9" width="8.125" style="6" customWidth="1"/>
    <col min="10" max="10" width="9.25" style="6" bestFit="1" customWidth="1"/>
    <col min="11" max="11" width="7.25" style="6" customWidth="1"/>
    <col min="12" max="12" width="9.25" style="6" bestFit="1" customWidth="1"/>
    <col min="13" max="13" width="10.125" style="6" customWidth="1"/>
    <col min="14" max="14" width="6.5" style="6" customWidth="1"/>
    <col min="15" max="15" width="15.25" style="6" customWidth="1"/>
    <col min="16" max="16" width="10.5" style="6" bestFit="1" customWidth="1"/>
    <col min="17" max="17" width="9" style="6"/>
    <col min="18" max="18" width="9.375" style="6" customWidth="1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 x14ac:dyDescent="0.2">
      <c r="B1" s="140" t="s">
        <v>37</v>
      </c>
      <c r="C1" s="139"/>
    </row>
    <row r="2" spans="1:22" ht="12" thickTop="1" x14ac:dyDescent="0.15">
      <c r="B2" s="29" t="s">
        <v>0</v>
      </c>
      <c r="C2" s="4">
        <v>43061</v>
      </c>
    </row>
    <row r="3" spans="1:22" x14ac:dyDescent="0.15">
      <c r="B3" s="29" t="s">
        <v>1</v>
      </c>
      <c r="C3" s="29">
        <v>0.02</v>
      </c>
    </row>
    <row r="4" spans="1:22" ht="12" thickBot="1" x14ac:dyDescent="0.2">
      <c r="B4" s="30" t="s">
        <v>18</v>
      </c>
      <c r="C4" s="30">
        <v>0.01</v>
      </c>
    </row>
    <row r="5" spans="1:22" ht="12" thickTop="1" x14ac:dyDescent="0.15"/>
    <row r="6" spans="1:22" ht="12" thickBo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 x14ac:dyDescent="0.2">
      <c r="A7" s="39"/>
      <c r="B7" s="40" t="s">
        <v>29</v>
      </c>
      <c r="C7" s="40" t="s">
        <v>2</v>
      </c>
      <c r="D7" s="41" t="s">
        <v>181</v>
      </c>
      <c r="E7" s="41" t="s">
        <v>183</v>
      </c>
      <c r="F7" s="41" t="s">
        <v>10</v>
      </c>
      <c r="G7" s="41" t="s">
        <v>7</v>
      </c>
      <c r="H7" s="41" t="s">
        <v>11</v>
      </c>
      <c r="I7" s="41" t="s">
        <v>12</v>
      </c>
      <c r="J7" s="41" t="s">
        <v>47</v>
      </c>
      <c r="K7" s="41" t="s">
        <v>13</v>
      </c>
      <c r="L7" s="41" t="s">
        <v>14</v>
      </c>
      <c r="M7" s="41" t="s">
        <v>26</v>
      </c>
      <c r="N7" s="41" t="s">
        <v>28</v>
      </c>
      <c r="O7" s="41" t="s">
        <v>182</v>
      </c>
      <c r="P7" s="41" t="s">
        <v>8</v>
      </c>
      <c r="Q7" s="41" t="s">
        <v>23</v>
      </c>
      <c r="R7" s="41"/>
      <c r="S7" s="41" t="s">
        <v>30</v>
      </c>
      <c r="T7" s="40" t="s">
        <v>33</v>
      </c>
      <c r="U7" s="40" t="s">
        <v>16</v>
      </c>
      <c r="V7" s="40" t="s">
        <v>17</v>
      </c>
    </row>
    <row r="8" spans="1:22" ht="14.25" thickTop="1" x14ac:dyDescent="0.15">
      <c r="A8" s="42"/>
      <c r="B8" s="43" t="s">
        <v>173</v>
      </c>
      <c r="C8" s="44" t="s">
        <v>160</v>
      </c>
      <c r="D8" s="44" t="s">
        <v>159</v>
      </c>
      <c r="E8" s="46">
        <f ca="1">TODAY()</f>
        <v>43214</v>
      </c>
      <c r="F8" s="46">
        <f ca="1">E8+H8</f>
        <v>43244</v>
      </c>
      <c r="G8" s="44">
        <v>100</v>
      </c>
      <c r="H8" s="44">
        <v>30</v>
      </c>
      <c r="I8" s="47">
        <f>H8/365</f>
        <v>8.2191780821917804E-2</v>
      </c>
      <c r="J8" s="47">
        <v>0</v>
      </c>
      <c r="K8" s="48">
        <v>0.32</v>
      </c>
      <c r="L8" s="43">
        <f>_xll.dnetGBlackScholesNGreeks("price",$Q8,$P8,$G8,$I8,$C$3,$J8,$K8,$C$4)*R8</f>
        <v>-3.6526499295562971</v>
      </c>
      <c r="M8" s="49"/>
      <c r="N8" s="43"/>
      <c r="O8" s="43">
        <f t="shared" ref="O8:O10" si="0">IF(L8&lt;=0,ABS(L8)+N8,L8-N8)</f>
        <v>3.6526499295562971</v>
      </c>
      <c r="P8" s="45">
        <v>100</v>
      </c>
      <c r="Q8" s="44" t="s">
        <v>39</v>
      </c>
      <c r="R8" s="44">
        <f>IF(S8="中金买入",1,-1)</f>
        <v>-1</v>
      </c>
      <c r="S8" s="48" t="s">
        <v>20</v>
      </c>
      <c r="T8" s="50"/>
      <c r="U8" s="43">
        <f>_xll.dnetGBlackScholesNGreeks("delta",$Q8,$P8,$G8,$I8,$C$3,$J8,$K8,$C$4)*R8</f>
        <v>-0.51744199617651532</v>
      </c>
      <c r="V8" s="43">
        <f>_xll.dnetGBlackScholesNGreeks("vega",$Q8,$P8,$G8,$I8,$C$3,$J8,$K8,$C$4)*R8</f>
        <v>-0.11406523569462124</v>
      </c>
    </row>
    <row r="9" spans="1:22" ht="13.5" x14ac:dyDescent="0.15">
      <c r="A9" s="42"/>
      <c r="B9" s="51" t="s">
        <v>174</v>
      </c>
      <c r="C9" s="52" t="s">
        <v>160</v>
      </c>
      <c r="D9" s="52" t="s">
        <v>159</v>
      </c>
      <c r="E9" s="54">
        <f ca="1">E8</f>
        <v>43214</v>
      </c>
      <c r="F9" s="54">
        <f ca="1">F8</f>
        <v>43244</v>
      </c>
      <c r="G9" s="52">
        <v>100</v>
      </c>
      <c r="H9" s="52">
        <f>H8</f>
        <v>30</v>
      </c>
      <c r="I9" s="55">
        <f>H9/365</f>
        <v>8.2191780821917804E-2</v>
      </c>
      <c r="J9" s="55">
        <f>J8</f>
        <v>0</v>
      </c>
      <c r="K9" s="56">
        <v>0.3</v>
      </c>
      <c r="L9" s="51">
        <f>_xll.dnetGBlackScholesNGreeks("price",$Q9,$P9,$G9,$I9,$C$3,$J9,$K9,$C$4)*R9</f>
        <v>3.4245046917201378</v>
      </c>
      <c r="M9" s="57"/>
      <c r="N9" s="51"/>
      <c r="O9" s="51">
        <f t="shared" si="0"/>
        <v>3.4245046917201378</v>
      </c>
      <c r="P9" s="53">
        <v>100</v>
      </c>
      <c r="Q9" s="52" t="s">
        <v>39</v>
      </c>
      <c r="R9" s="52">
        <f>IF(S9="中金买入",1,-1)</f>
        <v>1</v>
      </c>
      <c r="S9" s="56" t="s">
        <v>151</v>
      </c>
      <c r="T9" s="58"/>
      <c r="U9" s="51">
        <f>_xll.dnetGBlackScholesNGreeks("delta",$Q9,$P9,$G9,$I9,$C$3,$J9,$K9,$C$4)*R9</f>
        <v>0.51630126926376363</v>
      </c>
      <c r="V9" s="51">
        <f>_xll.dnetGBlackScholesNGreeks("vega",$Q9,$P9,$G9,$I9,$C$3,$J9,$K9,$C$4)*R9</f>
        <v>0.11407976820886745</v>
      </c>
    </row>
    <row r="10" spans="1:22" ht="14.25" thickBot="1" x14ac:dyDescent="0.2">
      <c r="A10" s="42"/>
      <c r="B10" s="59" t="s">
        <v>175</v>
      </c>
      <c r="C10" s="60" t="s">
        <v>160</v>
      </c>
      <c r="D10" s="60" t="str">
        <f>D9</f>
        <v>RB1805</v>
      </c>
      <c r="E10" s="62">
        <f ca="1">E9</f>
        <v>43214</v>
      </c>
      <c r="F10" s="62">
        <f ca="1">F9</f>
        <v>43244</v>
      </c>
      <c r="G10" s="60" t="str">
        <f>G8 &amp; "|" &amp; G9</f>
        <v>100|100</v>
      </c>
      <c r="H10" s="60">
        <f>H9</f>
        <v>30</v>
      </c>
      <c r="I10" s="63">
        <f>I9</f>
        <v>8.2191780821917804E-2</v>
      </c>
      <c r="J10" s="63"/>
      <c r="K10" s="60"/>
      <c r="L10" s="59">
        <f>L9+L8</f>
        <v>-0.22814523783615925</v>
      </c>
      <c r="M10" s="60"/>
      <c r="N10" s="59">
        <f>M10/10000*I10*P10</f>
        <v>0</v>
      </c>
      <c r="O10" s="59">
        <f t="shared" si="0"/>
        <v>0.22814523783615925</v>
      </c>
      <c r="P10" s="61">
        <f>P9</f>
        <v>100</v>
      </c>
      <c r="Q10" s="60"/>
      <c r="R10" s="60"/>
      <c r="S10" s="56" t="s">
        <v>151</v>
      </c>
      <c r="T10" s="64">
        <f>O10/P10</f>
        <v>2.2814523783615927E-3</v>
      </c>
      <c r="U10" s="64">
        <f>U9+U8</f>
        <v>-1.1407269127516884E-3</v>
      </c>
      <c r="V10" s="64">
        <f>V9+V8</f>
        <v>1.4532514246212713E-5</v>
      </c>
    </row>
    <row r="11" spans="1:22" s="95" customFormat="1" ht="14.25" thickTop="1" x14ac:dyDescent="0.15">
      <c r="A11" s="96"/>
      <c r="B11" s="43" t="s">
        <v>173</v>
      </c>
      <c r="C11" s="44" t="s">
        <v>160</v>
      </c>
      <c r="D11" s="44" t="s">
        <v>202</v>
      </c>
      <c r="E11" s="46">
        <f ca="1">TODAY()</f>
        <v>43214</v>
      </c>
      <c r="F11" s="46">
        <f ca="1">E11+H11</f>
        <v>43229</v>
      </c>
      <c r="G11" s="114">
        <f>P11-20</f>
        <v>450</v>
      </c>
      <c r="H11" s="44">
        <v>15</v>
      </c>
      <c r="I11" s="47">
        <f>H11/365</f>
        <v>4.1095890410958902E-2</v>
      </c>
      <c r="J11" s="47">
        <v>0</v>
      </c>
      <c r="K11" s="48">
        <v>0.3</v>
      </c>
      <c r="L11" s="43">
        <f>_xll.dnetGBlackScholesNGreeks("price",$Q11,$P11,$G11,$I11,$C$3,$J11,$K11,$C$4)*R11</f>
        <v>-3.8912702006581696</v>
      </c>
      <c r="M11" s="49"/>
      <c r="N11" s="43"/>
      <c r="O11" s="43">
        <f t="shared" ref="O11:O13" si="1">IF(L11&lt;=0,ABS(L11)+N11,L11-N11)</f>
        <v>3.8912702006581696</v>
      </c>
      <c r="P11" s="110">
        <f>RTD("wdf.rtq",,D11,"LastPrice")</f>
        <v>470</v>
      </c>
      <c r="Q11" s="44" t="s">
        <v>85</v>
      </c>
      <c r="R11" s="44">
        <f>IF(S11="中金买入",1,-1)</f>
        <v>-1</v>
      </c>
      <c r="S11" s="48" t="s">
        <v>20</v>
      </c>
      <c r="T11" s="50"/>
      <c r="U11" s="43">
        <f>_xll.dnetGBlackScholesNGreeks("delta",$Q11,$P11,$G11,$I11,$C$3,$J11,$K11,$C$4)*R11</f>
        <v>0.2278181659015388</v>
      </c>
      <c r="V11" s="43">
        <f>_xll.dnetGBlackScholesNGreeks("vega",$Q11,$P11,$G11,$I11,$C$3,$J11,$K11,$C$4)*R11</f>
        <v>-0.28759799070841296</v>
      </c>
    </row>
    <row r="12" spans="1:22" s="95" customFormat="1" ht="13.5" x14ac:dyDescent="0.15">
      <c r="A12" s="96"/>
      <c r="B12" s="51" t="s">
        <v>174</v>
      </c>
      <c r="C12" s="52" t="s">
        <v>160</v>
      </c>
      <c r="D12" s="52" t="s">
        <v>202</v>
      </c>
      <c r="E12" s="54">
        <f t="shared" ref="E12:F12" ca="1" si="2">E11</f>
        <v>43214</v>
      </c>
      <c r="F12" s="54">
        <f t="shared" ca="1" si="2"/>
        <v>43229</v>
      </c>
      <c r="G12" s="52">
        <f>G11+50</f>
        <v>500</v>
      </c>
      <c r="H12" s="52">
        <f>H11</f>
        <v>15</v>
      </c>
      <c r="I12" s="55">
        <f>H12/365</f>
        <v>4.1095890410958902E-2</v>
      </c>
      <c r="J12" s="55">
        <f>J11</f>
        <v>0</v>
      </c>
      <c r="K12" s="56">
        <v>0.28999999999999998</v>
      </c>
      <c r="L12" s="51">
        <f>_xll.dnetGBlackScholesNGreeks("price",$Q12,$P12,$G12,$I12,$C$3,$J12,$K12,$C$4)*R12</f>
        <v>2.1440238692729991</v>
      </c>
      <c r="M12" s="57"/>
      <c r="N12" s="51"/>
      <c r="O12" s="51">
        <f t="shared" si="1"/>
        <v>2.1440238692729991</v>
      </c>
      <c r="P12" s="94">
        <f>P11</f>
        <v>470</v>
      </c>
      <c r="Q12" s="52" t="s">
        <v>39</v>
      </c>
      <c r="R12" s="52">
        <f>IF(S12="中金买入",1,-1)</f>
        <v>1</v>
      </c>
      <c r="S12" s="56" t="s">
        <v>151</v>
      </c>
      <c r="T12" s="58"/>
      <c r="U12" s="51">
        <f>_xll.dnetGBlackScholesNGreeks("delta",$Q12,$P12,$G12,$I12,$C$3,$J12,$K12,$C$4)*R12</f>
        <v>0.1530039164087782</v>
      </c>
      <c r="V12" s="51">
        <f>_xll.dnetGBlackScholesNGreeks("vega",$Q12,$P12,$G12,$I12,$C$3,$J12,$K12,$C$4)*R12</f>
        <v>0.22494332992713595</v>
      </c>
    </row>
    <row r="13" spans="1:22" s="98" customFormat="1" ht="14.25" thickBot="1" x14ac:dyDescent="0.2">
      <c r="A13" s="97"/>
      <c r="B13" s="59" t="s">
        <v>175</v>
      </c>
      <c r="C13" s="60" t="s">
        <v>160</v>
      </c>
      <c r="D13" s="60" t="str">
        <f t="shared" ref="D13:F13" si="3">D12</f>
        <v>i1809</v>
      </c>
      <c r="E13" s="62">
        <f t="shared" ca="1" si="3"/>
        <v>43214</v>
      </c>
      <c r="F13" s="62">
        <f t="shared" ca="1" si="3"/>
        <v>43229</v>
      </c>
      <c r="G13" s="60" t="str">
        <f>G11 &amp; "|" &amp; G12</f>
        <v>450|500</v>
      </c>
      <c r="H13" s="60">
        <f>H12</f>
        <v>15</v>
      </c>
      <c r="I13" s="63">
        <f>I12</f>
        <v>4.1095890410958902E-2</v>
      </c>
      <c r="J13" s="63"/>
      <c r="K13" s="60"/>
      <c r="L13" s="59">
        <f>L12+L11</f>
        <v>-1.7472463313851705</v>
      </c>
      <c r="M13" s="60">
        <v>0</v>
      </c>
      <c r="N13" s="59">
        <f>M13/10000*I13*P13</f>
        <v>0</v>
      </c>
      <c r="O13" s="59">
        <f t="shared" si="1"/>
        <v>1.7472463313851705</v>
      </c>
      <c r="P13" s="111">
        <f>P12</f>
        <v>470</v>
      </c>
      <c r="Q13" s="60"/>
      <c r="R13" s="60"/>
      <c r="S13" s="56" t="s">
        <v>151</v>
      </c>
      <c r="T13" s="64">
        <f>O13/P13</f>
        <v>3.7175453859258946E-3</v>
      </c>
      <c r="U13" s="64">
        <f>U12+U11</f>
        <v>0.380822082310317</v>
      </c>
      <c r="V13" s="64">
        <f>V12+V11</f>
        <v>-6.2654660781277016E-2</v>
      </c>
    </row>
    <row r="14" spans="1:22" s="95" customFormat="1" ht="14.25" thickTop="1" x14ac:dyDescent="0.15">
      <c r="A14" s="96"/>
      <c r="B14" s="43" t="s">
        <v>173</v>
      </c>
      <c r="C14" s="44" t="s">
        <v>160</v>
      </c>
      <c r="D14" s="44" t="s">
        <v>213</v>
      </c>
      <c r="E14" s="46">
        <f ca="1">TODAY()</f>
        <v>43214</v>
      </c>
      <c r="F14" s="46">
        <f ca="1">E14+H14</f>
        <v>43305</v>
      </c>
      <c r="G14" s="114">
        <v>3480</v>
      </c>
      <c r="H14" s="44">
        <v>91</v>
      </c>
      <c r="I14" s="47">
        <f>H14/365</f>
        <v>0.24931506849315069</v>
      </c>
      <c r="J14" s="47">
        <v>0</v>
      </c>
      <c r="K14" s="48">
        <f>K15+0.02</f>
        <v>0.30000000000000004</v>
      </c>
      <c r="L14" s="43">
        <f>_xll.dnetGBlackScholesNGreeks("price",$Q14,$P14,$G14,$I14,$C$3,$J14,$K14,$C$4)*R14</f>
        <v>-252.48473686001239</v>
      </c>
      <c r="M14" s="49"/>
      <c r="N14" s="43"/>
      <c r="O14" s="43">
        <f t="shared" ref="O14:O16" si="4">IF(L14&lt;=0,ABS(L14)+N14,L14-N14)</f>
        <v>252.48473686001239</v>
      </c>
      <c r="P14" s="110">
        <f>RTD("wdf.rtq",,D14,"LastPrice")</f>
        <v>3562</v>
      </c>
      <c r="Q14" s="44" t="s">
        <v>39</v>
      </c>
      <c r="R14" s="44">
        <f>IF(S14="中金买入",1,-1)</f>
        <v>-1</v>
      </c>
      <c r="S14" s="48" t="s">
        <v>20</v>
      </c>
      <c r="T14" s="50"/>
      <c r="U14" s="43">
        <f>_xll.dnetGBlackScholesNGreeks("delta",$Q14,$P14,$G14,$I14,$C$3,$J14,$K14,$C$4)*R14</f>
        <v>-0.58816022904011334</v>
      </c>
      <c r="V14" s="43">
        <f>_xll.dnetGBlackScholesNGreeks("vega",$Q14,$P14,$G14,$I14,$C$3,$J14,$K14,$C$4)*R14</f>
        <v>-6.8751433163489537</v>
      </c>
    </row>
    <row r="15" spans="1:22" s="95" customFormat="1" ht="13.5" x14ac:dyDescent="0.15">
      <c r="A15" s="96"/>
      <c r="B15" s="51" t="s">
        <v>174</v>
      </c>
      <c r="C15" s="52" t="s">
        <v>160</v>
      </c>
      <c r="D15" s="52" t="str">
        <f>D14</f>
        <v>rb1810</v>
      </c>
      <c r="E15" s="54">
        <f t="shared" ref="E15:F15" ca="1" si="5">E14</f>
        <v>43214</v>
      </c>
      <c r="F15" s="54">
        <f t="shared" ca="1" si="5"/>
        <v>43305</v>
      </c>
      <c r="G15" s="52">
        <v>3280</v>
      </c>
      <c r="H15" s="52">
        <f>H14</f>
        <v>91</v>
      </c>
      <c r="I15" s="55">
        <f>H15/365</f>
        <v>0.24931506849315069</v>
      </c>
      <c r="J15" s="55">
        <f>J14</f>
        <v>0</v>
      </c>
      <c r="K15" s="56">
        <v>0.28000000000000003</v>
      </c>
      <c r="L15" s="51">
        <f>_xll.dnetGBlackScholesNGreeks("price",$Q15,$P15,$G15,$I15,$C$3,$J15,$K15,$C$4)*R15</f>
        <v>81.416856641568415</v>
      </c>
      <c r="M15" s="57"/>
      <c r="N15" s="51"/>
      <c r="O15" s="51">
        <f t="shared" si="4"/>
        <v>81.416856641568415</v>
      </c>
      <c r="P15" s="94">
        <f>P14</f>
        <v>3562</v>
      </c>
      <c r="Q15" s="52" t="s">
        <v>85</v>
      </c>
      <c r="R15" s="52">
        <f>IF(S15="中金买入",1,-1)</f>
        <v>1</v>
      </c>
      <c r="S15" s="56" t="s">
        <v>151</v>
      </c>
      <c r="T15" s="58"/>
      <c r="U15" s="51">
        <f>_xll.dnetGBlackScholesNGreeks("delta",$Q15,$P15,$G15,$I15,$C$3,$J15,$K15,$C$4)*R15</f>
        <v>-0.25340935654298846</v>
      </c>
      <c r="V15" s="51">
        <f>_xll.dnetGBlackScholesNGreeks("vega",$Q15,$P15,$G15,$I15,$C$3,$J15,$K15,$C$4)*R15</f>
        <v>5.6778150927053161</v>
      </c>
    </row>
    <row r="16" spans="1:22" s="98" customFormat="1" ht="14.25" thickBot="1" x14ac:dyDescent="0.2">
      <c r="A16" s="97"/>
      <c r="B16" s="59" t="s">
        <v>175</v>
      </c>
      <c r="C16" s="60" t="s">
        <v>160</v>
      </c>
      <c r="D16" s="60" t="str">
        <f>D15</f>
        <v>rb1810</v>
      </c>
      <c r="E16" s="62">
        <f t="shared" ref="E16:F16" ca="1" si="6">E15</f>
        <v>43214</v>
      </c>
      <c r="F16" s="62">
        <f t="shared" ca="1" si="6"/>
        <v>43305</v>
      </c>
      <c r="G16" s="60" t="str">
        <f>G14 &amp; "|" &amp; G15</f>
        <v>3480|3280</v>
      </c>
      <c r="H16" s="60">
        <f>H15</f>
        <v>91</v>
      </c>
      <c r="I16" s="63">
        <f>I15</f>
        <v>0.24931506849315069</v>
      </c>
      <c r="J16" s="63"/>
      <c r="K16" s="60"/>
      <c r="L16" s="59">
        <f>L15+L14</f>
        <v>-171.06788021844397</v>
      </c>
      <c r="M16" s="60">
        <v>0</v>
      </c>
      <c r="N16" s="59">
        <f>M16/10000*I16*P16</f>
        <v>0</v>
      </c>
      <c r="O16" s="59">
        <f t="shared" si="4"/>
        <v>171.06788021844397</v>
      </c>
      <c r="P16" s="111">
        <f>P15</f>
        <v>3562</v>
      </c>
      <c r="Q16" s="60"/>
      <c r="R16" s="60"/>
      <c r="S16" s="56" t="s">
        <v>151</v>
      </c>
      <c r="T16" s="64">
        <f>O16/P16</f>
        <v>4.8025794558799545E-2</v>
      </c>
      <c r="U16" s="64">
        <f>U15+U14</f>
        <v>-0.8415695855831018</v>
      </c>
      <c r="V16" s="64">
        <f>V15+V14</f>
        <v>-1.1973282236436376</v>
      </c>
    </row>
    <row r="17" spans="1:22" ht="12" thickBot="1" x14ac:dyDescent="0.2"/>
    <row r="18" spans="1:22" s="95" customFormat="1" ht="14.25" thickTop="1" x14ac:dyDescent="0.15">
      <c r="A18" s="96"/>
      <c r="B18" s="43" t="s">
        <v>173</v>
      </c>
      <c r="C18" s="44" t="s">
        <v>160</v>
      </c>
      <c r="D18" s="44" t="s">
        <v>238</v>
      </c>
      <c r="E18" s="46">
        <f ca="1">TODAY()</f>
        <v>43214</v>
      </c>
      <c r="F18" s="46">
        <f ca="1">E18+H18</f>
        <v>43305</v>
      </c>
      <c r="G18" s="114">
        <f>P18</f>
        <v>51860</v>
      </c>
      <c r="H18" s="44">
        <v>91</v>
      </c>
      <c r="I18" s="47">
        <f>H18/365</f>
        <v>0.24931506849315069</v>
      </c>
      <c r="J18" s="47">
        <v>0</v>
      </c>
      <c r="K18" s="48">
        <f>K19+0.005</f>
        <v>0.19</v>
      </c>
      <c r="L18" s="43">
        <f>_xll.dnetGBlackScholesNGreeks("price",$Q18,$P18,$G18,$I18,$C$3,$J18,$K18,$C$4)*R18</f>
        <v>-1952.2798822549703</v>
      </c>
      <c r="M18" s="49"/>
      <c r="N18" s="43"/>
      <c r="O18" s="43">
        <f t="shared" ref="O18:O20" si="7">IF(L18&lt;=0,ABS(L18)+N18,L18-N18)</f>
        <v>1952.2798822549703</v>
      </c>
      <c r="P18" s="110">
        <f>RTD("wdf.rtq",,D18,"LastPrice")</f>
        <v>51860</v>
      </c>
      <c r="Q18" s="44" t="s">
        <v>39</v>
      </c>
      <c r="R18" s="44">
        <f>IF(S18="中金买入",1,-1)</f>
        <v>-1</v>
      </c>
      <c r="S18" s="48" t="s">
        <v>20</v>
      </c>
      <c r="T18" s="50"/>
      <c r="U18" s="43">
        <f>_xll.dnetGBlackScholesNGreeks("delta",$Q18,$P18,$G18,$I18,$C$3,$J18,$K18,$C$4)*R18</f>
        <v>-0.51633565308293328</v>
      </c>
      <c r="V18" s="43">
        <f>_xll.dnetGBlackScholesNGreeks("vega",$Q18,$P18,$G18,$I18,$C$3,$J18,$K18,$C$4)*R18</f>
        <v>-102.67442342328468</v>
      </c>
    </row>
    <row r="19" spans="1:22" s="95" customFormat="1" ht="13.5" x14ac:dyDescent="0.15">
      <c r="A19" s="96"/>
      <c r="B19" s="51" t="s">
        <v>174</v>
      </c>
      <c r="C19" s="52" t="s">
        <v>160</v>
      </c>
      <c r="D19" s="52" t="s">
        <v>237</v>
      </c>
      <c r="E19" s="54">
        <f t="shared" ref="E19:F19" ca="1" si="8">E18</f>
        <v>43214</v>
      </c>
      <c r="F19" s="54">
        <f t="shared" ca="1" si="8"/>
        <v>43305</v>
      </c>
      <c r="G19" s="52">
        <v>52000</v>
      </c>
      <c r="H19" s="52">
        <f>H18</f>
        <v>91</v>
      </c>
      <c r="I19" s="55">
        <f>H19/365</f>
        <v>0.24931506849315069</v>
      </c>
      <c r="J19" s="55">
        <f>J18</f>
        <v>0</v>
      </c>
      <c r="K19" s="56">
        <v>0.185</v>
      </c>
      <c r="L19" s="51">
        <f>_xll.dnetGBlackScholesNGreeks("price",$Q19,$P19,$G19,$I19,$C$3,$J19,$K19,$C$4)*R19</f>
        <v>1834.6652015322907</v>
      </c>
      <c r="M19" s="57"/>
      <c r="N19" s="51"/>
      <c r="O19" s="51">
        <f t="shared" si="7"/>
        <v>1834.6652015322907</v>
      </c>
      <c r="P19" s="94">
        <f>P18</f>
        <v>51860</v>
      </c>
      <c r="Q19" s="52" t="s">
        <v>39</v>
      </c>
      <c r="R19" s="52">
        <f>IF(S19="中金买入",1,-1)</f>
        <v>1</v>
      </c>
      <c r="S19" s="56" t="s">
        <v>151</v>
      </c>
      <c r="T19" s="58"/>
      <c r="U19" s="51">
        <f>_xll.dnetGBlackScholesNGreeks("delta",$Q19,$P19,$G19,$I19,$C$3,$J19,$K19,$C$4)*R19</f>
        <v>0.50426153629814507</v>
      </c>
      <c r="V19" s="51">
        <f>_xll.dnetGBlackScholesNGreeks("vega",$Q19,$P19,$G19,$I19,$C$3,$J19,$K19,$C$4)*R19</f>
        <v>102.77501786813991</v>
      </c>
    </row>
    <row r="20" spans="1:22" s="98" customFormat="1" ht="14.25" thickBot="1" x14ac:dyDescent="0.2">
      <c r="A20" s="97"/>
      <c r="B20" s="59" t="s">
        <v>175</v>
      </c>
      <c r="C20" s="60" t="s">
        <v>160</v>
      </c>
      <c r="D20" s="60" t="s">
        <v>237</v>
      </c>
      <c r="E20" s="62">
        <f t="shared" ref="E20:F20" ca="1" si="9">E19</f>
        <v>43214</v>
      </c>
      <c r="F20" s="62">
        <f t="shared" ca="1" si="9"/>
        <v>43305</v>
      </c>
      <c r="G20" s="60" t="str">
        <f>G18 &amp; "|" &amp; G19</f>
        <v>51860|52000</v>
      </c>
      <c r="H20" s="60">
        <f>H19</f>
        <v>91</v>
      </c>
      <c r="I20" s="63">
        <f>I19</f>
        <v>0.24931506849315069</v>
      </c>
      <c r="J20" s="63"/>
      <c r="K20" s="60"/>
      <c r="L20" s="59">
        <f>L19+L18</f>
        <v>-117.61468072267962</v>
      </c>
      <c r="M20" s="60">
        <v>0</v>
      </c>
      <c r="N20" s="59">
        <f>M20/10000*I20*P20</f>
        <v>0</v>
      </c>
      <c r="O20" s="59">
        <f t="shared" si="7"/>
        <v>117.61468072267962</v>
      </c>
      <c r="P20" s="111">
        <f>P19</f>
        <v>51860</v>
      </c>
      <c r="Q20" s="60"/>
      <c r="R20" s="60"/>
      <c r="S20" s="56" t="s">
        <v>151</v>
      </c>
      <c r="T20" s="64">
        <f>O20/P20</f>
        <v>2.2679267397354343E-3</v>
      </c>
      <c r="U20" s="64">
        <f>U19+U18</f>
        <v>-1.2074116784788202E-2</v>
      </c>
      <c r="V20" s="64">
        <f>V19+V18</f>
        <v>0.10059444485523272</v>
      </c>
    </row>
    <row r="21" spans="1:22" s="95" customFormat="1" ht="14.25" thickTop="1" x14ac:dyDescent="0.15">
      <c r="A21" s="96"/>
      <c r="B21" s="43" t="s">
        <v>173</v>
      </c>
      <c r="C21" s="44" t="s">
        <v>160</v>
      </c>
      <c r="D21" s="44" t="s">
        <v>202</v>
      </c>
      <c r="E21" s="46">
        <f ca="1">TODAY()</f>
        <v>43214</v>
      </c>
      <c r="F21" s="46">
        <f ca="1">E21+H21</f>
        <v>43244</v>
      </c>
      <c r="G21" s="114">
        <v>460</v>
      </c>
      <c r="H21" s="44">
        <v>30</v>
      </c>
      <c r="I21" s="47">
        <f>H21/365</f>
        <v>8.2191780821917804E-2</v>
      </c>
      <c r="J21" s="47">
        <v>0</v>
      </c>
      <c r="K21" s="48">
        <v>0.34499999999999997</v>
      </c>
      <c r="L21" s="43">
        <f>_xll.dnetGBlackScholesNGreeks("price",$Q21,$P21,$G21,$I21,$C$3,$J21,$K21,$C$4)*R21</f>
        <v>-13.74971112322001</v>
      </c>
      <c r="M21" s="49"/>
      <c r="N21" s="43"/>
      <c r="O21" s="43">
        <f t="shared" ref="O21:O23" si="10">IF(L21&lt;=0,ABS(L21)+N21,L21-N21)</f>
        <v>13.74971112322001</v>
      </c>
      <c r="P21" s="110">
        <f>RTD("wdf.rtq",,D21,"LastPrice")</f>
        <v>470</v>
      </c>
      <c r="Q21" s="44" t="s">
        <v>85</v>
      </c>
      <c r="R21" s="44">
        <f>IF(S21="中金买入",1,-1)</f>
        <v>-1</v>
      </c>
      <c r="S21" s="48" t="s">
        <v>20</v>
      </c>
      <c r="T21" s="50"/>
      <c r="U21" s="43">
        <f>_xll.dnetGBlackScholesNGreeks("delta",$Q21,$P21,$G21,$I21,$C$3,$J21,$K21,$C$4)*R21</f>
        <v>0.39412861580103709</v>
      </c>
      <c r="V21" s="43">
        <f>_xll.dnetGBlackScholesNGreeks("vega",$Q21,$P21,$G21,$I21,$C$3,$J21,$K21,$C$4)*R21</f>
        <v>-0.5178835603424119</v>
      </c>
    </row>
    <row r="22" spans="1:22" s="95" customFormat="1" ht="13.5" x14ac:dyDescent="0.15">
      <c r="A22" s="96"/>
      <c r="B22" s="51" t="s">
        <v>174</v>
      </c>
      <c r="C22" s="52" t="s">
        <v>160</v>
      </c>
      <c r="D22" s="52" t="str">
        <f>D21</f>
        <v>i1809</v>
      </c>
      <c r="E22" s="54">
        <f t="shared" ref="E22:F22" ca="1" si="11">E21</f>
        <v>43214</v>
      </c>
      <c r="F22" s="54">
        <f t="shared" ca="1" si="11"/>
        <v>43244</v>
      </c>
      <c r="G22" s="52">
        <v>500</v>
      </c>
      <c r="H22" s="52">
        <f>H21</f>
        <v>30</v>
      </c>
      <c r="I22" s="55">
        <f>H22/365</f>
        <v>8.2191780821917804E-2</v>
      </c>
      <c r="J22" s="55">
        <f>J21</f>
        <v>0</v>
      </c>
      <c r="K22" s="56">
        <v>0.32</v>
      </c>
      <c r="L22" s="51">
        <f>_xll.dnetGBlackScholesNGreeks("price",$Q22,$P22,$G22,$I22,$C$3,$J22,$K22,$C$4)*R22</f>
        <v>6.6189424600814846</v>
      </c>
      <c r="M22" s="57"/>
      <c r="N22" s="51"/>
      <c r="O22" s="51">
        <f t="shared" si="10"/>
        <v>6.6189424600814846</v>
      </c>
      <c r="P22" s="94">
        <f>P21</f>
        <v>470</v>
      </c>
      <c r="Q22" s="52" t="s">
        <v>39</v>
      </c>
      <c r="R22" s="52">
        <f>IF(S22="中金买入",1,-1)</f>
        <v>1</v>
      </c>
      <c r="S22" s="56" t="s">
        <v>151</v>
      </c>
      <c r="T22" s="58"/>
      <c r="U22" s="51">
        <f>_xll.dnetGBlackScholesNGreeks("delta",$Q22,$P22,$G22,$I22,$C$3,$J22,$K22,$C$4)*R22</f>
        <v>0.26437518005764105</v>
      </c>
      <c r="V22" s="51">
        <f>_xll.dnetGBlackScholesNGreeks("vega",$Q22,$P22,$G22,$I22,$C$3,$J22,$K22,$C$4)*R22</f>
        <v>0.44037919251541524</v>
      </c>
    </row>
    <row r="23" spans="1:22" s="98" customFormat="1" ht="14.25" thickBot="1" x14ac:dyDescent="0.2">
      <c r="A23" s="97"/>
      <c r="B23" s="59" t="s">
        <v>175</v>
      </c>
      <c r="C23" s="60" t="s">
        <v>160</v>
      </c>
      <c r="D23" s="60" t="str">
        <f>D22</f>
        <v>i1809</v>
      </c>
      <c r="E23" s="62">
        <f t="shared" ref="E23:F23" ca="1" si="12">E22</f>
        <v>43214</v>
      </c>
      <c r="F23" s="62">
        <f t="shared" ca="1" si="12"/>
        <v>43244</v>
      </c>
      <c r="G23" s="60" t="str">
        <f>G21 &amp; "|" &amp; G22</f>
        <v>460|500</v>
      </c>
      <c r="H23" s="60">
        <f>H22</f>
        <v>30</v>
      </c>
      <c r="I23" s="63">
        <f>I22</f>
        <v>8.2191780821917804E-2</v>
      </c>
      <c r="J23" s="63"/>
      <c r="K23" s="60"/>
      <c r="L23" s="59">
        <f>L22+L21</f>
        <v>-7.1307686631385252</v>
      </c>
      <c r="M23" s="60">
        <v>0</v>
      </c>
      <c r="N23" s="59">
        <f>M23/10000*I23*P23</f>
        <v>0</v>
      </c>
      <c r="O23" s="59">
        <f t="shared" si="10"/>
        <v>7.1307686631385252</v>
      </c>
      <c r="P23" s="111">
        <f>P22</f>
        <v>470</v>
      </c>
      <c r="Q23" s="60"/>
      <c r="R23" s="60"/>
      <c r="S23" s="56"/>
      <c r="T23" s="64">
        <f>O23/P23</f>
        <v>1.5171848219443671E-2</v>
      </c>
      <c r="U23" s="64">
        <f>U22+U21</f>
        <v>0.65850379585867813</v>
      </c>
      <c r="V23" s="64">
        <f>V22+V21</f>
        <v>-7.7504367826996656E-2</v>
      </c>
    </row>
    <row r="27" spans="1:22" ht="8.25" customHeight="1" x14ac:dyDescent="0.15"/>
    <row r="29" spans="1:22" x14ac:dyDescent="0.15">
      <c r="G29" s="115">
        <f>G22-G21</f>
        <v>40</v>
      </c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configs!$A$1:$A$36</xm:f>
          </x14:formula1>
          <xm:sqref>C8:C16 C18:C23</xm:sqref>
        </x14:dataValidation>
        <x14:dataValidation type="list" allowBlank="1" showInputMessage="1" showErrorMessage="1">
          <x14:formula1>
            <xm:f>configs!$C$1:$C$2</xm:f>
          </x14:formula1>
          <xm:sqref>Q8:Q16 Q18:Q23</xm:sqref>
        </x14:dataValidation>
        <x14:dataValidation type="list" allowBlank="1" showInputMessage="1" showErrorMessage="1">
          <x14:formula1>
            <xm:f>configs!$B$1:$B$2</xm:f>
          </x14:formula1>
          <xm:sqref>S8:S16 S18:S23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5"/>
  <sheetViews>
    <sheetView workbookViewId="0">
      <selection activeCell="J25" sqref="J25"/>
    </sheetView>
  </sheetViews>
  <sheetFormatPr defaultColWidth="9" defaultRowHeight="11.25" x14ac:dyDescent="0.1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 x14ac:dyDescent="0.2">
      <c r="B1" s="116" t="s">
        <v>158</v>
      </c>
      <c r="C1" s="116"/>
      <c r="D1" s="116"/>
    </row>
    <row r="2" spans="1:21" ht="12" thickTop="1" x14ac:dyDescent="0.15"/>
    <row r="3" spans="1:2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 x14ac:dyDescent="0.2">
      <c r="A4" s="35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 x14ac:dyDescent="0.15">
      <c r="B5" s="10"/>
      <c r="C5" s="10"/>
      <c r="D5" s="10"/>
      <c r="E5" s="10"/>
      <c r="F5" s="10"/>
      <c r="G5" s="10"/>
      <c r="H5" s="10"/>
      <c r="I5" s="10"/>
      <c r="J5" s="10"/>
      <c r="K5" s="38"/>
      <c r="L5" s="38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 x14ac:dyDescent="0.2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 x14ac:dyDescent="0.15">
      <c r="B8" s="10"/>
      <c r="C8" s="10"/>
      <c r="D8" s="10"/>
      <c r="E8" s="10"/>
      <c r="F8" s="10"/>
      <c r="G8" s="10"/>
      <c r="H8" s="10"/>
      <c r="I8" s="10"/>
      <c r="J8" s="10"/>
      <c r="K8" s="38"/>
      <c r="L8" s="38"/>
      <c r="M8" s="10"/>
      <c r="N8" s="10"/>
      <c r="O8" s="10"/>
      <c r="P8" s="10"/>
      <c r="Q8" s="10"/>
      <c r="R8" s="10"/>
      <c r="S8" s="10"/>
      <c r="T8" s="13"/>
      <c r="U8" s="10"/>
    </row>
    <row r="9" spans="1:21" ht="12" thickBot="1" x14ac:dyDescent="0.2">
      <c r="B9" s="17" t="s">
        <v>30</v>
      </c>
      <c r="C9" s="17"/>
      <c r="D9" s="17" t="s">
        <v>32</v>
      </c>
      <c r="E9" s="17" t="s">
        <v>23</v>
      </c>
      <c r="F9" s="17" t="s">
        <v>8</v>
      </c>
      <c r="G9" s="17" t="s">
        <v>7</v>
      </c>
      <c r="H9" s="17" t="s">
        <v>44</v>
      </c>
      <c r="I9" s="17" t="s">
        <v>45</v>
      </c>
      <c r="J9" s="17" t="s">
        <v>46</v>
      </c>
      <c r="K9" s="17" t="s">
        <v>9</v>
      </c>
      <c r="L9" s="17" t="s">
        <v>10</v>
      </c>
      <c r="M9" s="17" t="s">
        <v>11</v>
      </c>
      <c r="N9" s="17" t="s">
        <v>12</v>
      </c>
      <c r="O9" s="17" t="s">
        <v>47</v>
      </c>
      <c r="P9" s="17" t="s">
        <v>13</v>
      </c>
      <c r="Q9" s="17" t="s">
        <v>14</v>
      </c>
      <c r="R9" s="17" t="s">
        <v>26</v>
      </c>
      <c r="S9" s="17" t="s">
        <v>28</v>
      </c>
      <c r="T9" s="17" t="s">
        <v>15</v>
      </c>
      <c r="U9" s="10"/>
    </row>
    <row r="10" spans="1:21" ht="12" thickTop="1" x14ac:dyDescent="0.15">
      <c r="A10" s="6" t="str">
        <f>pricer_sf!C11</f>
        <v>Example</v>
      </c>
      <c r="B10" s="10" t="str">
        <f>pricer_sf!D11</f>
        <v>中金卖出</v>
      </c>
      <c r="C10" s="10">
        <f>pricer_sf!E11</f>
        <v>-1</v>
      </c>
      <c r="D10" s="10" t="s">
        <v>230</v>
      </c>
      <c r="E10" s="10" t="str">
        <f>pricer_sf!G11</f>
        <v>cuo</v>
      </c>
      <c r="F10" s="10">
        <f>pricer_sf!H11</f>
        <v>100</v>
      </c>
      <c r="G10" s="10">
        <f>pricer_sf!I11</f>
        <v>100</v>
      </c>
      <c r="H10" s="10">
        <f>pricer_sf!J11</f>
        <v>118</v>
      </c>
      <c r="I10" s="10">
        <f>pricer_sf!K11</f>
        <v>118.97557113438837</v>
      </c>
      <c r="J10" s="10">
        <f>pricer_sf!L11</f>
        <v>0</v>
      </c>
      <c r="K10" s="38">
        <f ca="1">pricer_sf!M11</f>
        <v>43214</v>
      </c>
      <c r="L10" s="38">
        <f ca="1">pricer_sf!N11</f>
        <v>43305</v>
      </c>
      <c r="M10" s="10">
        <f>pricer_sf!O11</f>
        <v>91</v>
      </c>
      <c r="N10" s="10">
        <f>pricer_sf!P11</f>
        <v>0.24931506849315069</v>
      </c>
      <c r="O10" s="10">
        <f>pricer_sf!Q11</f>
        <v>0</v>
      </c>
      <c r="P10" s="10">
        <f>pricer_sf!R11</f>
        <v>0.27</v>
      </c>
      <c r="Q10" s="10">
        <f>pricer_sf!S11</f>
        <v>-1.9129556509179371</v>
      </c>
      <c r="R10" s="10">
        <f>pricer_sf!T11</f>
        <v>200.54945054945054</v>
      </c>
      <c r="S10" s="10">
        <f>pricer_sf!U11</f>
        <v>0.49999999999999994</v>
      </c>
      <c r="T10" s="13">
        <f>pricer_sf!V11</f>
        <v>2.4129556509179371</v>
      </c>
      <c r="U10" s="10"/>
    </row>
    <row r="11" spans="1:21" x14ac:dyDescent="0.15">
      <c r="A11" s="6" t="str">
        <f>pricer_sf!C12</f>
        <v>Example</v>
      </c>
      <c r="B11" s="10" t="str">
        <f>pricer_sf!D12</f>
        <v>中金卖出</v>
      </c>
      <c r="C11" s="10">
        <f>pricer_sf!E12</f>
        <v>-1</v>
      </c>
      <c r="D11" s="10" t="s">
        <v>231</v>
      </c>
      <c r="E11" s="10" t="str">
        <f>pricer_sf!G12</f>
        <v>cuo</v>
      </c>
      <c r="F11" s="10">
        <f>pricer_sf!H12</f>
        <v>100</v>
      </c>
      <c r="G11" s="10">
        <f>pricer_sf!I12</f>
        <v>100</v>
      </c>
      <c r="H11" s="10">
        <f>pricer_sf!J12</f>
        <v>118</v>
      </c>
      <c r="I11" s="10">
        <f>pricer_sf!K12</f>
        <v>118.83053474115295</v>
      </c>
      <c r="J11" s="10">
        <f>pricer_sf!L12</f>
        <v>0</v>
      </c>
      <c r="K11" s="38">
        <f ca="1">pricer_sf!M12</f>
        <v>43214</v>
      </c>
      <c r="L11" s="38">
        <f ca="1">pricer_sf!N12</f>
        <v>43305</v>
      </c>
      <c r="M11" s="10">
        <f>pricer_sf!O12</f>
        <v>91</v>
      </c>
      <c r="N11" s="10">
        <f>pricer_sf!P12</f>
        <v>0.24931506849315069</v>
      </c>
      <c r="O11" s="10">
        <f>pricer_sf!Q12</f>
        <v>0</v>
      </c>
      <c r="P11" s="10">
        <f>pricer_sf!R12</f>
        <v>0.23</v>
      </c>
      <c r="Q11" s="10">
        <f>pricer_sf!S12</f>
        <v>-2.268083861152451</v>
      </c>
      <c r="R11" s="10">
        <f>pricer_sf!T12</f>
        <v>200.54945054945054</v>
      </c>
      <c r="S11" s="10">
        <f>pricer_sf!U12</f>
        <v>0.49999999999999994</v>
      </c>
      <c r="T11" s="13">
        <f>pricer_sf!V12</f>
        <v>2.768083861152451</v>
      </c>
      <c r="U11" s="10"/>
    </row>
    <row r="12" spans="1:21" x14ac:dyDescent="0.15">
      <c r="A12" s="6" t="str">
        <f>pricer_sf!C13</f>
        <v>Example</v>
      </c>
      <c r="B12" s="10" t="str">
        <f>pricer_sf!D13</f>
        <v>中金卖出</v>
      </c>
      <c r="C12" s="10">
        <f>pricer_sf!E13</f>
        <v>-1</v>
      </c>
      <c r="D12" s="10" t="s">
        <v>232</v>
      </c>
      <c r="E12" s="10" t="str">
        <f>pricer_sf!G13</f>
        <v>cuo</v>
      </c>
      <c r="F12" s="10">
        <f>pricer_sf!H13</f>
        <v>100</v>
      </c>
      <c r="G12" s="10">
        <f>pricer_sf!I13</f>
        <v>100</v>
      </c>
      <c r="H12" s="10">
        <f>pricer_sf!J13</f>
        <v>118</v>
      </c>
      <c r="I12" s="10">
        <f>pricer_sf!K13</f>
        <v>118.75808286013783</v>
      </c>
      <c r="J12" s="10">
        <f>pricer_sf!L13</f>
        <v>0</v>
      </c>
      <c r="K12" s="38">
        <f ca="1">pricer_sf!M13</f>
        <v>43214</v>
      </c>
      <c r="L12" s="38">
        <f ca="1">pricer_sf!N13</f>
        <v>43305</v>
      </c>
      <c r="M12" s="10">
        <f>pricer_sf!O13</f>
        <v>91</v>
      </c>
      <c r="N12" s="10">
        <f>pricer_sf!P13</f>
        <v>0.24931506849315069</v>
      </c>
      <c r="O12" s="10">
        <f>pricer_sf!Q13</f>
        <v>0</v>
      </c>
      <c r="P12" s="10">
        <f>pricer_sf!R13</f>
        <v>0.21</v>
      </c>
      <c r="Q12" s="10">
        <f>pricer_sf!S13</f>
        <v>-2.429130538035877</v>
      </c>
      <c r="R12" s="10">
        <f>pricer_sf!T13</f>
        <v>200.54945054945054</v>
      </c>
      <c r="S12" s="10">
        <f>pricer_sf!U13</f>
        <v>0.49999999999999994</v>
      </c>
      <c r="T12" s="13">
        <f>pricer_sf!V13</f>
        <v>2.929130538035877</v>
      </c>
      <c r="U12" s="10"/>
    </row>
    <row r="13" spans="1:21" x14ac:dyDescent="0.15">
      <c r="A13" s="6" t="str">
        <f>pricer_sf!C14</f>
        <v>Example</v>
      </c>
      <c r="B13" s="10" t="str">
        <f>pricer_sf!D14</f>
        <v>中金卖出</v>
      </c>
      <c r="C13" s="10">
        <f>pricer_sf!E14</f>
        <v>-1</v>
      </c>
      <c r="D13" s="10" t="s">
        <v>230</v>
      </c>
      <c r="E13" s="10" t="str">
        <f>pricer_sf!G14</f>
        <v>cuo</v>
      </c>
      <c r="F13" s="10">
        <f>pricer_sf!H14</f>
        <v>100</v>
      </c>
      <c r="G13" s="10">
        <f>pricer_sf!I14</f>
        <v>100</v>
      </c>
      <c r="H13" s="10">
        <f>pricer_sf!J14</f>
        <v>118</v>
      </c>
      <c r="I13" s="10">
        <f>pricer_sf!K14</f>
        <v>118.97557113438837</v>
      </c>
      <c r="J13" s="10">
        <f>pricer_sf!L14</f>
        <v>0</v>
      </c>
      <c r="K13" s="38">
        <f ca="1">pricer_sf!M14</f>
        <v>43214</v>
      </c>
      <c r="L13" s="38">
        <f ca="1">pricer_sf!N14</f>
        <v>43397</v>
      </c>
      <c r="M13" s="10">
        <f>pricer_sf!O14</f>
        <v>183</v>
      </c>
      <c r="N13" s="10">
        <f>pricer_sf!P14</f>
        <v>0.50136986301369868</v>
      </c>
      <c r="O13" s="10">
        <f>pricer_sf!Q14</f>
        <v>0</v>
      </c>
      <c r="P13" s="10">
        <f>pricer_sf!R14</f>
        <v>0.27</v>
      </c>
      <c r="Q13" s="10">
        <f>pricer_sf!S14</f>
        <v>-1.0363206281910617</v>
      </c>
      <c r="R13" s="10">
        <f>pricer_sf!T14</f>
        <v>99.726775956284158</v>
      </c>
      <c r="S13" s="10">
        <f>pricer_sf!U14</f>
        <v>0.50000000000000011</v>
      </c>
      <c r="T13" s="13">
        <f>pricer_sf!V14</f>
        <v>1.5363206281910617</v>
      </c>
      <c r="U13" s="10"/>
    </row>
    <row r="14" spans="1:21" x14ac:dyDescent="0.15">
      <c r="A14" s="6" t="str">
        <f>pricer_sf!C15</f>
        <v>Example</v>
      </c>
      <c r="B14" s="10" t="str">
        <f>pricer_sf!D15</f>
        <v>中金卖出</v>
      </c>
      <c r="C14" s="10">
        <f>pricer_sf!E15</f>
        <v>-1</v>
      </c>
      <c r="D14" s="10" t="s">
        <v>231</v>
      </c>
      <c r="E14" s="10" t="str">
        <f>pricer_sf!G15</f>
        <v>cuo</v>
      </c>
      <c r="F14" s="10">
        <f>pricer_sf!H15</f>
        <v>100</v>
      </c>
      <c r="G14" s="10">
        <f>pricer_sf!I15</f>
        <v>100</v>
      </c>
      <c r="H14" s="10">
        <f>pricer_sf!J15</f>
        <v>118</v>
      </c>
      <c r="I14" s="10">
        <f>pricer_sf!K15</f>
        <v>118.83053474115295</v>
      </c>
      <c r="J14" s="10">
        <f>pricer_sf!L15</f>
        <v>0</v>
      </c>
      <c r="K14" s="38">
        <f ca="1">pricer_sf!M15</f>
        <v>43214</v>
      </c>
      <c r="L14" s="38">
        <f ca="1">pricer_sf!N15</f>
        <v>43397</v>
      </c>
      <c r="M14" s="10">
        <f>pricer_sf!O15</f>
        <v>183</v>
      </c>
      <c r="N14" s="10">
        <f>pricer_sf!P15</f>
        <v>0.50136986301369868</v>
      </c>
      <c r="O14" s="10">
        <f>pricer_sf!Q15</f>
        <v>0</v>
      </c>
      <c r="P14" s="10">
        <f>pricer_sf!R15</f>
        <v>0.23</v>
      </c>
      <c r="Q14" s="10">
        <f>pricer_sf!S15</f>
        <v>-1.3855950829873169</v>
      </c>
      <c r="R14" s="10">
        <f>pricer_sf!T15</f>
        <v>99.726775956284158</v>
      </c>
      <c r="S14" s="10">
        <f>pricer_sf!U15</f>
        <v>0.50000000000000011</v>
      </c>
      <c r="T14" s="13">
        <f>pricer_sf!V15</f>
        <v>1.8855950829873169</v>
      </c>
      <c r="U14" s="10"/>
    </row>
    <row r="15" spans="1:21" x14ac:dyDescent="0.15">
      <c r="A15" s="6" t="str">
        <f>pricer_sf!C16</f>
        <v>Example</v>
      </c>
      <c r="B15" s="10" t="str">
        <f>pricer_sf!D16</f>
        <v>中金卖出</v>
      </c>
      <c r="C15" s="10">
        <f>pricer_sf!E16</f>
        <v>-1</v>
      </c>
      <c r="D15" s="10" t="s">
        <v>232</v>
      </c>
      <c r="E15" s="10" t="str">
        <f>pricer_sf!G16</f>
        <v>cuo</v>
      </c>
      <c r="F15" s="10">
        <f>pricer_sf!H16</f>
        <v>100</v>
      </c>
      <c r="G15" s="10">
        <f>pricer_sf!I16</f>
        <v>100</v>
      </c>
      <c r="H15" s="10">
        <f>pricer_sf!J16</f>
        <v>118</v>
      </c>
      <c r="I15" s="10">
        <f>pricer_sf!K16</f>
        <v>118.75808286013783</v>
      </c>
      <c r="J15" s="10">
        <f>pricer_sf!L16</f>
        <v>0</v>
      </c>
      <c r="K15" s="38">
        <f ca="1">pricer_sf!M16</f>
        <v>43214</v>
      </c>
      <c r="L15" s="38">
        <f ca="1">pricer_sf!N16</f>
        <v>43397</v>
      </c>
      <c r="M15" s="10">
        <f>pricer_sf!O16</f>
        <v>183</v>
      </c>
      <c r="N15" s="10">
        <f>pricer_sf!P16</f>
        <v>0.50136986301369868</v>
      </c>
      <c r="O15" s="10">
        <f>pricer_sf!Q16</f>
        <v>0</v>
      </c>
      <c r="P15" s="10">
        <f>pricer_sf!R16</f>
        <v>0.21</v>
      </c>
      <c r="Q15" s="10">
        <f>pricer_sf!S16</f>
        <v>-1.6027351301156738</v>
      </c>
      <c r="R15" s="10">
        <f>pricer_sf!T16</f>
        <v>99.726775956284158</v>
      </c>
      <c r="S15" s="10">
        <f>pricer_sf!U16</f>
        <v>0.50000000000000011</v>
      </c>
      <c r="T15" s="13">
        <f>pricer_sf!V16</f>
        <v>2.1027351301156738</v>
      </c>
      <c r="U15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topLeftCell="A13" workbookViewId="0">
      <selection activeCell="G34" sqref="G34"/>
    </sheetView>
  </sheetViews>
  <sheetFormatPr defaultRowHeight="13.5" x14ac:dyDescent="0.15"/>
  <cols>
    <col min="1" max="1" width="10.875" bestFit="1" customWidth="1"/>
  </cols>
  <sheetData>
    <row r="1" spans="1:6" ht="15.75" thickBot="1" x14ac:dyDescent="0.2">
      <c r="A1" s="65">
        <v>43087</v>
      </c>
      <c r="B1" s="66"/>
      <c r="C1" s="67" t="s">
        <v>49</v>
      </c>
      <c r="D1" s="66"/>
      <c r="E1" s="67" t="s">
        <v>50</v>
      </c>
      <c r="F1" s="68"/>
    </row>
    <row r="2" spans="1:6" ht="15.75" thickBot="1" x14ac:dyDescent="0.2">
      <c r="A2" s="69" t="s">
        <v>51</v>
      </c>
      <c r="B2" s="70" t="s">
        <v>52</v>
      </c>
      <c r="C2" s="71" t="s">
        <v>53</v>
      </c>
      <c r="D2" s="71" t="s">
        <v>54</v>
      </c>
      <c r="E2" s="71" t="s">
        <v>55</v>
      </c>
      <c r="F2" s="72" t="s">
        <v>56</v>
      </c>
    </row>
    <row r="3" spans="1:6" ht="15.75" thickBot="1" x14ac:dyDescent="0.2">
      <c r="A3" s="73" t="s">
        <v>57</v>
      </c>
      <c r="B3" s="74" t="s">
        <v>58</v>
      </c>
      <c r="C3" s="75">
        <v>0.20499999999999999</v>
      </c>
      <c r="D3" s="75">
        <v>0.25</v>
      </c>
      <c r="E3" s="75">
        <v>0.21</v>
      </c>
      <c r="F3" s="77">
        <v>0.25</v>
      </c>
    </row>
    <row r="4" spans="1:6" ht="15.75" thickBot="1" x14ac:dyDescent="0.2">
      <c r="A4" s="69" t="s">
        <v>59</v>
      </c>
      <c r="B4" s="70" t="s">
        <v>60</v>
      </c>
      <c r="C4" s="78">
        <v>0.13750000000000001</v>
      </c>
      <c r="D4" s="78">
        <v>0.1825</v>
      </c>
      <c r="E4" s="78">
        <v>0.14499999999999999</v>
      </c>
      <c r="F4" s="79">
        <v>0.185</v>
      </c>
    </row>
    <row r="5" spans="1:6" ht="15.75" thickBot="1" x14ac:dyDescent="0.2">
      <c r="A5" s="73" t="s">
        <v>61</v>
      </c>
      <c r="B5" s="74" t="s">
        <v>62</v>
      </c>
      <c r="C5" s="76"/>
      <c r="D5" s="76"/>
      <c r="E5" s="76"/>
      <c r="F5" s="80"/>
    </row>
    <row r="6" spans="1:6" ht="15.75" thickBot="1" x14ac:dyDescent="0.2">
      <c r="A6" s="69" t="s">
        <v>63</v>
      </c>
      <c r="B6" s="70" t="s">
        <v>64</v>
      </c>
      <c r="C6" s="81">
        <v>0.29499999999999998</v>
      </c>
      <c r="D6" s="81">
        <v>0.35499999999999998</v>
      </c>
      <c r="E6" s="81">
        <v>0.26500000000000001</v>
      </c>
      <c r="F6" s="82">
        <v>0.315</v>
      </c>
    </row>
    <row r="7" spans="1:6" ht="15.75" thickBot="1" x14ac:dyDescent="0.2">
      <c r="A7" s="73" t="s">
        <v>65</v>
      </c>
      <c r="B7" s="74" t="s">
        <v>66</v>
      </c>
      <c r="C7" s="75">
        <v>0.15</v>
      </c>
      <c r="D7" s="75">
        <v>0.19</v>
      </c>
      <c r="E7" s="75">
        <v>0.155</v>
      </c>
      <c r="F7" s="77">
        <v>0.19</v>
      </c>
    </row>
    <row r="8" spans="1:6" ht="15.75" thickBot="1" x14ac:dyDescent="0.2">
      <c r="A8" s="69" t="s">
        <v>67</v>
      </c>
      <c r="B8" s="70" t="s">
        <v>68</v>
      </c>
      <c r="C8" s="81">
        <v>0.32</v>
      </c>
      <c r="D8" s="81">
        <v>0.44</v>
      </c>
      <c r="E8" s="81">
        <v>0.32</v>
      </c>
      <c r="F8" s="82">
        <v>0.42</v>
      </c>
    </row>
    <row r="9" spans="1:6" ht="15.75" thickBot="1" x14ac:dyDescent="0.2">
      <c r="A9" s="73" t="s">
        <v>69</v>
      </c>
      <c r="B9" s="74" t="s">
        <v>70</v>
      </c>
      <c r="C9" s="75">
        <v>0.32</v>
      </c>
      <c r="D9" s="75">
        <v>0.44</v>
      </c>
      <c r="E9" s="75">
        <v>0.32</v>
      </c>
      <c r="F9" s="77">
        <v>0.42</v>
      </c>
    </row>
    <row r="10" spans="1:6" ht="15.75" thickBot="1" x14ac:dyDescent="0.2">
      <c r="A10" s="69" t="s">
        <v>71</v>
      </c>
      <c r="B10" s="70" t="s">
        <v>72</v>
      </c>
      <c r="C10" s="81">
        <v>0.24</v>
      </c>
      <c r="D10" s="81">
        <v>0.32</v>
      </c>
      <c r="E10" s="81">
        <v>0.27</v>
      </c>
      <c r="F10" s="82">
        <v>0.34</v>
      </c>
    </row>
    <row r="11" spans="1:6" ht="15.75" thickBot="1" x14ac:dyDescent="0.2">
      <c r="A11" s="73" t="s">
        <v>73</v>
      </c>
      <c r="B11" s="74" t="s">
        <v>74</v>
      </c>
      <c r="C11" s="75">
        <v>0.32250000000000001</v>
      </c>
      <c r="D11" s="75">
        <v>0.39750000000000002</v>
      </c>
      <c r="E11" s="75">
        <v>0.32500000000000001</v>
      </c>
      <c r="F11" s="77">
        <v>0.39500000000000002</v>
      </c>
    </row>
    <row r="12" spans="1:6" ht="15.75" thickBot="1" x14ac:dyDescent="0.2">
      <c r="A12" s="69" t="s">
        <v>75</v>
      </c>
      <c r="B12" s="70" t="s">
        <v>76</v>
      </c>
      <c r="C12" s="81">
        <v>0.215</v>
      </c>
      <c r="D12" s="81">
        <v>0.28499999999999998</v>
      </c>
      <c r="E12" s="81">
        <v>0.23499999999999999</v>
      </c>
      <c r="F12" s="82">
        <v>0.30499999999999999</v>
      </c>
    </row>
    <row r="13" spans="1:6" ht="15.75" thickBot="1" x14ac:dyDescent="0.2">
      <c r="A13" s="73" t="s">
        <v>77</v>
      </c>
      <c r="B13" s="74" t="s">
        <v>78</v>
      </c>
      <c r="C13" s="75">
        <v>9.2499999999999999E-2</v>
      </c>
      <c r="D13" s="75">
        <v>0.1225</v>
      </c>
      <c r="E13" s="75">
        <v>0.1</v>
      </c>
      <c r="F13" s="77">
        <v>0.13</v>
      </c>
    </row>
    <row r="14" spans="1:6" ht="15.75" thickBot="1" x14ac:dyDescent="0.2">
      <c r="A14" s="69" t="s">
        <v>79</v>
      </c>
      <c r="B14" s="70" t="s">
        <v>80</v>
      </c>
      <c r="C14" s="78">
        <v>0.11</v>
      </c>
      <c r="D14" s="78">
        <v>0.17</v>
      </c>
      <c r="E14" s="78">
        <v>0.14499999999999999</v>
      </c>
      <c r="F14" s="79">
        <v>0.19500000000000001</v>
      </c>
    </row>
    <row r="15" spans="1:6" ht="15.75" thickBot="1" x14ac:dyDescent="0.2">
      <c r="A15" s="73" t="s">
        <v>81</v>
      </c>
      <c r="B15" s="74" t="s">
        <v>82</v>
      </c>
      <c r="C15" s="76"/>
      <c r="D15" s="76"/>
      <c r="E15" s="76"/>
      <c r="F15" s="80"/>
    </row>
    <row r="16" spans="1:6" ht="15.75" thickBot="1" x14ac:dyDescent="0.2">
      <c r="A16" s="69" t="s">
        <v>83</v>
      </c>
      <c r="B16" s="70" t="s">
        <v>84</v>
      </c>
      <c r="C16" s="81">
        <v>0.13</v>
      </c>
      <c r="D16" s="81">
        <v>0.19</v>
      </c>
      <c r="E16" s="81">
        <v>0.185</v>
      </c>
      <c r="F16" s="82">
        <v>0.23499999999999999</v>
      </c>
    </row>
    <row r="17" spans="1:6" ht="15.75" thickBot="1" x14ac:dyDescent="0.2">
      <c r="A17" s="73" t="s">
        <v>85</v>
      </c>
      <c r="B17" s="74" t="s">
        <v>86</v>
      </c>
      <c r="C17" s="83">
        <v>0.14749999999999999</v>
      </c>
      <c r="D17" s="83">
        <v>0.19750000000000001</v>
      </c>
      <c r="E17" s="83">
        <v>0.16</v>
      </c>
      <c r="F17" s="84">
        <v>0.21</v>
      </c>
    </row>
    <row r="18" spans="1:6" ht="15.75" thickBot="1" x14ac:dyDescent="0.2">
      <c r="A18" s="69" t="s">
        <v>87</v>
      </c>
      <c r="B18" s="70" t="s">
        <v>88</v>
      </c>
      <c r="C18" s="85"/>
      <c r="D18" s="85"/>
      <c r="E18" s="85"/>
      <c r="F18" s="86"/>
    </row>
    <row r="19" spans="1:6" ht="15.75" thickBot="1" x14ac:dyDescent="0.2">
      <c r="A19" s="73" t="s">
        <v>89</v>
      </c>
      <c r="B19" s="74" t="s">
        <v>90</v>
      </c>
      <c r="C19" s="76"/>
      <c r="D19" s="76"/>
      <c r="E19" s="76"/>
      <c r="F19" s="80"/>
    </row>
    <row r="20" spans="1:6" ht="15.75" thickBot="1" x14ac:dyDescent="0.2">
      <c r="A20" s="69" t="s">
        <v>91</v>
      </c>
      <c r="B20" s="70" t="s">
        <v>92</v>
      </c>
      <c r="C20" s="78">
        <v>0.09</v>
      </c>
      <c r="D20" s="78">
        <v>0.17</v>
      </c>
      <c r="E20" s="78">
        <v>0.11</v>
      </c>
      <c r="F20" s="79">
        <v>0.19</v>
      </c>
    </row>
    <row r="21" spans="1:6" ht="15.75" thickBot="1" x14ac:dyDescent="0.2">
      <c r="A21" s="73" t="s">
        <v>93</v>
      </c>
      <c r="B21" s="74" t="s">
        <v>94</v>
      </c>
      <c r="C21" s="76"/>
      <c r="D21" s="76"/>
      <c r="E21" s="76"/>
      <c r="F21" s="80"/>
    </row>
    <row r="22" spans="1:6" ht="15.75" thickBot="1" x14ac:dyDescent="0.2">
      <c r="A22" s="69" t="s">
        <v>95</v>
      </c>
      <c r="B22" s="70" t="s">
        <v>96</v>
      </c>
      <c r="C22" s="81">
        <v>0.12</v>
      </c>
      <c r="D22" s="81">
        <v>0.16</v>
      </c>
      <c r="E22" s="81">
        <v>0.13500000000000001</v>
      </c>
      <c r="F22" s="82">
        <v>0.17</v>
      </c>
    </row>
    <row r="23" spans="1:6" ht="15.75" thickBot="1" x14ac:dyDescent="0.2">
      <c r="A23" s="73" t="s">
        <v>97</v>
      </c>
      <c r="B23" s="74" t="s">
        <v>98</v>
      </c>
      <c r="C23" s="75">
        <v>0.12</v>
      </c>
      <c r="D23" s="75">
        <v>0.16</v>
      </c>
      <c r="E23" s="75">
        <v>0.13500000000000001</v>
      </c>
      <c r="F23" s="77">
        <v>0.17499999999999999</v>
      </c>
    </row>
    <row r="24" spans="1:6" ht="15.75" thickBot="1" x14ac:dyDescent="0.2">
      <c r="A24" s="69" t="s">
        <v>39</v>
      </c>
      <c r="B24" s="70" t="s">
        <v>99</v>
      </c>
      <c r="C24" s="81">
        <v>7.7499999999999999E-2</v>
      </c>
      <c r="D24" s="81">
        <v>0.1225</v>
      </c>
      <c r="E24" s="81">
        <v>8.5000000000000006E-2</v>
      </c>
      <c r="F24" s="82">
        <v>0.125</v>
      </c>
    </row>
    <row r="25" spans="1:6" ht="15.75" thickBot="1" x14ac:dyDescent="0.2">
      <c r="A25" s="73" t="s">
        <v>100</v>
      </c>
      <c r="B25" s="74" t="s">
        <v>101</v>
      </c>
      <c r="C25" s="75">
        <v>0.1</v>
      </c>
      <c r="D25" s="75">
        <v>0.15</v>
      </c>
      <c r="E25" s="75">
        <v>0.105</v>
      </c>
      <c r="F25" s="77">
        <v>0.155</v>
      </c>
    </row>
    <row r="26" spans="1:6" ht="15.75" thickBot="1" x14ac:dyDescent="0.2">
      <c r="A26" s="69" t="s">
        <v>102</v>
      </c>
      <c r="B26" s="70" t="s">
        <v>103</v>
      </c>
      <c r="C26" s="78">
        <v>0.2</v>
      </c>
      <c r="D26" s="78">
        <v>0.28000000000000003</v>
      </c>
      <c r="E26" s="78">
        <v>0.2</v>
      </c>
      <c r="F26" s="79">
        <v>0.27</v>
      </c>
    </row>
    <row r="27" spans="1:6" ht="15.75" thickBot="1" x14ac:dyDescent="0.2">
      <c r="A27" s="73" t="s">
        <v>104</v>
      </c>
      <c r="B27" s="74" t="s">
        <v>105</v>
      </c>
      <c r="C27" s="87"/>
      <c r="D27" s="87"/>
      <c r="E27" s="87"/>
      <c r="F27" s="88"/>
    </row>
    <row r="28" spans="1:6" ht="15.75" thickBot="1" x14ac:dyDescent="0.2">
      <c r="A28" s="69" t="s">
        <v>106</v>
      </c>
      <c r="B28" s="70" t="s">
        <v>107</v>
      </c>
      <c r="C28" s="89"/>
      <c r="D28" s="89"/>
      <c r="E28" s="89"/>
      <c r="F28" s="90"/>
    </row>
    <row r="29" spans="1:6" ht="15.75" thickBot="1" x14ac:dyDescent="0.2">
      <c r="A29" s="73" t="s">
        <v>108</v>
      </c>
      <c r="B29" s="74" t="s">
        <v>109</v>
      </c>
      <c r="C29" s="75">
        <v>0.23250000000000001</v>
      </c>
      <c r="D29" s="75">
        <v>0.28749999999999998</v>
      </c>
      <c r="E29" s="75">
        <v>0.22</v>
      </c>
      <c r="F29" s="77">
        <v>0.27</v>
      </c>
    </row>
    <row r="30" spans="1:6" ht="15.75" thickBot="1" x14ac:dyDescent="0.2">
      <c r="A30" s="69" t="s">
        <v>110</v>
      </c>
      <c r="B30" s="70" t="s">
        <v>111</v>
      </c>
      <c r="C30" s="78">
        <v>0.19</v>
      </c>
      <c r="D30" s="78">
        <v>0.23</v>
      </c>
      <c r="E30" s="78">
        <v>0.2</v>
      </c>
      <c r="F30" s="79">
        <v>0.24</v>
      </c>
    </row>
    <row r="31" spans="1:6" ht="15.75" thickBot="1" x14ac:dyDescent="0.2">
      <c r="A31" s="73" t="s">
        <v>112</v>
      </c>
      <c r="B31" s="74" t="s">
        <v>113</v>
      </c>
      <c r="C31" s="76"/>
      <c r="D31" s="76"/>
      <c r="E31" s="76"/>
      <c r="F31" s="80"/>
    </row>
    <row r="32" spans="1:6" ht="15.75" thickBot="1" x14ac:dyDescent="0.2">
      <c r="A32" s="69" t="s">
        <v>114</v>
      </c>
      <c r="B32" s="70" t="s">
        <v>115</v>
      </c>
      <c r="C32" s="81">
        <v>0.3</v>
      </c>
      <c r="D32" s="81">
        <v>0.4</v>
      </c>
      <c r="E32" s="81">
        <v>0.30499999999999999</v>
      </c>
      <c r="F32" s="82">
        <v>0.39500000000000002</v>
      </c>
    </row>
    <row r="33" spans="1:6" ht="15.75" thickBot="1" x14ac:dyDescent="0.2">
      <c r="A33" s="73" t="s">
        <v>116</v>
      </c>
      <c r="B33" s="74" t="s">
        <v>117</v>
      </c>
      <c r="C33" s="75">
        <v>0.1225</v>
      </c>
      <c r="D33" s="75">
        <v>0.16250000000000001</v>
      </c>
      <c r="E33" s="75">
        <v>0.13</v>
      </c>
      <c r="F33" s="77">
        <v>0.17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workbookViewId="0">
      <selection activeCell="V16" sqref="C11:V16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 x14ac:dyDescent="0.2">
      <c r="B1" s="139" t="s">
        <v>38</v>
      </c>
      <c r="C1" s="139"/>
    </row>
    <row r="2" spans="1:25" ht="12" thickTop="1" x14ac:dyDescent="0.15">
      <c r="B2" s="3" t="s">
        <v>0</v>
      </c>
      <c r="C2" s="4">
        <v>43061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3890</v>
      </c>
      <c r="I8" s="19">
        <v>3800</v>
      </c>
      <c r="J8" s="19">
        <v>3890</v>
      </c>
      <c r="K8" s="19" t="e">
        <f>_xll.dnetDiscreteAdjustedBarrier($H8,$J8,$R8,1/365)</f>
        <v>#VALUE!</v>
      </c>
      <c r="L8" s="36">
        <v>0.02</v>
      </c>
      <c r="M8" s="21">
        <f ca="1">TODAY()</f>
        <v>43214</v>
      </c>
      <c r="N8" s="21">
        <f ca="1">M8+O8</f>
        <v>43244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 t="e">
        <f>_xll.dnetStandardBarrierNGreeks("price",G8,H8,I8,K8,L8*H8,P8,$C$3,Q8,R8,$C$4)*E8</f>
        <v>#VALUE!</v>
      </c>
      <c r="T8" s="25">
        <v>80</v>
      </c>
      <c r="U8" s="24">
        <f>T8/10000*P8*H8</f>
        <v>2.5578082191780824</v>
      </c>
      <c r="V8" s="24" t="e">
        <f>IF(S8&lt;=0,ABS(S8)+U8,S8-U8)</f>
        <v>#VALUE!</v>
      </c>
      <c r="W8" s="26" t="e">
        <f>V8/H8</f>
        <v>#VALUE!</v>
      </c>
      <c r="X8" s="24" t="e">
        <f>_xll.dnetStandardBarrierNGreeks("delta",G8,H8,I8,K8,L8*H8,P8,$C$3,Q8,R8,$C$4)</f>
        <v>#VALUE!</v>
      </c>
      <c r="Y8" s="24" t="e">
        <f>_xll.dnetStandardBarrierNGreeks("vega",G8,H8,I8,K8,L8*H8,P8,$C$3,Q8,R8,$C$4)</f>
        <v>#VALUE!</v>
      </c>
    </row>
    <row r="9" spans="1:25" x14ac:dyDescent="0.15">
      <c r="A9" s="34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37">
        <v>5.0000000000000001E-3</v>
      </c>
      <c r="M9" s="8">
        <f ca="1">TODAY()</f>
        <v>43214</v>
      </c>
      <c r="N9" s="8">
        <f ca="1">M9+O9</f>
        <v>43394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 x14ac:dyDescent="0.1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37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 x14ac:dyDescent="0.15">
      <c r="A11" s="34"/>
      <c r="B11" s="13" t="s">
        <v>172</v>
      </c>
      <c r="C11" s="10" t="s">
        <v>162</v>
      </c>
      <c r="D11" s="10" t="s">
        <v>31</v>
      </c>
      <c r="E11" s="10">
        <f t="shared" ref="E11:E16" si="0">IF(D11="中金买入",1,-1)</f>
        <v>-1</v>
      </c>
      <c r="F11" s="10" t="s">
        <v>225</v>
      </c>
      <c r="G11" s="10" t="s">
        <v>48</v>
      </c>
      <c r="H11" s="11">
        <v>100</v>
      </c>
      <c r="I11" s="10">
        <v>100</v>
      </c>
      <c r="J11" s="10">
        <v>118</v>
      </c>
      <c r="K11" s="10">
        <f>_xll.dnetDiscreteAdjustedBarrier($H11,$J11,$R11,1/365)</f>
        <v>118.97557113438837</v>
      </c>
      <c r="L11" s="37">
        <v>0</v>
      </c>
      <c r="M11" s="8">
        <f t="shared" ref="M11:M16" ca="1" si="1">TODAY()</f>
        <v>43214</v>
      </c>
      <c r="N11" s="8">
        <f t="shared" ref="N11:N16" ca="1" si="2">M11+O11</f>
        <v>43305</v>
      </c>
      <c r="O11" s="10">
        <v>91</v>
      </c>
      <c r="P11" s="12">
        <f t="shared" ref="P11:P16" si="3">O11/365</f>
        <v>0.24931506849315069</v>
      </c>
      <c r="Q11" s="12">
        <v>0</v>
      </c>
      <c r="R11" s="9">
        <v>0.27</v>
      </c>
      <c r="S11" s="13">
        <f>_xll.dnetStandardBarrierNGreeks("price",G11,H11,I11,K11,L11*H11,P11,$C$3,Q11,R11,$C$4)*E11</f>
        <v>-1.9129556509179371</v>
      </c>
      <c r="T11" s="15">
        <f>50*365/O11</f>
        <v>200.54945054945054</v>
      </c>
      <c r="U11" s="13">
        <f t="shared" ref="U11:U16" si="4">T11/10000*P11*H11</f>
        <v>0.49999999999999994</v>
      </c>
      <c r="V11" s="13">
        <f t="shared" ref="V11:V16" si="5">IF(S11&lt;=0,ABS(S11)+U11,S11-U11)</f>
        <v>2.4129556509179371</v>
      </c>
      <c r="W11" s="14">
        <f t="shared" ref="W11:W16" si="6">V11/H11</f>
        <v>2.4129556509179372E-2</v>
      </c>
      <c r="X11" s="13">
        <f>_xll.dnetStandardBarrierNGreeks("delta",G11,H11,I11,K11,L11*H11,P11,$C$3,Q11,R11,$C$4)</f>
        <v>5.6102419511372403E-2</v>
      </c>
      <c r="Y11" s="13">
        <f>_xll.dnetStandardBarrierNGreeks("vega",G11,H11,I11,K11,L11*H11,P11,$C$3,Q11,R11,$C$4)</f>
        <v>-9.5908124536094208E-2</v>
      </c>
    </row>
    <row r="12" spans="1:25" x14ac:dyDescent="0.15">
      <c r="A12" s="34"/>
      <c r="B12" s="13" t="s">
        <v>172</v>
      </c>
      <c r="C12" s="10" t="s">
        <v>162</v>
      </c>
      <c r="D12" s="10" t="s">
        <v>31</v>
      </c>
      <c r="E12" s="10">
        <f t="shared" si="0"/>
        <v>-1</v>
      </c>
      <c r="F12" s="10" t="s">
        <v>227</v>
      </c>
      <c r="G12" s="10" t="s">
        <v>48</v>
      </c>
      <c r="H12" s="11">
        <v>100</v>
      </c>
      <c r="I12" s="10">
        <v>100</v>
      </c>
      <c r="J12" s="10">
        <v>118</v>
      </c>
      <c r="K12" s="10">
        <f>_xll.dnetDiscreteAdjustedBarrier($H12,$J12,$R12,1/365)</f>
        <v>118.83053474115295</v>
      </c>
      <c r="L12" s="37">
        <v>0</v>
      </c>
      <c r="M12" s="8">
        <f t="shared" ca="1" si="1"/>
        <v>43214</v>
      </c>
      <c r="N12" s="8">
        <f t="shared" ca="1" si="2"/>
        <v>43305</v>
      </c>
      <c r="O12" s="10">
        <v>91</v>
      </c>
      <c r="P12" s="12">
        <f t="shared" si="3"/>
        <v>0.24931506849315069</v>
      </c>
      <c r="Q12" s="12">
        <v>0</v>
      </c>
      <c r="R12" s="9">
        <v>0.23</v>
      </c>
      <c r="S12" s="13">
        <f>_xll.dnetStandardBarrierNGreeks("price",G12,H12,I12,K12,L12*H12,P12,$C$3,Q12,R12,$C$4)*E12</f>
        <v>-2.268083861152451</v>
      </c>
      <c r="T12" s="15">
        <f t="shared" ref="T12:T16" si="7">50*365/O12</f>
        <v>200.54945054945054</v>
      </c>
      <c r="U12" s="13">
        <f t="shared" si="4"/>
        <v>0.49999999999999994</v>
      </c>
      <c r="V12" s="13">
        <f t="shared" si="5"/>
        <v>2.768083861152451</v>
      </c>
      <c r="W12" s="14">
        <f t="shared" si="6"/>
        <v>2.7680838611524511E-2</v>
      </c>
      <c r="X12" s="13">
        <f>_xll.dnetStandardBarrierNGreeks("delta",G12,H12,I12,K12,L12*H12,P12,$C$3,Q12,R12,$C$4)</f>
        <v>0.12152567414362991</v>
      </c>
      <c r="Y12" s="13">
        <f>_xll.dnetStandardBarrierNGreeks("vega",G12,H12,I12,K12,L12*H12,P12,$C$3,Q12,R12,$C$4)</f>
        <v>-9.3231985931003347E-2</v>
      </c>
    </row>
    <row r="13" spans="1:25" x14ac:dyDescent="0.15">
      <c r="A13" s="34"/>
      <c r="B13" s="13" t="s">
        <v>172</v>
      </c>
      <c r="C13" s="10" t="s">
        <v>162</v>
      </c>
      <c r="D13" s="10" t="s">
        <v>31</v>
      </c>
      <c r="E13" s="10">
        <f t="shared" si="0"/>
        <v>-1</v>
      </c>
      <c r="F13" s="10" t="s">
        <v>228</v>
      </c>
      <c r="G13" s="10" t="s">
        <v>48</v>
      </c>
      <c r="H13" s="11">
        <v>100</v>
      </c>
      <c r="I13" s="10">
        <v>100</v>
      </c>
      <c r="J13" s="10">
        <v>118</v>
      </c>
      <c r="K13" s="10">
        <f>_xll.dnetDiscreteAdjustedBarrier($H13,$J13,$R13,1/365)</f>
        <v>118.75808286013783</v>
      </c>
      <c r="L13" s="37">
        <v>0</v>
      </c>
      <c r="M13" s="8">
        <f t="shared" ca="1" si="1"/>
        <v>43214</v>
      </c>
      <c r="N13" s="8">
        <f t="shared" ca="1" si="2"/>
        <v>43305</v>
      </c>
      <c r="O13" s="10">
        <v>91</v>
      </c>
      <c r="P13" s="12">
        <f t="shared" si="3"/>
        <v>0.24931506849315069</v>
      </c>
      <c r="Q13" s="12">
        <v>0</v>
      </c>
      <c r="R13" s="9">
        <v>0.21</v>
      </c>
      <c r="S13" s="13">
        <f>_xll.dnetStandardBarrierNGreeks("price",G13,H13,I13,K13,L13*H13,P13,$C$3,Q13,R13,$C$4)*E13</f>
        <v>-2.429130538035877</v>
      </c>
      <c r="T13" s="15">
        <f t="shared" si="7"/>
        <v>200.54945054945054</v>
      </c>
      <c r="U13" s="13">
        <f t="shared" si="4"/>
        <v>0.49999999999999994</v>
      </c>
      <c r="V13" s="13">
        <f t="shared" si="5"/>
        <v>2.929130538035877</v>
      </c>
      <c r="W13" s="14">
        <f t="shared" si="6"/>
        <v>2.9291305380358769E-2</v>
      </c>
      <c r="X13" s="13">
        <f>_xll.dnetStandardBarrierNGreeks("delta",G13,H13,I13,K13,L13*H13,P13,$C$3,Q13,R13,$C$4)</f>
        <v>0.16955154890030411</v>
      </c>
      <c r="Y13" s="13">
        <f>_xll.dnetStandardBarrierNGreeks("vega",G13,H13,I13,K13,L13*H13,P13,$C$3,Q13,R13,$C$4)</f>
        <v>-8.0274776725061558E-2</v>
      </c>
    </row>
    <row r="14" spans="1:25" x14ac:dyDescent="0.15">
      <c r="A14" s="34"/>
      <c r="B14" s="13" t="s">
        <v>172</v>
      </c>
      <c r="C14" s="10" t="s">
        <v>162</v>
      </c>
      <c r="D14" s="10" t="s">
        <v>31</v>
      </c>
      <c r="E14" s="10">
        <f t="shared" si="0"/>
        <v>-1</v>
      </c>
      <c r="F14" s="10" t="s">
        <v>225</v>
      </c>
      <c r="G14" s="10" t="s">
        <v>48</v>
      </c>
      <c r="H14" s="11">
        <v>100</v>
      </c>
      <c r="I14" s="10">
        <v>100</v>
      </c>
      <c r="J14" s="10">
        <v>118</v>
      </c>
      <c r="K14" s="10">
        <f>_xll.dnetDiscreteAdjustedBarrier($H14,$J14,$R14,1/365)</f>
        <v>118.97557113438837</v>
      </c>
      <c r="L14" s="37">
        <v>0</v>
      </c>
      <c r="M14" s="8">
        <f t="shared" ca="1" si="1"/>
        <v>43214</v>
      </c>
      <c r="N14" s="8">
        <f t="shared" ca="1" si="2"/>
        <v>43397</v>
      </c>
      <c r="O14" s="10">
        <v>183</v>
      </c>
      <c r="P14" s="12">
        <f t="shared" si="3"/>
        <v>0.50136986301369868</v>
      </c>
      <c r="Q14" s="12">
        <v>0</v>
      </c>
      <c r="R14" s="9">
        <v>0.27</v>
      </c>
      <c r="S14" s="13">
        <f>_xll.dnetStandardBarrierNGreeks("price",G14,H14,I14,K14,L14*H14,P14,$C$3,Q14,R14,$C$4)*E14</f>
        <v>-1.0363206281910617</v>
      </c>
      <c r="T14" s="15">
        <f t="shared" si="7"/>
        <v>99.726775956284158</v>
      </c>
      <c r="U14" s="13">
        <f t="shared" si="4"/>
        <v>0.50000000000000011</v>
      </c>
      <c r="V14" s="13">
        <f t="shared" si="5"/>
        <v>1.5363206281910617</v>
      </c>
      <c r="W14" s="14">
        <f t="shared" si="6"/>
        <v>1.5363206281910617E-2</v>
      </c>
      <c r="X14" s="13">
        <f>_xll.dnetStandardBarrierNGreeks("delta",G14,H14,I14,K14,L14*H14,P14,$C$3,Q14,R14,$C$4)</f>
        <v>-8.979327686908789E-3</v>
      </c>
      <c r="Y14" s="13">
        <f>_xll.dnetStandardBarrierNGreeks("vega",G14,H14,I14,K14,L14*H14,P14,$C$3,Q14,R14,$C$4)</f>
        <v>-7.9718746239311411E-2</v>
      </c>
    </row>
    <row r="15" spans="1:25" x14ac:dyDescent="0.15">
      <c r="A15" s="34"/>
      <c r="B15" s="13" t="s">
        <v>172</v>
      </c>
      <c r="C15" s="10" t="s">
        <v>162</v>
      </c>
      <c r="D15" s="10" t="s">
        <v>31</v>
      </c>
      <c r="E15" s="10">
        <f t="shared" si="0"/>
        <v>-1</v>
      </c>
      <c r="F15" s="10" t="s">
        <v>227</v>
      </c>
      <c r="G15" s="10" t="s">
        <v>48</v>
      </c>
      <c r="H15" s="11">
        <v>100</v>
      </c>
      <c r="I15" s="10">
        <v>100</v>
      </c>
      <c r="J15" s="10">
        <v>118</v>
      </c>
      <c r="K15" s="10">
        <f>_xll.dnetDiscreteAdjustedBarrier($H15,$J15,$R15,1/365)</f>
        <v>118.83053474115295</v>
      </c>
      <c r="L15" s="37">
        <v>0</v>
      </c>
      <c r="M15" s="8">
        <f t="shared" ca="1" si="1"/>
        <v>43214</v>
      </c>
      <c r="N15" s="8">
        <f t="shared" ca="1" si="2"/>
        <v>43397</v>
      </c>
      <c r="O15" s="10">
        <v>183</v>
      </c>
      <c r="P15" s="12">
        <f t="shared" si="3"/>
        <v>0.50136986301369868</v>
      </c>
      <c r="Q15" s="12">
        <v>0</v>
      </c>
      <c r="R15" s="9">
        <v>0.23</v>
      </c>
      <c r="S15" s="13">
        <f>_xll.dnetStandardBarrierNGreeks("price",G15,H15,I15,K15,L15*H15,P15,$C$3,Q15,R15,$C$4)*E15</f>
        <v>-1.3855950829873169</v>
      </c>
      <c r="T15" s="15">
        <f t="shared" si="7"/>
        <v>99.726775956284158</v>
      </c>
      <c r="U15" s="13">
        <f t="shared" si="4"/>
        <v>0.50000000000000011</v>
      </c>
      <c r="V15" s="13">
        <f t="shared" si="5"/>
        <v>1.8855950829873169</v>
      </c>
      <c r="W15" s="14">
        <f t="shared" si="6"/>
        <v>1.885595082987317E-2</v>
      </c>
      <c r="X15" s="13">
        <f>_xll.dnetStandardBarrierNGreeks("delta",G15,H15,I15,K15,L15*H15,P15,$C$3,Q15,R15,$C$4)</f>
        <v>7.5959108423395705E-3</v>
      </c>
      <c r="Y15" s="13">
        <f>_xll.dnetStandardBarrierNGreeks("vega",G15,H15,I15,K15,L15*H15,P15,$C$3,Q15,R15,$C$4)</f>
        <v>-0.10820566193518943</v>
      </c>
    </row>
    <row r="16" spans="1:25" x14ac:dyDescent="0.15">
      <c r="A16" s="34"/>
      <c r="B16" s="13" t="s">
        <v>172</v>
      </c>
      <c r="C16" s="10" t="s">
        <v>162</v>
      </c>
      <c r="D16" s="10" t="s">
        <v>31</v>
      </c>
      <c r="E16" s="10">
        <f t="shared" si="0"/>
        <v>-1</v>
      </c>
      <c r="F16" s="10" t="s">
        <v>228</v>
      </c>
      <c r="G16" s="10" t="s">
        <v>48</v>
      </c>
      <c r="H16" s="11">
        <v>100</v>
      </c>
      <c r="I16" s="10">
        <v>100</v>
      </c>
      <c r="J16" s="10">
        <v>118</v>
      </c>
      <c r="K16" s="10">
        <f>_xll.dnetDiscreteAdjustedBarrier($H16,$J16,$R16,1/365)</f>
        <v>118.75808286013783</v>
      </c>
      <c r="L16" s="37">
        <v>0</v>
      </c>
      <c r="M16" s="8">
        <f t="shared" ca="1" si="1"/>
        <v>43214</v>
      </c>
      <c r="N16" s="8">
        <f t="shared" ca="1" si="2"/>
        <v>43397</v>
      </c>
      <c r="O16" s="10">
        <v>183</v>
      </c>
      <c r="P16" s="12">
        <f t="shared" si="3"/>
        <v>0.50136986301369868</v>
      </c>
      <c r="Q16" s="12">
        <v>0</v>
      </c>
      <c r="R16" s="9">
        <v>0.21</v>
      </c>
      <c r="S16" s="13">
        <f>_xll.dnetStandardBarrierNGreeks("price",G16,H16,I16,K16,L16*H16,P16,$C$3,Q16,R16,$C$4)*E16</f>
        <v>-1.6027351301156738</v>
      </c>
      <c r="T16" s="15">
        <f t="shared" si="7"/>
        <v>99.726775956284158</v>
      </c>
      <c r="U16" s="13">
        <f t="shared" si="4"/>
        <v>0.50000000000000011</v>
      </c>
      <c r="V16" s="13">
        <f t="shared" si="5"/>
        <v>2.1027351301156738</v>
      </c>
      <c r="W16" s="14">
        <f t="shared" si="6"/>
        <v>2.1027351301156738E-2</v>
      </c>
      <c r="X16" s="13">
        <f>_xll.dnetStandardBarrierNGreeks("delta",G16,H16,I16,K16,L16*H16,P16,$C$3,Q16,R16,$C$4)</f>
        <v>2.4612309731497639E-2</v>
      </c>
      <c r="Y16" s="13">
        <f>_xll.dnetStandardBarrierNGreeks("vega",G16,H16,I16,K16,L16*H16,P16,$C$3,Q16,R16,$C$4)</f>
        <v>-0.12284663697839449</v>
      </c>
    </row>
    <row r="17" spans="2:25" x14ac:dyDescent="0.1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 x14ac:dyDescent="0.1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 x14ac:dyDescent="0.1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 x14ac:dyDescent="0.1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 x14ac:dyDescent="0.1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 x14ac:dyDescent="0.1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 x14ac:dyDescent="0.1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 x14ac:dyDescent="0.1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 x14ac:dyDescent="0.1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 x14ac:dyDescent="0.1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 x14ac:dyDescent="0.1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 x14ac:dyDescent="0.1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 x14ac:dyDescent="0.1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 x14ac:dyDescent="0.1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 x14ac:dyDescent="0.1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 x14ac:dyDescent="0.1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 x14ac:dyDescent="0.1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 x14ac:dyDescent="0.1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 x14ac:dyDescent="0.1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 x14ac:dyDescent="0.1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 x14ac:dyDescent="0.1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 x14ac:dyDescent="0.1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 x14ac:dyDescent="0.1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N9" sqref="N9"/>
    </sheetView>
  </sheetViews>
  <sheetFormatPr defaultRowHeight="13.5" x14ac:dyDescent="0.15"/>
  <cols>
    <col min="1" max="1" width="9" style="1"/>
  </cols>
  <sheetData>
    <row r="1" spans="1:16" x14ac:dyDescent="0.15">
      <c r="A1" s="16" t="s">
        <v>36</v>
      </c>
      <c r="B1" s="2" t="s">
        <v>19</v>
      </c>
      <c r="C1" s="2" t="s">
        <v>24</v>
      </c>
      <c r="K1" s="32" t="s">
        <v>155</v>
      </c>
      <c r="L1" s="32" t="s">
        <v>152</v>
      </c>
      <c r="M1" s="32"/>
      <c r="N1" s="32"/>
      <c r="O1" s="32"/>
      <c r="P1" s="32"/>
    </row>
    <row r="2" spans="1:16" x14ac:dyDescent="0.15">
      <c r="A2" s="16" t="s">
        <v>3</v>
      </c>
      <c r="B2" s="2" t="s">
        <v>21</v>
      </c>
      <c r="C2" s="2" t="s">
        <v>25</v>
      </c>
      <c r="K2" s="32" t="s">
        <v>156</v>
      </c>
      <c r="L2" s="32" t="s">
        <v>157</v>
      </c>
      <c r="M2" s="32"/>
      <c r="N2" s="32"/>
      <c r="O2" s="32"/>
      <c r="P2" s="32"/>
    </row>
    <row r="3" spans="1:16" x14ac:dyDescent="0.15">
      <c r="A3" s="2" t="s">
        <v>5</v>
      </c>
      <c r="C3" s="2" t="s">
        <v>153</v>
      </c>
    </row>
    <row r="4" spans="1:16" x14ac:dyDescent="0.15">
      <c r="A4" s="2" t="s">
        <v>4</v>
      </c>
      <c r="C4" s="2" t="s">
        <v>154</v>
      </c>
    </row>
    <row r="5" spans="1:16" x14ac:dyDescent="0.15">
      <c r="A5" s="2" t="s">
        <v>6</v>
      </c>
    </row>
    <row r="6" spans="1:16" x14ac:dyDescent="0.15">
      <c r="A6" s="2" t="s">
        <v>35</v>
      </c>
    </row>
    <row r="7" spans="1:16" x14ac:dyDescent="0.15">
      <c r="A7" s="2" t="s">
        <v>42</v>
      </c>
    </row>
    <row r="8" spans="1:16" x14ac:dyDescent="0.15">
      <c r="A8" s="2" t="s">
        <v>43</v>
      </c>
    </row>
    <row r="9" spans="1:16" x14ac:dyDescent="0.15">
      <c r="A9" s="2" t="s">
        <v>161</v>
      </c>
    </row>
    <row r="10" spans="1:16" x14ac:dyDescent="0.15">
      <c r="A10" s="2" t="s">
        <v>169</v>
      </c>
    </row>
    <row r="11" spans="1:16" x14ac:dyDescent="0.15">
      <c r="A11" s="2" t="s">
        <v>176</v>
      </c>
    </row>
    <row r="12" spans="1:16" x14ac:dyDescent="0.15">
      <c r="A12" s="2" t="s">
        <v>177</v>
      </c>
    </row>
    <row r="13" spans="1:16" x14ac:dyDescent="0.15">
      <c r="A13" s="2" t="s">
        <v>178</v>
      </c>
    </row>
    <row r="14" spans="1:16" x14ac:dyDescent="0.15">
      <c r="A14" s="2"/>
    </row>
    <row r="15" spans="1:16" x14ac:dyDescent="0.15">
      <c r="A15" s="2"/>
    </row>
    <row r="16" spans="1:16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 x14ac:dyDescent="0.2">
      <c r="B1" s="141" t="s">
        <v>37</v>
      </c>
      <c r="C1" s="141"/>
    </row>
    <row r="2" spans="1:21" ht="12" thickTop="1" x14ac:dyDescent="0.15">
      <c r="B2" s="3" t="s">
        <v>0</v>
      </c>
      <c r="C2" s="4">
        <v>43061</v>
      </c>
    </row>
    <row r="3" spans="1:21" x14ac:dyDescent="0.15">
      <c r="B3" s="3" t="s">
        <v>1</v>
      </c>
      <c r="C3" s="3">
        <v>0.02</v>
      </c>
    </row>
    <row r="4" spans="1:21" ht="12" thickBot="1" x14ac:dyDescent="0.2">
      <c r="B4" s="5" t="s">
        <v>18</v>
      </c>
      <c r="C4" s="5">
        <v>0.01</v>
      </c>
    </row>
    <row r="5" spans="1:21" ht="12" thickTop="1" x14ac:dyDescent="0.15"/>
    <row r="6" spans="1:21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 x14ac:dyDescent="0.15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3890</v>
      </c>
      <c r="I8" s="19">
        <v>3800</v>
      </c>
      <c r="J8" s="21">
        <f ca="1">TODAY()</f>
        <v>43214</v>
      </c>
      <c r="K8" s="21">
        <f ca="1">J8+L8</f>
        <v>43244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183.43924625233694</v>
      </c>
      <c r="P8" s="25">
        <v>80</v>
      </c>
      <c r="Q8" s="24">
        <f>P8/10000*M8*H8*(-E8)</f>
        <v>2.5578082191780824</v>
      </c>
      <c r="R8" s="24">
        <f>O8+Q8</f>
        <v>185.99705447151501</v>
      </c>
      <c r="S8" s="26">
        <f>R8/H8</f>
        <v>4.7814152820440881E-2</v>
      </c>
      <c r="T8" s="24">
        <f>_xll.dnetGBlackScholesNGreeks("delta",$G8,$H8,$I8,$M8,$C$3,$C$4,$N8,$C$4)</f>
        <v>0.62678961503479513</v>
      </c>
      <c r="U8" s="24">
        <f>_xll.dnetGBlackScholesNGreeks("vega",$G8,$H8,$I8,$M8,$C$3,$C$4,$N8)</f>
        <v>4.2169732217971614</v>
      </c>
    </row>
    <row r="9" spans="1:21" x14ac:dyDescent="0.15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43214</v>
      </c>
      <c r="K9" s="8">
        <f ca="1">J9+L9</f>
        <v>43244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 x14ac:dyDescent="0.15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43214</v>
      </c>
      <c r="K10" s="8">
        <f ca="1">J10+L10</f>
        <v>43244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 x14ac:dyDescent="0.15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 x14ac:dyDescent="0.15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 x14ac:dyDescent="0.15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 x14ac:dyDescent="0.15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 x14ac:dyDescent="0.1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 x14ac:dyDescent="0.15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 x14ac:dyDescent="0.15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 x14ac:dyDescent="0.15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 x14ac:dyDescent="0.15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 x14ac:dyDescent="0.15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 x14ac:dyDescent="0.15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 x14ac:dyDescent="0.15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 x14ac:dyDescent="0.15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 x14ac:dyDescent="0.15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 x14ac:dyDescent="0.15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 x14ac:dyDescent="0.15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 x14ac:dyDescent="0.15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 x14ac:dyDescent="0.15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 x14ac:dyDescent="0.15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 x14ac:dyDescent="0.15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 x14ac:dyDescent="0.15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 x14ac:dyDescent="0.15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 x14ac:dyDescent="0.15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 x14ac:dyDescent="0.15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 x14ac:dyDescent="0.15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 x14ac:dyDescent="0.15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 x14ac:dyDescent="0.15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 x14ac:dyDescent="0.15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 x14ac:dyDescent="0.15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quate_van</vt:lpstr>
      <vt:lpstr>recap</vt:lpstr>
      <vt:lpstr>pricer_van</vt:lpstr>
      <vt:lpstr>pricer_combo</vt:lpstr>
      <vt:lpstr>quote_sf</vt:lpstr>
      <vt:lpstr>ref_vol_table</vt:lpstr>
      <vt:lpstr>pricer_sf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2018-04-24T09:56:42Z</dcterms:modified>
</cp:coreProperties>
</file>