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D26" i="2" l="1"/>
  <c r="I18" i="9" l="1"/>
  <c r="Q18" i="9"/>
  <c r="Q19" i="9" s="1"/>
  <c r="E18" i="9"/>
  <c r="I19" i="9" l="1"/>
  <c r="H19" i="9"/>
  <c r="E19" i="9"/>
  <c r="J18" i="9"/>
  <c r="J19" i="9" s="1"/>
  <c r="D18" i="9"/>
  <c r="J17" i="9"/>
  <c r="F17" i="9"/>
  <c r="F18" i="9" s="1"/>
  <c r="F19" i="9" s="1"/>
  <c r="D17" i="9"/>
  <c r="U17" i="9"/>
  <c r="G17" i="9" l="1"/>
  <c r="G18" i="9" s="1"/>
  <c r="G19" i="9" s="1"/>
  <c r="M18" i="9"/>
  <c r="U18" i="9"/>
  <c r="M17" i="9"/>
  <c r="V18" i="9"/>
  <c r="V17" i="9"/>
  <c r="P17" i="9" l="1"/>
  <c r="U19" i="9"/>
  <c r="V19" i="9"/>
  <c r="P18" i="9"/>
  <c r="M19" i="9"/>
  <c r="O19" i="9"/>
  <c r="P19" i="9" l="1"/>
  <c r="T19" i="9" s="1"/>
  <c r="D14" i="9" l="1"/>
  <c r="D15" i="9"/>
  <c r="E15" i="9"/>
  <c r="E16" i="9" s="1"/>
  <c r="E12" i="9"/>
  <c r="E13" i="9" s="1"/>
  <c r="H16" i="9"/>
  <c r="I15" i="9"/>
  <c r="I16" i="9" s="1"/>
  <c r="J14" i="9"/>
  <c r="F14" i="9"/>
  <c r="F15" i="9" s="1"/>
  <c r="F16" i="9" s="1"/>
  <c r="M14" i="9"/>
  <c r="V14" i="9"/>
  <c r="J15" i="9" l="1"/>
  <c r="J16" i="9" s="1"/>
  <c r="Q12" i="9"/>
  <c r="Q13" i="9" s="1"/>
  <c r="Q15" i="9"/>
  <c r="P14" i="9"/>
  <c r="G14" i="9"/>
  <c r="G15" i="9" s="1"/>
  <c r="G16" i="9" s="1"/>
  <c r="U14" i="9"/>
  <c r="M15" i="9"/>
  <c r="V15" i="9"/>
  <c r="U15" i="9"/>
  <c r="V16" i="9" l="1"/>
  <c r="U16" i="9"/>
  <c r="M16" i="9"/>
  <c r="P15" i="9"/>
  <c r="Q16" i="9"/>
  <c r="O16" i="9" s="1"/>
  <c r="H13" i="9"/>
  <c r="I12" i="9"/>
  <c r="I13" i="9" s="1"/>
  <c r="D12" i="9"/>
  <c r="J11" i="9"/>
  <c r="F11" i="9"/>
  <c r="F12" i="9" s="1"/>
  <c r="F13" i="9" s="1"/>
  <c r="D11" i="9"/>
  <c r="V11" i="9"/>
  <c r="P16" i="9" l="1"/>
  <c r="T16" i="9" s="1"/>
  <c r="J12" i="9"/>
  <c r="G11" i="9"/>
  <c r="G12" i="9" s="1"/>
  <c r="G13" i="9" s="1"/>
  <c r="U12" i="9"/>
  <c r="M11" i="9"/>
  <c r="V12" i="9"/>
  <c r="M12" i="9"/>
  <c r="U11" i="9"/>
  <c r="P12" i="9" l="1"/>
  <c r="J13" i="9"/>
  <c r="O13" i="9" s="1"/>
  <c r="U13" i="9"/>
  <c r="V13" i="9"/>
  <c r="P11" i="9"/>
  <c r="M13" i="9"/>
  <c r="P13" i="9" l="1"/>
  <c r="T13" i="9" s="1"/>
  <c r="K9" i="9" l="1"/>
  <c r="N8" i="2" l="1"/>
  <c r="H10" i="9" l="1"/>
  <c r="Q10" i="9"/>
  <c r="E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9" i="9"/>
  <c r="V9" i="9"/>
  <c r="U8" i="9"/>
  <c r="M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H8" i="7"/>
  <c r="H8" i="8"/>
  <c r="K9" i="8"/>
  <c r="O10" i="7"/>
  <c r="O9" i="7"/>
  <c r="U10" i="7"/>
  <c r="T10" i="7"/>
  <c r="T9" i="7"/>
  <c r="U8" i="8" l="1"/>
  <c r="Q9" i="7"/>
  <c r="R9" i="7" s="1"/>
  <c r="S9" i="7" s="1"/>
  <c r="Q10" i="7"/>
  <c r="R10" i="7" s="1"/>
  <c r="S10" i="7" s="1"/>
  <c r="Q8" i="7"/>
  <c r="U8" i="7"/>
  <c r="K8" i="8"/>
  <c r="Y9" i="8"/>
  <c r="O8" i="7"/>
  <c r="X9" i="8"/>
  <c r="S9" i="8"/>
  <c r="T8" i="7"/>
  <c r="V9" i="8" l="1"/>
  <c r="W9" i="8" s="1"/>
  <c r="R8" i="7"/>
  <c r="S8" i="7" s="1"/>
  <c r="X8" i="8"/>
  <c r="S8" i="8"/>
  <c r="Y8" i="8"/>
  <c r="V8" i="8" l="1"/>
  <c r="W8" i="8" s="1"/>
  <c r="R9" i="1"/>
  <c r="R8" i="1"/>
  <c r="I9" i="1" l="1"/>
  <c r="E9" i="1"/>
  <c r="F9" i="1" s="1"/>
  <c r="I8" i="1"/>
  <c r="E8" i="1"/>
  <c r="F8" i="1" s="1"/>
  <c r="P8" i="1"/>
  <c r="L9" i="1"/>
  <c r="V9" i="1"/>
  <c r="U9" i="1"/>
  <c r="N8" i="1" l="1"/>
  <c r="N9" i="1"/>
  <c r="O9" i="1" s="1"/>
  <c r="T9" i="1" s="1"/>
  <c r="L8" i="1"/>
  <c r="V8" i="1"/>
  <c r="U8" i="1"/>
  <c r="O8" i="1" l="1"/>
  <c r="T8" i="1" s="1"/>
</calcChain>
</file>

<file path=xl/sharedStrings.xml><?xml version="1.0" encoding="utf-8"?>
<sst xmlns="http://schemas.openxmlformats.org/spreadsheetml/2006/main" count="471" uniqueCount="202">
  <si>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</si>
  <si>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</si>
  <si>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</si>
  <si>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</si>
  <si>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</si>
  <si>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</si>
  <si>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</si>
  <si>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</si>
  <si>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</si>
  <si>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</si>
  <si>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</si>
  <si>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</si>
  <si>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</si>
  <si>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</si>
  <si>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</si>
  <si>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</si>
  <si>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</si>
  <si>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</si>
  <si>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</si>
  <si>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</si>
  <si>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</si>
  <si>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</si>
  <si>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</si>
  <si>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</si>
  <si>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</si>
  <si>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</si>
  <si>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</si>
  <si>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</si>
  <si>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</si>
  <si>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</si>
  <si>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</si>
  <si>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</si>
  <si>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</si>
  <si>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</si>
  <si>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</si>
  <si>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</si>
  <si>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</si>
  <si>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</si>
  <si>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</si>
  <si>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</si>
  <si>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</si>
  <si>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</si>
  <si>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</si>
  <si>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</si>
  <si>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</si>
  <si>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</si>
  <si>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</si>
  <si>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</si>
  <si>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</si>
  <si>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</si>
  <si>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</si>
  <si>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</si>
  <si>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</si>
  <si>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</si>
  <si>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</si>
  <si>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</si>
  <si>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</si>
  <si>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</si>
  <si>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</si>
  <si>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</si>
  <si>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</si>
  <si>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</si>
  <si>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</si>
  <si>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</si>
  <si>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</si>
  <si>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</si>
  <si>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</si>
  <si>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</si>
  <si>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</si>
  <si>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</si>
  <si>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</si>
  <si>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</si>
  <si>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</si>
  <si>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</si>
  <si>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</si>
  <si>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</si>
  <si>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</si>
  <si>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</si>
  <si>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</si>
  <si>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</si>
  <si>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</si>
  <si>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</si>
  <si>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</si>
  <si>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</si>
  <si>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</si>
  <si>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</si>
  <si>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</si>
  <si>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</si>
  <si>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</si>
  <si>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</si>
  <si>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</si>
  <si>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</si>
  <si>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</si>
  <si>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</si>
  <si>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</si>
  <si>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</si>
  <si>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</si>
  <si>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</si>
  <si>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</si>
  <si>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</si>
  <si>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</si>
  <si>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</si>
  <si>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</si>
  <si>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</si>
  <si>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</si>
  <si>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</si>
  <si>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</si>
  <si>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</si>
  <si>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</si>
  <si>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</si>
  <si>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</si>
  <si>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</si>
  <si>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</si>
  <si>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</si>
  <si>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</si>
  <si>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</si>
  <si>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</si>
  <si>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</si>
  <si>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</si>
  <si>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</si>
  <si>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</si>
  <si>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</si>
  <si>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</si>
  <si>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</si>
  <si>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</si>
  <si>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</si>
  <si>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</si>
  <si>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</si>
  <si>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</si>
  <si>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</si>
  <si>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</si>
  <si>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</si>
  <si>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</si>
  <si>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</si>
  <si>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</si>
  <si>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</si>
  <si>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</si>
  <si>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</si>
  <si>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</si>
  <si>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</si>
  <si>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</si>
  <si>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</si>
  <si>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</si>
  <si>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</si>
  <si>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</si>
  <si>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</si>
  <si>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</si>
  <si>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</si>
  <si>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</si>
  <si>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</si>
  <si>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</si>
  <si>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</si>
  <si>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</si>
  <si>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</si>
  <si>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</si>
  <si>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</si>
  <si>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</si>
  <si>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</si>
  <si>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</si>
  <si>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</si>
  <si>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</si>
  <si>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</si>
  <si>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</si>
  <si>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</si>
  <si>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</si>
  <si>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</si>
  <si>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</si>
  <si>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</si>
  <si>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</si>
  <si>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</si>
  <si>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</si>
  <si>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</si>
  <si>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</si>
  <si>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</si>
  <si>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</si>
  <si>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</si>
  <si>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</si>
  <si>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</si>
  <si>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</si>
  <si>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</si>
  <si>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</si>
  <si>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</si>
  <si>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</si>
  <si>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</si>
  <si>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rb1810</t>
  </si>
  <si>
    <t>rb1810</t>
    <phoneticPr fontId="1" type="noConversion"/>
  </si>
  <si>
    <t>风险逆转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</si>
  <si>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</si>
  <si>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</si>
  <si>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前程石化</t>
    <phoneticPr fontId="1" type="noConversion"/>
  </si>
  <si>
    <t>L1805</t>
    <phoneticPr fontId="1" type="noConversion"/>
  </si>
  <si>
    <t>权利金总额（元）：</t>
    <phoneticPr fontId="1" type="noConversion"/>
  </si>
  <si>
    <t>权利金方向:</t>
    <phoneticPr fontId="1" type="noConversion"/>
  </si>
  <si>
    <t>前程石化支付中金</t>
    <phoneticPr fontId="1" type="noConversion"/>
  </si>
  <si>
    <t>客户名称：</t>
    <phoneticPr fontId="1" type="noConversion"/>
  </si>
  <si>
    <t>前程石化支付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</si>
  <si>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</si>
  <si>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</si>
  <si>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</si>
  <si>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</si>
  <si>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</si>
  <si>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行权价1|行权价2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</si>
</sst>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3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10"/>
  <sheetViews>
    <sheetView tabSelected="1" zoomScaleNormal="100" workbookViewId="0">
      <selection activeCell="S14" sqref="S14"/>
    </sheetView>
  </sheetViews>
  <sheetFormatPr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14" t="s">
        <v>158</v>
      </c>
      <c r="C1" s="114"/>
      <c r="D1" s="114"/>
    </row>
    <row r="2" spans="2:18" ht="12" thickTop="1"/>
    <row r="5" spans="2:18">
      <c r="B5" s="134" t="s">
        <v>2</v>
      </c>
      <c r="C5" s="49" t="s">
        <v>197</v>
      </c>
      <c r="D5" s="49" t="s">
        <v>196</v>
      </c>
      <c r="E5" s="49" t="s">
        <v>10</v>
      </c>
      <c r="F5" s="49" t="s">
        <v>200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198</v>
      </c>
      <c r="O5" s="49" t="s">
        <v>8</v>
      </c>
      <c r="P5" s="49" t="s">
        <v>23</v>
      </c>
      <c r="Q5" s="49"/>
      <c r="R5" s="49" t="s">
        <v>30</v>
      </c>
    </row>
    <row r="6" spans="2:18">
      <c r="B6" s="135" t="s">
        <v>160</v>
      </c>
      <c r="C6" s="135" t="s">
        <v>159</v>
      </c>
      <c r="D6" s="136">
        <v>43105</v>
      </c>
      <c r="E6" s="136">
        <v>43135</v>
      </c>
      <c r="F6" s="135">
        <v>3800</v>
      </c>
      <c r="G6" s="135">
        <v>30</v>
      </c>
      <c r="H6" s="135">
        <v>8.2191780821917804E-2</v>
      </c>
      <c r="I6" s="135">
        <v>0</v>
      </c>
      <c r="J6" s="135">
        <v>0.3</v>
      </c>
      <c r="K6" s="135" t="e">
        <v>#VALUE!</v>
      </c>
      <c r="L6" s="135">
        <v>80</v>
      </c>
      <c r="M6" s="135" t="e">
        <v>#N/A</v>
      </c>
      <c r="N6" s="135" t="e">
        <v>#VALUE!</v>
      </c>
      <c r="O6" s="135" t="e">
        <v>#N/A</v>
      </c>
      <c r="P6" s="135" t="s">
        <v>39</v>
      </c>
      <c r="Q6" s="135">
        <v>-1</v>
      </c>
      <c r="R6" s="135" t="s">
        <v>20</v>
      </c>
    </row>
    <row r="7" spans="2:18">
      <c r="B7" s="135" t="s">
        <v>160</v>
      </c>
      <c r="C7" s="135" t="s">
        <v>159</v>
      </c>
      <c r="D7" s="136">
        <v>43105</v>
      </c>
      <c r="E7" s="136">
        <v>43470</v>
      </c>
      <c r="F7" s="135">
        <v>100</v>
      </c>
      <c r="G7" s="135">
        <v>365</v>
      </c>
      <c r="H7" s="135">
        <v>1</v>
      </c>
      <c r="I7" s="135">
        <v>0</v>
      </c>
      <c r="J7" s="135">
        <v>0.18</v>
      </c>
      <c r="K7" s="135">
        <v>7.0292776883103798</v>
      </c>
      <c r="L7" s="135">
        <v>80</v>
      </c>
      <c r="M7" s="135">
        <v>0.8</v>
      </c>
      <c r="N7" s="135">
        <v>6.22927768831038</v>
      </c>
      <c r="O7" s="135">
        <v>100</v>
      </c>
      <c r="P7" s="135" t="s">
        <v>39</v>
      </c>
      <c r="Q7" s="135">
        <v>1</v>
      </c>
      <c r="R7" s="135" t="s">
        <v>151</v>
      </c>
    </row>
    <row r="8" spans="2:18">
      <c r="B8" s="134" t="s">
        <v>2</v>
      </c>
      <c r="C8" s="49" t="s">
        <v>197</v>
      </c>
      <c r="D8" s="49" t="s">
        <v>196</v>
      </c>
      <c r="E8" s="49" t="s">
        <v>10</v>
      </c>
      <c r="F8" s="49" t="s">
        <v>201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198</v>
      </c>
      <c r="O8" s="49" t="s">
        <v>8</v>
      </c>
      <c r="P8" s="49" t="s">
        <v>23</v>
      </c>
      <c r="Q8" s="49"/>
      <c r="R8" s="49" t="s">
        <v>30</v>
      </c>
    </row>
    <row r="9" spans="2:18">
      <c r="B9" s="135" t="s">
        <v>160</v>
      </c>
      <c r="C9" s="135" t="s">
        <v>159</v>
      </c>
      <c r="D9" s="136">
        <v>43105</v>
      </c>
      <c r="E9" s="136">
        <v>43135</v>
      </c>
      <c r="F9" s="135">
        <v>3800</v>
      </c>
      <c r="G9" s="135">
        <v>30</v>
      </c>
      <c r="H9" s="135">
        <v>8.2191780821917804E-2</v>
      </c>
      <c r="I9" s="135">
        <v>0</v>
      </c>
      <c r="J9" s="135">
        <v>0.3</v>
      </c>
      <c r="K9" s="135" t="e">
        <v>#VALUE!</v>
      </c>
      <c r="L9" s="135">
        <v>80</v>
      </c>
      <c r="M9" s="135" t="e">
        <v>#N/A</v>
      </c>
      <c r="N9" s="135" t="e">
        <v>#VALUE!</v>
      </c>
      <c r="O9" s="135" t="e">
        <v>#N/A</v>
      </c>
      <c r="P9" s="135" t="s">
        <v>39</v>
      </c>
      <c r="Q9" s="135">
        <v>-1</v>
      </c>
      <c r="R9" s="135" t="s">
        <v>20</v>
      </c>
    </row>
    <row r="10" spans="2:18">
      <c r="B10" s="135" t="s">
        <v>160</v>
      </c>
      <c r="C10" s="135" t="s">
        <v>159</v>
      </c>
      <c r="D10" s="136">
        <v>43105</v>
      </c>
      <c r="E10" s="136">
        <v>43470</v>
      </c>
      <c r="F10" s="135">
        <v>100</v>
      </c>
      <c r="G10" s="135">
        <v>365</v>
      </c>
      <c r="H10" s="135">
        <v>1</v>
      </c>
      <c r="I10" s="135">
        <v>0</v>
      </c>
      <c r="J10" s="135">
        <v>0.18</v>
      </c>
      <c r="K10" s="135">
        <v>7.0292776883103798</v>
      </c>
      <c r="L10" s="135">
        <v>80</v>
      </c>
      <c r="M10" s="135">
        <v>0.8</v>
      </c>
      <c r="N10" s="135">
        <v>6.22927768831038</v>
      </c>
      <c r="O10" s="135">
        <v>100</v>
      </c>
      <c r="P10" s="135" t="s">
        <v>39</v>
      </c>
      <c r="Q10" s="135">
        <v>1</v>
      </c>
      <c r="R10" s="135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18" activePane="bottomLeft" state="frozen"/>
      <selection pane="bottomLeft" activeCell="J19" sqref="J19"/>
    </sheetView>
  </sheetViews>
  <sheetFormatPr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26" t="s">
        <v>118</v>
      </c>
      <c r="C1" s="126"/>
    </row>
    <row r="2" spans="2:20" ht="12" thickTop="1"/>
    <row r="3" spans="2:20" ht="12.75" thickBot="1">
      <c r="B3" s="125" t="s">
        <v>119</v>
      </c>
      <c r="C3" s="125"/>
      <c r="D3" s="125"/>
      <c r="E3" s="125"/>
      <c r="G3" s="122" t="s">
        <v>120</v>
      </c>
      <c r="H3" s="122"/>
      <c r="I3" s="122"/>
      <c r="J3" s="122"/>
      <c r="L3" s="125" t="s">
        <v>165</v>
      </c>
      <c r="M3" s="125"/>
      <c r="N3" s="125"/>
      <c r="O3" s="125"/>
      <c r="Q3" s="122" t="s">
        <v>166</v>
      </c>
      <c r="R3" s="122"/>
      <c r="S3" s="122"/>
      <c r="T3" s="122"/>
    </row>
    <row r="4" spans="2:20" ht="15" thickTop="1" thickBot="1">
      <c r="B4" s="123" t="s">
        <v>121</v>
      </c>
      <c r="C4" s="123"/>
      <c r="D4" s="123"/>
      <c r="E4" s="123"/>
      <c r="G4" s="123" t="s">
        <v>34</v>
      </c>
      <c r="H4" s="123"/>
      <c r="I4" s="123"/>
      <c r="J4" s="123"/>
      <c r="L4" s="123" t="s">
        <v>121</v>
      </c>
      <c r="M4" s="123"/>
      <c r="N4" s="123"/>
      <c r="O4" s="123"/>
      <c r="Q4" s="123" t="s">
        <v>34</v>
      </c>
      <c r="R4" s="123"/>
      <c r="S4" s="123"/>
      <c r="T4" s="123"/>
    </row>
    <row r="5" spans="2:20" ht="14.25" thickTop="1">
      <c r="B5" s="33" t="s">
        <v>122</v>
      </c>
      <c r="C5" s="34"/>
      <c r="D5" s="35"/>
      <c r="E5" s="36"/>
      <c r="G5" s="121" t="s">
        <v>123</v>
      </c>
      <c r="H5" s="121"/>
      <c r="I5" s="35"/>
      <c r="J5" s="36"/>
      <c r="L5" s="33" t="s">
        <v>122</v>
      </c>
      <c r="M5" s="34"/>
      <c r="N5" s="35"/>
      <c r="O5" s="36"/>
      <c r="Q5" s="121" t="s">
        <v>123</v>
      </c>
      <c r="R5" s="121"/>
      <c r="S5" s="35"/>
      <c r="T5" s="36"/>
    </row>
    <row r="6" spans="2:20" ht="13.5">
      <c r="B6" s="118" t="s">
        <v>124</v>
      </c>
      <c r="C6" s="118"/>
      <c r="D6" s="119" t="s">
        <v>125</v>
      </c>
      <c r="E6" s="120"/>
      <c r="G6" s="121" t="s">
        <v>126</v>
      </c>
      <c r="H6" s="121"/>
      <c r="I6" s="119"/>
      <c r="J6" s="120"/>
      <c r="L6" s="118" t="s">
        <v>124</v>
      </c>
      <c r="M6" s="118"/>
      <c r="N6" s="119" t="s">
        <v>125</v>
      </c>
      <c r="O6" s="120"/>
      <c r="Q6" s="121" t="s">
        <v>126</v>
      </c>
      <c r="R6" s="121"/>
      <c r="S6" s="119"/>
      <c r="T6" s="120"/>
    </row>
    <row r="7" spans="2:20" ht="13.5">
      <c r="B7" s="118" t="s">
        <v>127</v>
      </c>
      <c r="C7" s="118"/>
      <c r="D7" s="119" t="s">
        <v>125</v>
      </c>
      <c r="E7" s="120"/>
      <c r="G7" s="121" t="s">
        <v>128</v>
      </c>
      <c r="H7" s="121"/>
      <c r="I7" s="119"/>
      <c r="J7" s="120"/>
      <c r="L7" s="118" t="s">
        <v>127</v>
      </c>
      <c r="M7" s="118"/>
      <c r="N7" s="119" t="s">
        <v>125</v>
      </c>
      <c r="O7" s="120"/>
      <c r="Q7" s="121" t="s">
        <v>128</v>
      </c>
      <c r="R7" s="121"/>
      <c r="S7" s="119"/>
      <c r="T7" s="120"/>
    </row>
    <row r="8" spans="2:20" ht="13.5">
      <c r="B8" s="118" t="s">
        <v>129</v>
      </c>
      <c r="C8" s="118"/>
      <c r="D8" s="119">
        <f>D13*D15</f>
        <v>305000</v>
      </c>
      <c r="E8" s="120"/>
      <c r="G8" s="121" t="s">
        <v>130</v>
      </c>
      <c r="H8" s="121"/>
      <c r="I8" s="119"/>
      <c r="J8" s="120"/>
      <c r="L8" s="118" t="s">
        <v>129</v>
      </c>
      <c r="M8" s="118"/>
      <c r="N8" s="119">
        <f>N14*N16</f>
        <v>305000</v>
      </c>
      <c r="O8" s="120"/>
      <c r="Q8" s="121" t="s">
        <v>130</v>
      </c>
      <c r="R8" s="121"/>
      <c r="S8" s="119"/>
      <c r="T8" s="120"/>
    </row>
    <row r="9" spans="2:20" ht="13.5">
      <c r="B9" s="118" t="s">
        <v>131</v>
      </c>
      <c r="C9" s="118"/>
      <c r="D9" s="119" t="s">
        <v>132</v>
      </c>
      <c r="E9" s="120"/>
      <c r="G9" s="121" t="s">
        <v>133</v>
      </c>
      <c r="H9" s="121"/>
      <c r="I9" s="119"/>
      <c r="J9" s="120"/>
      <c r="L9" s="118" t="s">
        <v>131</v>
      </c>
      <c r="M9" s="118"/>
      <c r="N9" s="119" t="s">
        <v>132</v>
      </c>
      <c r="O9" s="120"/>
      <c r="Q9" s="121" t="s">
        <v>133</v>
      </c>
      <c r="R9" s="121"/>
      <c r="S9" s="119"/>
      <c r="T9" s="120"/>
    </row>
    <row r="10" spans="2:20" ht="13.5">
      <c r="B10" s="118" t="s">
        <v>134</v>
      </c>
      <c r="C10" s="118"/>
      <c r="D10" s="119">
        <v>43084</v>
      </c>
      <c r="E10" s="120"/>
      <c r="G10" s="30" t="s">
        <v>135</v>
      </c>
      <c r="H10" s="30"/>
      <c r="I10" s="119"/>
      <c r="J10" s="120"/>
      <c r="L10" s="118" t="s">
        <v>134</v>
      </c>
      <c r="M10" s="118"/>
      <c r="N10" s="119">
        <v>43084</v>
      </c>
      <c r="O10" s="120"/>
      <c r="Q10" s="52" t="s">
        <v>135</v>
      </c>
      <c r="R10" s="52"/>
      <c r="S10" s="119"/>
      <c r="T10" s="120"/>
    </row>
    <row r="11" spans="2:20" ht="13.5">
      <c r="B11" s="118" t="s">
        <v>136</v>
      </c>
      <c r="C11" s="118"/>
      <c r="D11" s="119">
        <v>3935</v>
      </c>
      <c r="E11" s="120"/>
      <c r="G11" s="121" t="s">
        <v>137</v>
      </c>
      <c r="H11" s="121"/>
      <c r="I11" s="119"/>
      <c r="J11" s="120"/>
      <c r="L11" s="118" t="s">
        <v>136</v>
      </c>
      <c r="M11" s="118"/>
      <c r="N11" s="119">
        <v>3935</v>
      </c>
      <c r="O11" s="120"/>
      <c r="Q11" s="121" t="s">
        <v>137</v>
      </c>
      <c r="R11" s="121"/>
      <c r="S11" s="119"/>
      <c r="T11" s="120"/>
    </row>
    <row r="12" spans="2:20" ht="13.5">
      <c r="B12" s="118" t="s">
        <v>138</v>
      </c>
      <c r="C12" s="118"/>
      <c r="D12" s="119">
        <v>3800</v>
      </c>
      <c r="E12" s="120"/>
      <c r="G12" s="121" t="s">
        <v>139</v>
      </c>
      <c r="H12" s="121"/>
      <c r="I12" s="119"/>
      <c r="J12" s="120"/>
      <c r="L12" s="118" t="s">
        <v>163</v>
      </c>
      <c r="M12" s="118"/>
      <c r="N12" s="119">
        <v>3800</v>
      </c>
      <c r="O12" s="120"/>
      <c r="Q12" s="121" t="s">
        <v>167</v>
      </c>
      <c r="R12" s="121"/>
      <c r="S12" s="119"/>
      <c r="T12" s="120"/>
    </row>
    <row r="13" spans="2:20" ht="13.5">
      <c r="B13" s="118" t="s">
        <v>140</v>
      </c>
      <c r="C13" s="118"/>
      <c r="D13" s="119">
        <v>61</v>
      </c>
      <c r="E13" s="120"/>
      <c r="G13" s="121" t="s">
        <v>141</v>
      </c>
      <c r="H13" s="121"/>
      <c r="I13" s="119"/>
      <c r="J13" s="120"/>
      <c r="L13" s="118" t="s">
        <v>164</v>
      </c>
      <c r="M13" s="118"/>
      <c r="N13" s="119">
        <v>3800</v>
      </c>
      <c r="O13" s="120"/>
      <c r="Q13" s="121" t="s">
        <v>168</v>
      </c>
      <c r="R13" s="121"/>
      <c r="S13" s="119"/>
      <c r="T13" s="120"/>
    </row>
    <row r="14" spans="2:20" ht="13.5">
      <c r="B14" s="118" t="s">
        <v>142</v>
      </c>
      <c r="C14" s="118"/>
      <c r="D14" s="119" t="s">
        <v>143</v>
      </c>
      <c r="E14" s="120"/>
      <c r="G14" s="121" t="s">
        <v>144</v>
      </c>
      <c r="H14" s="121"/>
      <c r="I14" s="31"/>
      <c r="J14" s="32"/>
      <c r="L14" s="118" t="s">
        <v>140</v>
      </c>
      <c r="M14" s="118"/>
      <c r="N14" s="119">
        <v>61</v>
      </c>
      <c r="O14" s="120"/>
      <c r="Q14" s="121" t="s">
        <v>141</v>
      </c>
      <c r="R14" s="121"/>
      <c r="S14" s="119"/>
      <c r="T14" s="120"/>
    </row>
    <row r="15" spans="2:20" ht="13.5">
      <c r="B15" s="118" t="s">
        <v>145</v>
      </c>
      <c r="C15" s="118"/>
      <c r="D15" s="119">
        <v>5000</v>
      </c>
      <c r="E15" s="120"/>
      <c r="G15" s="121" t="s">
        <v>146</v>
      </c>
      <c r="H15" s="121"/>
      <c r="I15" s="119"/>
      <c r="J15" s="120"/>
      <c r="L15" s="118" t="s">
        <v>142</v>
      </c>
      <c r="M15" s="118"/>
      <c r="N15" s="119" t="s">
        <v>143</v>
      </c>
      <c r="O15" s="120"/>
      <c r="Q15" s="121" t="s">
        <v>144</v>
      </c>
      <c r="R15" s="121"/>
      <c r="S15" s="50"/>
      <c r="T15" s="51"/>
    </row>
    <row r="16" spans="2:20" ht="14.25" thickBot="1">
      <c r="B16" s="124" t="s">
        <v>147</v>
      </c>
      <c r="C16" s="124"/>
      <c r="D16" s="116" t="s">
        <v>148</v>
      </c>
      <c r="E16" s="117"/>
      <c r="G16" s="115" t="s">
        <v>149</v>
      </c>
      <c r="H16" s="115"/>
      <c r="I16" s="116"/>
      <c r="J16" s="117"/>
      <c r="L16" s="118" t="s">
        <v>145</v>
      </c>
      <c r="M16" s="118"/>
      <c r="N16" s="119">
        <v>5000</v>
      </c>
      <c r="O16" s="120"/>
      <c r="Q16" s="121" t="s">
        <v>146</v>
      </c>
      <c r="R16" s="121"/>
      <c r="S16" s="119"/>
      <c r="T16" s="120"/>
    </row>
    <row r="17" spans="2:20" ht="15" thickTop="1" thickBot="1">
      <c r="L17" s="124" t="s">
        <v>147</v>
      </c>
      <c r="M17" s="124"/>
      <c r="N17" s="116" t="s">
        <v>148</v>
      </c>
      <c r="O17" s="117"/>
      <c r="Q17" s="115" t="s">
        <v>149</v>
      </c>
      <c r="R17" s="115"/>
      <c r="S17" s="116"/>
      <c r="T17" s="117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23" t="s">
        <v>121</v>
      </c>
      <c r="C22" s="123"/>
      <c r="D22" s="123"/>
      <c r="E22" s="123"/>
      <c r="G22" s="123" t="s">
        <v>121</v>
      </c>
      <c r="H22" s="123"/>
      <c r="I22" s="123"/>
      <c r="J22" s="123"/>
    </row>
    <row r="23" spans="2:20" ht="14.25" thickTop="1">
      <c r="B23" s="33" t="s">
        <v>122</v>
      </c>
      <c r="C23" s="34"/>
      <c r="D23" s="130">
        <v>43104</v>
      </c>
      <c r="E23" s="131"/>
      <c r="G23" s="33" t="s">
        <v>122</v>
      </c>
      <c r="H23" s="34"/>
      <c r="I23" s="130">
        <v>43098</v>
      </c>
      <c r="J23" s="131"/>
    </row>
    <row r="24" spans="2:20" ht="13.5">
      <c r="B24" s="118" t="s">
        <v>124</v>
      </c>
      <c r="C24" s="118"/>
      <c r="D24" s="119" t="s">
        <v>179</v>
      </c>
      <c r="E24" s="120"/>
      <c r="G24" s="118" t="s">
        <v>194</v>
      </c>
      <c r="H24" s="118"/>
      <c r="I24" s="119" t="s">
        <v>189</v>
      </c>
      <c r="J24" s="120"/>
    </row>
    <row r="25" spans="2:20" ht="13.5">
      <c r="B25" s="118" t="s">
        <v>127</v>
      </c>
      <c r="C25" s="118"/>
      <c r="D25" s="119" t="s">
        <v>180</v>
      </c>
      <c r="E25" s="120"/>
      <c r="G25" s="118" t="s">
        <v>191</v>
      </c>
      <c r="H25" s="118"/>
      <c r="I25" s="119">
        <v>9375</v>
      </c>
      <c r="J25" s="120"/>
    </row>
    <row r="26" spans="2:20" ht="13.5">
      <c r="B26" s="118" t="s">
        <v>129</v>
      </c>
      <c r="C26" s="118"/>
      <c r="D26" s="127">
        <f>D31*D33</f>
        <v>300000</v>
      </c>
      <c r="E26" s="128"/>
      <c r="G26" s="111" t="s">
        <v>192</v>
      </c>
      <c r="H26" s="111"/>
      <c r="I26" s="119" t="s">
        <v>195</v>
      </c>
      <c r="J26" s="120" t="s">
        <v>193</v>
      </c>
    </row>
    <row r="27" spans="2:20" ht="13.5">
      <c r="B27" s="118" t="s">
        <v>131</v>
      </c>
      <c r="C27" s="118"/>
      <c r="D27" s="119" t="s">
        <v>183</v>
      </c>
      <c r="E27" s="120"/>
      <c r="G27" s="118" t="s">
        <v>131</v>
      </c>
      <c r="H27" s="118"/>
      <c r="I27" s="119" t="s">
        <v>186</v>
      </c>
      <c r="J27" s="120"/>
    </row>
    <row r="28" spans="2:20" ht="13.5">
      <c r="B28" s="118" t="s">
        <v>134</v>
      </c>
      <c r="C28" s="118"/>
      <c r="D28" s="129">
        <v>43167</v>
      </c>
      <c r="E28" s="120"/>
      <c r="G28" s="118" t="s">
        <v>134</v>
      </c>
      <c r="H28" s="118"/>
      <c r="I28" s="129">
        <v>43159</v>
      </c>
      <c r="J28" s="120"/>
    </row>
    <row r="29" spans="2:20" ht="13.5">
      <c r="B29" s="118" t="s">
        <v>136</v>
      </c>
      <c r="C29" s="118"/>
      <c r="D29" s="119">
        <v>3636</v>
      </c>
      <c r="E29" s="120"/>
      <c r="G29" s="118" t="s">
        <v>136</v>
      </c>
      <c r="H29" s="118"/>
      <c r="I29" s="119">
        <v>9770</v>
      </c>
      <c r="J29" s="120"/>
    </row>
    <row r="30" spans="2:20" ht="13.5">
      <c r="B30" s="118" t="s">
        <v>138</v>
      </c>
      <c r="C30" s="118"/>
      <c r="D30" s="119">
        <v>3550</v>
      </c>
      <c r="E30" s="120"/>
      <c r="G30" s="118" t="s">
        <v>187</v>
      </c>
      <c r="H30" s="118"/>
      <c r="I30" s="112"/>
      <c r="J30" s="113">
        <v>9500</v>
      </c>
    </row>
    <row r="31" spans="2:20" ht="13.5">
      <c r="B31" s="118" t="s">
        <v>140</v>
      </c>
      <c r="C31" s="118"/>
      <c r="D31" s="119">
        <v>60</v>
      </c>
      <c r="E31" s="120"/>
      <c r="G31" s="118" t="s">
        <v>188</v>
      </c>
      <c r="H31" s="118"/>
      <c r="I31" s="119">
        <v>10040</v>
      </c>
      <c r="J31" s="120"/>
    </row>
    <row r="32" spans="2:20" ht="13.5">
      <c r="B32" s="118" t="s">
        <v>142</v>
      </c>
      <c r="C32" s="118"/>
      <c r="D32" s="119" t="s">
        <v>181</v>
      </c>
      <c r="E32" s="120"/>
      <c r="G32" s="118" t="s">
        <v>140</v>
      </c>
      <c r="H32" s="118"/>
      <c r="I32" s="119">
        <v>15</v>
      </c>
      <c r="J32" s="120"/>
    </row>
    <row r="33" spans="2:10" ht="13.5">
      <c r="B33" s="118" t="s">
        <v>145</v>
      </c>
      <c r="C33" s="118"/>
      <c r="D33" s="127">
        <v>5000</v>
      </c>
      <c r="E33" s="128"/>
      <c r="G33" s="118" t="s">
        <v>142</v>
      </c>
      <c r="H33" s="118"/>
      <c r="I33" s="119" t="s">
        <v>190</v>
      </c>
      <c r="J33" s="120"/>
    </row>
    <row r="34" spans="2:10" ht="14.25" thickBot="1">
      <c r="B34" s="124" t="s">
        <v>147</v>
      </c>
      <c r="C34" s="124"/>
      <c r="D34" s="116" t="s">
        <v>182</v>
      </c>
      <c r="E34" s="117"/>
      <c r="G34" s="118" t="s">
        <v>145</v>
      </c>
      <c r="H34" s="118"/>
      <c r="I34" s="127">
        <v>625</v>
      </c>
      <c r="J34" s="128"/>
    </row>
    <row r="35" spans="2:10" ht="15" thickTop="1" thickBot="1">
      <c r="G35" s="124" t="s">
        <v>147</v>
      </c>
      <c r="H35" s="124"/>
      <c r="I35" s="116" t="s">
        <v>182</v>
      </c>
      <c r="J35" s="117"/>
    </row>
    <row r="36" spans="2:10" ht="12" thickTop="1"/>
  </sheetData>
  <mergeCells count="147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14" t="s">
        <v>158</v>
      </c>
      <c r="C1" s="114"/>
      <c r="D1" s="114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"/>
  <sheetViews>
    <sheetView zoomScaleNormal="100" workbookViewId="0">
      <selection activeCell="I40" sqref="I40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26" t="s">
        <v>37</v>
      </c>
      <c r="C1" s="126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197</v>
      </c>
      <c r="E7" s="17" t="s">
        <v>196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198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9" ca="1" si="0">TODAY()</f>
        <v>43105</v>
      </c>
      <c r="F8" s="21">
        <f ca="1">E8+H8</f>
        <v>43135</v>
      </c>
      <c r="G8" s="19">
        <v>3800</v>
      </c>
      <c r="H8" s="19">
        <v>30</v>
      </c>
      <c r="I8" s="22">
        <f t="shared" ref="I8:I9" si="1">H8/365</f>
        <v>8.2191780821917804E-2</v>
      </c>
      <c r="J8" s="22">
        <v>0</v>
      </c>
      <c r="K8" s="23">
        <v>0.3</v>
      </c>
      <c r="L8" s="24" t="e">
        <f>_xll.dnetGBlackScholesNGreeks("price",$Q8,$P8,$G8,$I8,$C$3,$J8,$K8,$C$4)*R8</f>
        <v>#VALUE!</v>
      </c>
      <c r="M8" s="25">
        <v>80</v>
      </c>
      <c r="N8" s="24" t="e">
        <f>M8/10000*I8*P8</f>
        <v>#N/A</v>
      </c>
      <c r="O8" s="24" t="e">
        <f>IF(L8&lt;=0,ABS(L8)+N8,L8-N8)</f>
        <v>#VALUE!</v>
      </c>
      <c r="P8" s="20" t="e">
        <f>RTD("wdf.rtq",,D8,"LastPrice")</f>
        <v>#N/A</v>
      </c>
      <c r="Q8" s="19" t="s">
        <v>27</v>
      </c>
      <c r="R8" s="19">
        <f>IF(S8="中金买入",1,-1)</f>
        <v>-1</v>
      </c>
      <c r="S8" s="19" t="s">
        <v>31</v>
      </c>
      <c r="T8" s="26" t="e">
        <f>O8/P8</f>
        <v>#VALUE!</v>
      </c>
      <c r="U8" s="24" t="e">
        <f>_xll.dnetGBlackScholesNGreeks("delta",$Q8,$P8,$G8,$I8,$C$3,$J8,$K8,$C$4)*R8</f>
        <v>#VALUE!</v>
      </c>
      <c r="V8" s="24" t="e">
        <f>_xll.dnetGBlackScholesNGreeks("vega",$Q8,$P8,$G8,$I8,$C$3,$J8,$K8,$C$4)*R8</f>
        <v>#VALUE!</v>
      </c>
    </row>
    <row r="9" spans="1:22">
      <c r="A9" s="53"/>
      <c r="B9" s="13" t="s">
        <v>172</v>
      </c>
      <c r="C9" s="10" t="s">
        <v>162</v>
      </c>
      <c r="D9" s="10" t="s">
        <v>40</v>
      </c>
      <c r="E9" s="8">
        <f t="shared" ca="1" si="0"/>
        <v>43105</v>
      </c>
      <c r="F9" s="8">
        <f ca="1">E9+H9</f>
        <v>43470</v>
      </c>
      <c r="G9" s="10">
        <v>100</v>
      </c>
      <c r="H9" s="10">
        <v>365</v>
      </c>
      <c r="I9" s="12">
        <f t="shared" si="1"/>
        <v>1</v>
      </c>
      <c r="J9" s="12">
        <v>0</v>
      </c>
      <c r="K9" s="9">
        <v>0.18</v>
      </c>
      <c r="L9" s="13">
        <f>_xll.dnetGBlackScholesNGreeks("price",$Q9,$P9,$G9,$I9,$C$3,$J9,$K9,$C$4)*R9</f>
        <v>7.0292776883103798</v>
      </c>
      <c r="M9" s="15">
        <v>80</v>
      </c>
      <c r="N9" s="13">
        <f>M9/10000*I9*P9</f>
        <v>0.8</v>
      </c>
      <c r="O9" s="13">
        <f>IF(L9&lt;=0,ABS(L9)+N9,L9-N9)</f>
        <v>6.22927768831038</v>
      </c>
      <c r="P9" s="11">
        <v>100</v>
      </c>
      <c r="Q9" s="10" t="s">
        <v>27</v>
      </c>
      <c r="R9" s="10">
        <f>IF(S9="中金买入",1,-1)</f>
        <v>1</v>
      </c>
      <c r="S9" s="10" t="s">
        <v>151</v>
      </c>
      <c r="T9" s="14">
        <f>O9/P9</f>
        <v>6.22927768831038E-2</v>
      </c>
      <c r="U9" s="13">
        <f>_xll.dnetGBlackScholesNGreeks("delta",$Q9,$P9,$G9,$I9,$C$3,$J9,$K9,$C$4)*R9</f>
        <v>0.52524571968639577</v>
      </c>
      <c r="V9" s="13">
        <f>_xll.dnetGBlackScholesNGreeks("vega",$Q9,$P9,$G9,$I9,$C$3,$J9,$K9,$C$4)*R9</f>
        <v>0.3894605641699016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configs!$B$1:$B$2</xm:f>
          </x14:formula1>
          <xm:sqref>S8:S9</xm:sqref>
        </x14:dataValidation>
        <x14:dataValidation type="list" allowBlank="1" showInputMessage="1" showErrorMessage="1">
          <x14:formula1>
            <xm:f>configs!$C$1:$C$2</xm:f>
          </x14:formula1>
          <xm:sqref>Q8:Q9</xm:sqref>
        </x14:dataValidation>
        <x14:dataValidation type="list" allowBlank="1" showInputMessage="1">
          <x14:formula1>
            <xm:f>configs!$A$1:$A$36</xm:f>
          </x14:formula1>
          <xm:sqref>C8:C9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A3" zoomScale="85" zoomScaleNormal="85" workbookViewId="0">
      <selection activeCell="P37" sqref="P37:P38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0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32" t="s">
        <v>37</v>
      </c>
      <c r="C1" s="126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/>
      <c r="E7" s="60" t="s">
        <v>197</v>
      </c>
      <c r="F7" s="60" t="s">
        <v>199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198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43105</v>
      </c>
      <c r="G8" s="65">
        <f ca="1">F8+I8</f>
        <v>43135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3.5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43105</v>
      </c>
      <c r="G9" s="73">
        <f ca="1">G8</f>
        <v>43135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3.5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43105</v>
      </c>
      <c r="G10" s="81">
        <f ca="1">G9</f>
        <v>43135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3.5">
      <c r="A11" s="84"/>
      <c r="B11" s="70" t="s">
        <v>173</v>
      </c>
      <c r="C11" s="71" t="s">
        <v>160</v>
      </c>
      <c r="D11" s="71">
        <f>IF(S11="中金买入",1,-1)</f>
        <v>-1</v>
      </c>
      <c r="E11" s="71" t="s">
        <v>185</v>
      </c>
      <c r="F11" s="73">
        <f ca="1">TODAY()</f>
        <v>43105</v>
      </c>
      <c r="G11" s="73">
        <f ca="1">F11+I11</f>
        <v>43254</v>
      </c>
      <c r="H11" s="72">
        <v>3900</v>
      </c>
      <c r="I11" s="71">
        <v>149</v>
      </c>
      <c r="J11" s="74">
        <f>I11/365</f>
        <v>0.40821917808219177</v>
      </c>
      <c r="K11" s="74">
        <v>0</v>
      </c>
      <c r="L11" s="75">
        <v>0.28000000000000003</v>
      </c>
      <c r="M11" s="70">
        <f>_xll.dnetGBlackScholesNGreeks("price",$R11,$Q11,$H11,$J11,$C$3,$K11,$L11,$C$4)*D11</f>
        <v>-165.99775284586872</v>
      </c>
      <c r="N11" s="76"/>
      <c r="O11" s="70"/>
      <c r="P11" s="70">
        <f>M11+O11</f>
        <v>-165.99775284586872</v>
      </c>
      <c r="Q11" s="72">
        <v>3663</v>
      </c>
      <c r="R11" s="71" t="s">
        <v>27</v>
      </c>
      <c r="S11" s="75" t="s">
        <v>20</v>
      </c>
      <c r="T11" s="77"/>
      <c r="U11" s="70">
        <f>_xll.dnetGBlackScholesNGreeks("delta",$R11,$Q11,$H11,$J11,$C$3,$K11,$L11,$C$4)*D11</f>
        <v>-0.39381870977877043</v>
      </c>
      <c r="V11" s="70">
        <f>_xll.dnetGBlackScholesNGreeks("vega",$R11,$Q11,$H11,$J11,$C$3,$K11,$L11,$C$4)*D11</f>
        <v>-8.9499857201507211</v>
      </c>
    </row>
    <row r="12" spans="1:22" ht="13.5">
      <c r="A12" s="84"/>
      <c r="B12" s="70" t="s">
        <v>174</v>
      </c>
      <c r="C12" s="71" t="s">
        <v>160</v>
      </c>
      <c r="D12" s="71">
        <f>IF(S12="中金买入",1,-1)</f>
        <v>1</v>
      </c>
      <c r="E12" s="71" t="str">
        <f>E11</f>
        <v>rb1810</v>
      </c>
      <c r="F12" s="73">
        <f ca="1">F11</f>
        <v>43105</v>
      </c>
      <c r="G12" s="73">
        <f ca="1">G11</f>
        <v>43254</v>
      </c>
      <c r="H12" s="72">
        <v>4100</v>
      </c>
      <c r="I12" s="71">
        <f>I11</f>
        <v>149</v>
      </c>
      <c r="J12" s="74">
        <f>I12/365</f>
        <v>0.40821917808219177</v>
      </c>
      <c r="K12" s="74">
        <v>0.04</v>
      </c>
      <c r="L12" s="75">
        <v>0.26</v>
      </c>
      <c r="M12" s="70">
        <f>_xll.dnetGBlackScholesNGreeks("price",$R12,$Q12,$H12,$J12,$C$3,$K12,$L12,$C$4)*D12</f>
        <v>111.9257363021411</v>
      </c>
      <c r="N12" s="76"/>
      <c r="O12" s="70"/>
      <c r="P12" s="70">
        <f>M12+O12</f>
        <v>111.9257363021411</v>
      </c>
      <c r="Q12" s="72">
        <f>Q11</f>
        <v>3663</v>
      </c>
      <c r="R12" s="71" t="s">
        <v>27</v>
      </c>
      <c r="S12" s="75" t="s">
        <v>151</v>
      </c>
      <c r="T12" s="77"/>
      <c r="U12" s="70">
        <f>_xll.dnetGBlackScholesNGreeks("delta",$R12,$Q12,$H12,$J12,$C$3,$K12,$L12,$C$4)*D12</f>
        <v>0.31209693338496436</v>
      </c>
      <c r="V12" s="70">
        <f>_xll.dnetGBlackScholesNGreeks("vega",$R12,$Q12,$H12,$J12,$C$3,$K12,$L12,$C$4)*D12</f>
        <v>8.3173153994594031</v>
      </c>
    </row>
    <row r="13" spans="1:22" ht="13.5">
      <c r="A13" s="84"/>
      <c r="B13" s="78" t="s">
        <v>175</v>
      </c>
      <c r="C13" s="79" t="s">
        <v>160</v>
      </c>
      <c r="D13" s="79"/>
      <c r="E13" s="79" t="str">
        <f>E12</f>
        <v>rb1810</v>
      </c>
      <c r="F13" s="81">
        <f t="shared" ref="F13:G13" ca="1" si="2">F12</f>
        <v>43105</v>
      </c>
      <c r="G13" s="81">
        <f t="shared" ca="1" si="2"/>
        <v>43254</v>
      </c>
      <c r="H13" s="79" t="str">
        <f>H11 &amp; "|" &amp; H12</f>
        <v>3900|4100</v>
      </c>
      <c r="I13" s="79">
        <f>I12</f>
        <v>149</v>
      </c>
      <c r="J13" s="82">
        <f>J12</f>
        <v>0.40821917808219177</v>
      </c>
      <c r="K13" s="82"/>
      <c r="L13" s="79"/>
      <c r="M13" s="78">
        <f>M12+M11</f>
        <v>-54.072016543727614</v>
      </c>
      <c r="N13" s="79">
        <v>0</v>
      </c>
      <c r="O13" s="78">
        <f>N13/10000*J13*Q13</f>
        <v>0</v>
      </c>
      <c r="P13" s="78">
        <f>IF(M13&lt;=0,ABS(M13)+O13,M13-O13)</f>
        <v>54.072016543727614</v>
      </c>
      <c r="Q13" s="80">
        <f>Q12</f>
        <v>3663</v>
      </c>
      <c r="R13" s="79"/>
      <c r="S13" s="75" t="s">
        <v>20</v>
      </c>
      <c r="T13" s="83">
        <f>P13/Q13</f>
        <v>1.4761675278112917E-2</v>
      </c>
      <c r="U13" s="83">
        <f>U12+U11</f>
        <v>-8.1721776393806067E-2</v>
      </c>
      <c r="V13" s="83">
        <f>V12+V11</f>
        <v>-0.63267032069131801</v>
      </c>
    </row>
    <row r="14" spans="1:22" ht="13.5">
      <c r="A14" s="84"/>
      <c r="B14" s="70" t="s">
        <v>173</v>
      </c>
      <c r="C14" s="71" t="s">
        <v>160</v>
      </c>
      <c r="D14" s="71">
        <f>IF(S14="中金买入",1,-1)</f>
        <v>-1</v>
      </c>
      <c r="E14" s="71" t="s">
        <v>184</v>
      </c>
      <c r="F14" s="73">
        <f ca="1">TODAY()</f>
        <v>43105</v>
      </c>
      <c r="G14" s="73">
        <f ca="1">F14+I14</f>
        <v>43254</v>
      </c>
      <c r="H14" s="72">
        <v>3850</v>
      </c>
      <c r="I14" s="71">
        <v>149</v>
      </c>
      <c r="J14" s="74">
        <f>I14/365</f>
        <v>0.40821917808219177</v>
      </c>
      <c r="K14" s="74">
        <v>0</v>
      </c>
      <c r="L14" s="75">
        <v>0.28000000000000003</v>
      </c>
      <c r="M14" s="70">
        <f>_xll.dnetGBlackScholesNGreeks("price",$R14,$Q14,$H14,$J14,$C$3,$K14,$L14,$C$4)*D14</f>
        <v>-183.01682921136171</v>
      </c>
      <c r="N14" s="76"/>
      <c r="O14" s="70"/>
      <c r="P14" s="70">
        <f>M14+O14</f>
        <v>-183.01682921136171</v>
      </c>
      <c r="Q14" s="72">
        <v>3663</v>
      </c>
      <c r="R14" s="71" t="s">
        <v>27</v>
      </c>
      <c r="S14" s="75" t="s">
        <v>20</v>
      </c>
      <c r="T14" s="77"/>
      <c r="U14" s="70">
        <f>_xll.dnetGBlackScholesNGreeks("delta",$R14,$Q14,$H14,$J14,$C$3,$K14,$L14,$C$4)*D14</f>
        <v>-0.4216406817022289</v>
      </c>
      <c r="V14" s="70">
        <f>_xll.dnetGBlackScholesNGreeks("vega",$R14,$Q14,$H14,$J14,$C$3,$K14,$L14,$C$4)*D14</f>
        <v>-9.0966206987250189</v>
      </c>
    </row>
    <row r="15" spans="1:22" ht="13.5">
      <c r="A15" s="84"/>
      <c r="B15" s="70" t="s">
        <v>174</v>
      </c>
      <c r="C15" s="71" t="s">
        <v>160</v>
      </c>
      <c r="D15" s="71">
        <f>IF(S15="中金买入",1,-1)</f>
        <v>1</v>
      </c>
      <c r="E15" s="71" t="str">
        <f>E14</f>
        <v>rb1810</v>
      </c>
      <c r="F15" s="73">
        <f ca="1">F14</f>
        <v>43105</v>
      </c>
      <c r="G15" s="73">
        <f ca="1">G14</f>
        <v>43254</v>
      </c>
      <c r="H15" s="72">
        <v>4000</v>
      </c>
      <c r="I15" s="71">
        <f>I14</f>
        <v>149</v>
      </c>
      <c r="J15" s="74">
        <f>I15/365</f>
        <v>0.40821917808219177</v>
      </c>
      <c r="K15" s="74">
        <v>0</v>
      </c>
      <c r="L15" s="75">
        <v>0.26</v>
      </c>
      <c r="M15" s="70">
        <f>_xll.dnetGBlackScholesNGreeks("price",$R15,$Q15,$H15,$J15,$C$3,$K15,$L15,$C$4)*D15</f>
        <v>118.83455596301837</v>
      </c>
      <c r="N15" s="76"/>
      <c r="O15" s="70"/>
      <c r="P15" s="70">
        <f>M15+O15</f>
        <v>118.83455596301837</v>
      </c>
      <c r="Q15" s="72">
        <f>Q14</f>
        <v>3663</v>
      </c>
      <c r="R15" s="71" t="s">
        <v>27</v>
      </c>
      <c r="S15" s="75" t="s">
        <v>151</v>
      </c>
      <c r="T15" s="77"/>
      <c r="U15" s="70">
        <f>_xll.dnetGBlackScholesNGreeks("delta",$R15,$Q15,$H15,$J15,$C$3,$K15,$L15,$C$4)*D15</f>
        <v>0.32486401036067036</v>
      </c>
      <c r="V15" s="70">
        <f>_xll.dnetGBlackScholesNGreeks("vega",$R15,$Q15,$H15,$J15,$C$3,$K15,$L15,$C$4)*D15</f>
        <v>8.3796365498338901</v>
      </c>
    </row>
    <row r="16" spans="1:22" ht="13.5">
      <c r="A16" s="84"/>
      <c r="B16" s="78" t="s">
        <v>175</v>
      </c>
      <c r="C16" s="79" t="s">
        <v>160</v>
      </c>
      <c r="D16" s="79"/>
      <c r="E16" s="79" t="str">
        <f>E15</f>
        <v>rb1810</v>
      </c>
      <c r="F16" s="81">
        <f t="shared" ref="F16:G16" ca="1" si="3">F15</f>
        <v>43105</v>
      </c>
      <c r="G16" s="81">
        <f t="shared" ca="1" si="3"/>
        <v>43254</v>
      </c>
      <c r="H16" s="79" t="str">
        <f>H14 &amp; "|" &amp; H15</f>
        <v>3850|4000</v>
      </c>
      <c r="I16" s="79">
        <f>I15</f>
        <v>149</v>
      </c>
      <c r="J16" s="82">
        <f>J15</f>
        <v>0.40821917808219177</v>
      </c>
      <c r="K16" s="82"/>
      <c r="L16" s="79"/>
      <c r="M16" s="78">
        <f>M15+M14</f>
        <v>-64.182273248343336</v>
      </c>
      <c r="N16" s="79">
        <v>0</v>
      </c>
      <c r="O16" s="78">
        <f>N16/10000*J16*Q16</f>
        <v>0</v>
      </c>
      <c r="P16" s="78">
        <f>IF(M16&lt;=0,ABS(M16)+O16,M16-O16)</f>
        <v>64.182273248343336</v>
      </c>
      <c r="Q16" s="80">
        <f>Q15</f>
        <v>3663</v>
      </c>
      <c r="R16" s="79"/>
      <c r="S16" s="75" t="s">
        <v>20</v>
      </c>
      <c r="T16" s="83">
        <f>P16/Q16</f>
        <v>1.7521778118575849E-2</v>
      </c>
      <c r="U16" s="83">
        <f>U15+U14</f>
        <v>-9.677667134155854E-2</v>
      </c>
      <c r="V16" s="83">
        <f>V15+V14</f>
        <v>-0.71698414889112883</v>
      </c>
    </row>
    <row r="17" spans="1:22" ht="13.5">
      <c r="A17" s="84"/>
      <c r="B17" s="70" t="s">
        <v>173</v>
      </c>
      <c r="C17" s="71" t="s">
        <v>160</v>
      </c>
      <c r="D17" s="71">
        <f>IF(S17="中金买入",1,-1)</f>
        <v>-1</v>
      </c>
      <c r="E17" s="71" t="s">
        <v>184</v>
      </c>
      <c r="F17" s="73">
        <f ca="1">TODAY()</f>
        <v>43105</v>
      </c>
      <c r="G17" s="73">
        <f ca="1">F17+I17</f>
        <v>43254</v>
      </c>
      <c r="H17" s="72">
        <v>3750</v>
      </c>
      <c r="I17" s="71">
        <v>149</v>
      </c>
      <c r="J17" s="74">
        <f>I17/365</f>
        <v>0.40821917808219177</v>
      </c>
      <c r="K17" s="74">
        <v>0</v>
      </c>
      <c r="L17" s="75">
        <v>0.28000000000000003</v>
      </c>
      <c r="M17" s="70">
        <f>_xll.dnetGBlackScholesNGreeks("price",$R17,$Q17,$H17,$J17,$C$3,$K17,$L17,$C$4)*D17</f>
        <v>-221.13189735007222</v>
      </c>
      <c r="N17" s="76"/>
      <c r="O17" s="70"/>
      <c r="P17" s="70">
        <f>M17+O17</f>
        <v>-221.13189735007222</v>
      </c>
      <c r="Q17" s="72">
        <v>3663</v>
      </c>
      <c r="R17" s="71" t="s">
        <v>39</v>
      </c>
      <c r="S17" s="75" t="s">
        <v>20</v>
      </c>
      <c r="T17" s="77"/>
      <c r="U17" s="70">
        <f>_xll.dnetGBlackScholesNGreeks("delta",$R17,$Q17,$H17,$J17,$C$3,$K17,$L17,$C$4)*D17</f>
        <v>-0.47941398562443283</v>
      </c>
      <c r="V17" s="70">
        <f>_xll.dnetGBlackScholesNGreeks("vega",$R17,$Q17,$H17,$J17,$C$3,$K17,$L17,$C$4)*D17</f>
        <v>-9.2525983819865587</v>
      </c>
    </row>
    <row r="18" spans="1:22" ht="13.5">
      <c r="A18" s="84"/>
      <c r="B18" s="70" t="s">
        <v>174</v>
      </c>
      <c r="C18" s="71" t="s">
        <v>160</v>
      </c>
      <c r="D18" s="71">
        <f>IF(S18="中金买入",1,-1)</f>
        <v>1</v>
      </c>
      <c r="E18" s="71" t="str">
        <f>E17</f>
        <v>rb1810</v>
      </c>
      <c r="F18" s="73">
        <f ca="1">F17</f>
        <v>43105</v>
      </c>
      <c r="G18" s="73">
        <f ca="1">G17</f>
        <v>43254</v>
      </c>
      <c r="H18" s="72">
        <v>3850</v>
      </c>
      <c r="I18" s="71">
        <f>I17</f>
        <v>149</v>
      </c>
      <c r="J18" s="74">
        <f>I18/365</f>
        <v>0.40821917808219177</v>
      </c>
      <c r="K18" s="74">
        <v>0</v>
      </c>
      <c r="L18" s="75">
        <v>0.26</v>
      </c>
      <c r="M18" s="70">
        <f>_xll.dnetGBlackScholesNGreeks("price",$R18,$Q18,$H18,$J18,$C$3,$K18,$L18,$C$4)*D18</f>
        <v>164.87171584066755</v>
      </c>
      <c r="N18" s="76"/>
      <c r="O18" s="70"/>
      <c r="P18" s="70">
        <f>M18+O18</f>
        <v>164.87171584066755</v>
      </c>
      <c r="Q18" s="72">
        <f>Q17</f>
        <v>3663</v>
      </c>
      <c r="R18" s="71" t="s">
        <v>24</v>
      </c>
      <c r="S18" s="75" t="s">
        <v>151</v>
      </c>
      <c r="T18" s="77"/>
      <c r="U18" s="70">
        <f>_xll.dnetGBlackScholesNGreeks("delta",$R18,$Q18,$H18,$J18,$C$3,$K18,$L18,$C$4)*D18</f>
        <v>0.41086506383862798</v>
      </c>
      <c r="V18" s="70">
        <f>_xll.dnetGBlackScholesNGreeks("vega",$R18,$Q18,$H18,$J18,$C$3,$K18,$L18,$C$4)*D18</f>
        <v>9.0453419323658864</v>
      </c>
    </row>
    <row r="19" spans="1:22" ht="13.5">
      <c r="A19" s="84"/>
      <c r="B19" s="78" t="s">
        <v>175</v>
      </c>
      <c r="C19" s="79" t="s">
        <v>160</v>
      </c>
      <c r="D19" s="79"/>
      <c r="E19" s="79" t="str">
        <f>E18</f>
        <v>rb1810</v>
      </c>
      <c r="F19" s="81">
        <f t="shared" ref="F19:G19" ca="1" si="4">F18</f>
        <v>43105</v>
      </c>
      <c r="G19" s="81">
        <f t="shared" ca="1" si="4"/>
        <v>43254</v>
      </c>
      <c r="H19" s="79" t="str">
        <f>H17 &amp; "|" &amp; H18</f>
        <v>3750|3850</v>
      </c>
      <c r="I19" s="79">
        <f>I18</f>
        <v>149</v>
      </c>
      <c r="J19" s="82">
        <f>J18</f>
        <v>0.40821917808219177</v>
      </c>
      <c r="K19" s="82"/>
      <c r="L19" s="79"/>
      <c r="M19" s="78">
        <f>M18+M17</f>
        <v>-56.260181509404674</v>
      </c>
      <c r="N19" s="79">
        <v>0</v>
      </c>
      <c r="O19" s="78">
        <f>N19/10000*J19*Q19</f>
        <v>0</v>
      </c>
      <c r="P19" s="78">
        <f>IF(M19&lt;=0,ABS(M19)+O19,M19-O19)</f>
        <v>56.260181509404674</v>
      </c>
      <c r="Q19" s="80">
        <f>Q18</f>
        <v>3663</v>
      </c>
      <c r="R19" s="79"/>
      <c r="S19" s="75" t="s">
        <v>20</v>
      </c>
      <c r="T19" s="83">
        <f>P19/Q19</f>
        <v>1.5359044911112387E-2</v>
      </c>
      <c r="U19" s="83">
        <f>U18+U17</f>
        <v>-6.8548921785804851E-2</v>
      </c>
      <c r="V19" s="83">
        <f>V18+V17</f>
        <v>-0.20725644962067236</v>
      </c>
    </row>
    <row r="20" spans="1:22" ht="13.5">
      <c r="A20" s="84"/>
      <c r="B20" s="70"/>
      <c r="C20" s="71"/>
      <c r="D20" s="71"/>
      <c r="E20" s="71"/>
      <c r="F20" s="73"/>
      <c r="G20" s="73"/>
      <c r="H20" s="71"/>
      <c r="I20" s="71"/>
      <c r="J20" s="74"/>
      <c r="K20" s="74"/>
      <c r="L20" s="75"/>
      <c r="M20" s="70"/>
      <c r="N20" s="76"/>
      <c r="O20" s="70"/>
      <c r="P20" s="70"/>
      <c r="Q20" s="72"/>
      <c r="R20" s="71"/>
      <c r="S20" s="75"/>
      <c r="T20" s="77"/>
      <c r="U20" s="70"/>
      <c r="V20" s="70"/>
    </row>
    <row r="21" spans="1:22" ht="13.5">
      <c r="A21" s="84"/>
      <c r="B21" s="70"/>
      <c r="C21" s="71"/>
      <c r="D21" s="71"/>
      <c r="E21" s="71"/>
      <c r="F21" s="73"/>
      <c r="G21" s="73"/>
      <c r="H21" s="71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ht="13.5">
      <c r="A22" s="84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ht="13.5">
      <c r="A23" s="84"/>
      <c r="B23" s="70"/>
      <c r="C23" s="71"/>
      <c r="D23" s="71"/>
      <c r="E23" s="71"/>
      <c r="F23" s="73"/>
      <c r="G23" s="73"/>
      <c r="H23" s="71"/>
      <c r="I23" s="71"/>
      <c r="J23" s="74"/>
      <c r="K23" s="74"/>
      <c r="L23" s="75"/>
      <c r="M23" s="70"/>
      <c r="N23" s="76"/>
      <c r="O23" s="70"/>
      <c r="P23" s="70"/>
      <c r="Q23" s="72"/>
      <c r="R23" s="71"/>
      <c r="S23" s="75"/>
      <c r="T23" s="77"/>
      <c r="U23" s="70"/>
      <c r="V23" s="70"/>
    </row>
    <row r="24" spans="1:22" ht="13.5">
      <c r="A24" s="84"/>
      <c r="B24" s="70"/>
      <c r="C24" s="71"/>
      <c r="D24" s="71"/>
      <c r="E24" s="71"/>
      <c r="F24" s="73"/>
      <c r="G24" s="73"/>
      <c r="H24" s="71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ht="13.5">
      <c r="A25" s="84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ht="13.5">
      <c r="A26" s="84"/>
      <c r="B26" s="70"/>
      <c r="C26" s="71"/>
      <c r="D26" s="71"/>
      <c r="E26" s="71"/>
      <c r="F26" s="73"/>
      <c r="G26" s="73"/>
      <c r="H26" s="71"/>
      <c r="I26" s="71"/>
      <c r="J26" s="74"/>
      <c r="K26" s="74"/>
      <c r="L26" s="75"/>
      <c r="M26" s="70"/>
      <c r="N26" s="76"/>
      <c r="O26" s="70"/>
      <c r="P26" s="70"/>
      <c r="Q26" s="72"/>
      <c r="R26" s="71"/>
      <c r="S26" s="75"/>
      <c r="T26" s="77"/>
      <c r="U26" s="70"/>
      <c r="V26" s="70"/>
    </row>
    <row r="27" spans="1:22" ht="13.5">
      <c r="A27" s="84"/>
      <c r="B27" s="70"/>
      <c r="C27" s="71"/>
      <c r="D27" s="71"/>
      <c r="E27" s="71"/>
      <c r="F27" s="73"/>
      <c r="G27" s="73"/>
      <c r="H27" s="71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ht="13.5">
      <c r="A28" s="84"/>
      <c r="B28" s="78"/>
      <c r="C28" s="79"/>
      <c r="D28" s="79"/>
      <c r="E28" s="79"/>
      <c r="F28" s="81"/>
      <c r="G28" s="81"/>
      <c r="H28" s="79"/>
      <c r="I28" s="79"/>
      <c r="J28" s="82"/>
      <c r="K28" s="82"/>
      <c r="L28" s="79"/>
      <c r="M28" s="78"/>
      <c r="N28" s="79"/>
      <c r="O28" s="78"/>
      <c r="P28" s="78"/>
      <c r="Q28" s="80"/>
      <c r="R28" s="79"/>
      <c r="S28" s="75"/>
      <c r="T28" s="83"/>
      <c r="U28" s="83"/>
      <c r="V28" s="83"/>
    </row>
    <row r="29" spans="1:22">
      <c r="B29" s="45"/>
      <c r="C29" s="40"/>
      <c r="D29" s="40"/>
      <c r="E29" s="40"/>
      <c r="F29" s="42"/>
      <c r="G29" s="42"/>
      <c r="H29" s="40"/>
      <c r="I29" s="40"/>
      <c r="J29" s="43"/>
      <c r="K29" s="43"/>
      <c r="L29" s="44"/>
      <c r="M29" s="45"/>
      <c r="N29" s="46"/>
      <c r="O29" s="45"/>
      <c r="P29" s="45"/>
      <c r="Q29" s="41"/>
      <c r="R29" s="40"/>
      <c r="S29" s="44"/>
      <c r="T29" s="47"/>
      <c r="U29" s="45"/>
      <c r="V29" s="45"/>
    </row>
    <row r="30" spans="1:22">
      <c r="B30" s="45"/>
      <c r="C30" s="40"/>
      <c r="D30" s="40"/>
      <c r="E30" s="40"/>
      <c r="F30" s="42"/>
      <c r="G30" s="42"/>
      <c r="H30" s="40"/>
      <c r="I30" s="40"/>
      <c r="J30" s="43"/>
      <c r="K30" s="43"/>
      <c r="L30" s="44"/>
      <c r="M30" s="45"/>
      <c r="N30" s="46"/>
      <c r="O30" s="45"/>
      <c r="P30" s="45"/>
      <c r="Q30" s="41"/>
      <c r="R30" s="40"/>
      <c r="S30" s="44"/>
      <c r="T30" s="47"/>
      <c r="U30" s="45"/>
      <c r="V30" s="45"/>
    </row>
    <row r="31" spans="1:22">
      <c r="B31" s="45"/>
      <c r="C31" s="40"/>
      <c r="D31" s="40"/>
      <c r="E31" s="40"/>
      <c r="F31" s="42"/>
      <c r="G31" s="42"/>
      <c r="H31" s="40"/>
      <c r="I31" s="40"/>
      <c r="J31" s="43"/>
      <c r="K31" s="43"/>
      <c r="L31" s="44"/>
      <c r="M31" s="45"/>
      <c r="N31" s="46"/>
      <c r="O31" s="45"/>
      <c r="P31" s="45"/>
      <c r="Q31" s="41"/>
      <c r="R31" s="40"/>
      <c r="S31" s="44"/>
      <c r="T31" s="47"/>
      <c r="U31" s="45"/>
      <c r="V31" s="45"/>
    </row>
    <row r="32" spans="1:22">
      <c r="B32" s="45"/>
      <c r="C32" s="40"/>
      <c r="D32" s="40"/>
      <c r="E32" s="40"/>
      <c r="F32" s="42"/>
      <c r="G32" s="42"/>
      <c r="H32" s="40"/>
      <c r="I32" s="40"/>
      <c r="J32" s="43"/>
      <c r="K32" s="43"/>
      <c r="L32" s="44"/>
      <c r="M32" s="45"/>
      <c r="N32" s="46"/>
      <c r="O32" s="45"/>
      <c r="P32" s="45"/>
      <c r="Q32" s="41"/>
      <c r="R32" s="40"/>
      <c r="S32" s="44"/>
      <c r="T32" s="47"/>
      <c r="U32" s="45"/>
      <c r="V32" s="45"/>
    </row>
    <row r="33" spans="2:22">
      <c r="B33" s="45"/>
      <c r="C33" s="40"/>
      <c r="D33" s="40"/>
      <c r="E33" s="40"/>
      <c r="F33" s="42"/>
      <c r="G33" s="42"/>
      <c r="H33" s="40"/>
      <c r="I33" s="40"/>
      <c r="J33" s="43"/>
      <c r="K33" s="43"/>
      <c r="L33" s="44"/>
      <c r="M33" s="45"/>
      <c r="N33" s="46"/>
      <c r="O33" s="45"/>
      <c r="P33" s="45"/>
      <c r="Q33" s="41"/>
      <c r="R33" s="40"/>
      <c r="S33" s="44"/>
      <c r="T33" s="47"/>
      <c r="U33" s="45"/>
      <c r="V33" s="45"/>
    </row>
    <row r="34" spans="2:22">
      <c r="B34" s="45"/>
      <c r="C34" s="40"/>
      <c r="D34" s="40"/>
      <c r="E34" s="40"/>
      <c r="F34" s="42"/>
      <c r="G34" s="42"/>
      <c r="H34" s="40"/>
      <c r="I34" s="40"/>
      <c r="J34" s="43"/>
      <c r="K34" s="43"/>
      <c r="L34" s="44"/>
      <c r="M34" s="45"/>
      <c r="N34" s="46"/>
      <c r="O34" s="45"/>
      <c r="P34" s="45"/>
      <c r="Q34" s="41"/>
      <c r="R34" s="40"/>
      <c r="S34" s="44"/>
      <c r="T34" s="47"/>
      <c r="U34" s="45"/>
      <c r="V34" s="45"/>
    </row>
    <row r="35" spans="2:22">
      <c r="B35" s="45"/>
      <c r="C35" s="40"/>
      <c r="D35" s="40"/>
      <c r="E35" s="40"/>
      <c r="F35" s="42"/>
      <c r="G35" s="42"/>
      <c r="H35" s="40"/>
      <c r="I35" s="40"/>
      <c r="J35" s="43"/>
      <c r="K35" s="43"/>
      <c r="L35" s="44"/>
      <c r="M35" s="45"/>
      <c r="N35" s="46"/>
      <c r="O35" s="45"/>
      <c r="P35" s="45"/>
      <c r="Q35" s="41"/>
      <c r="R35" s="40"/>
      <c r="S35" s="44"/>
      <c r="T35" s="47"/>
      <c r="U35" s="45"/>
      <c r="V35" s="45"/>
    </row>
    <row r="36" spans="2:22">
      <c r="B36" s="45"/>
      <c r="C36" s="40"/>
      <c r="D36" s="40"/>
      <c r="E36" s="40"/>
      <c r="F36" s="42"/>
      <c r="G36" s="42"/>
      <c r="H36" s="40"/>
      <c r="I36" s="40"/>
      <c r="J36" s="43"/>
      <c r="K36" s="43"/>
      <c r="L36" s="44"/>
      <c r="M36" s="45"/>
      <c r="N36" s="46"/>
      <c r="O36" s="45"/>
      <c r="P36" s="45"/>
      <c r="Q36" s="41"/>
      <c r="R36" s="40"/>
      <c r="S36" s="44"/>
      <c r="T36" s="47"/>
      <c r="U36" s="45"/>
      <c r="V36" s="45"/>
    </row>
    <row r="37" spans="2:22">
      <c r="B37" s="45"/>
      <c r="C37" s="40"/>
      <c r="D37" s="40"/>
      <c r="E37" s="40"/>
      <c r="F37" s="42"/>
      <c r="G37" s="42"/>
      <c r="H37" s="40"/>
      <c r="I37" s="40"/>
      <c r="J37" s="43"/>
      <c r="K37" s="43"/>
      <c r="L37" s="44"/>
      <c r="M37" s="45"/>
      <c r="N37" s="46"/>
      <c r="O37" s="45"/>
      <c r="P37" s="45"/>
      <c r="Q37" s="41"/>
      <c r="R37" s="40"/>
      <c r="S37" s="44"/>
      <c r="T37" s="47"/>
      <c r="U37" s="45"/>
      <c r="V37" s="45"/>
    </row>
    <row r="38" spans="2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2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26" t="s">
        <v>38</v>
      </c>
      <c r="C1" s="126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55">
        <v>0.02</v>
      </c>
      <c r="M8" s="21">
        <f ca="1">TODAY()</f>
        <v>43105</v>
      </c>
      <c r="N8" s="21">
        <f ca="1">M8+O8</f>
        <v>43135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43105</v>
      </c>
      <c r="N9" s="8">
        <f ca="1">M9+O9</f>
        <v>43285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33" t="s">
        <v>37</v>
      </c>
      <c r="C1" s="133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43105</v>
      </c>
      <c r="K8" s="21">
        <f ca="1">J8+L8</f>
        <v>43135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43105</v>
      </c>
      <c r="K9" s="8">
        <f ca="1">J9+L9</f>
        <v>43135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43105</v>
      </c>
      <c r="K10" s="8">
        <f ca="1">J10+L10</f>
        <v>43135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2018-01-05T05:59:22Z</dcterms:modified>
</cp:coreProperties>
</file>