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M14" i="1" l="1"/>
  <c r="J14" i="1"/>
  <c r="K14" i="1" s="1"/>
  <c r="E14" i="1"/>
  <c r="H14" i="1"/>
  <c r="U14" i="1"/>
  <c r="R14" i="1" l="1"/>
  <c r="L18" i="9"/>
  <c r="H18" i="9"/>
  <c r="H19" i="9" s="1"/>
  <c r="M13" i="1"/>
  <c r="M12" i="1"/>
  <c r="M11" i="1"/>
  <c r="F18" i="9"/>
  <c r="J13" i="1"/>
  <c r="K13" i="1" s="1"/>
  <c r="E13" i="1"/>
  <c r="J11" i="1"/>
  <c r="K11" i="1" s="1"/>
  <c r="E11" i="1"/>
  <c r="J12" i="1"/>
  <c r="K12" i="1" s="1"/>
  <c r="E12" i="1"/>
  <c r="M10" i="1"/>
  <c r="J10" i="1"/>
  <c r="K10" i="1" s="1"/>
  <c r="E10" i="1"/>
  <c r="V14" i="1"/>
  <c r="P14" i="1"/>
  <c r="H10" i="1"/>
  <c r="V10" i="1"/>
  <c r="S14" i="1" l="1"/>
  <c r="T14" i="1" s="1"/>
  <c r="I11" i="1"/>
  <c r="I13" i="1"/>
  <c r="R13" i="1"/>
  <c r="I12" i="1"/>
  <c r="R12" i="1"/>
  <c r="R11" i="1"/>
  <c r="R10" i="1"/>
  <c r="L19" i="9"/>
  <c r="I19" i="9"/>
  <c r="F19" i="9"/>
  <c r="M18" i="9"/>
  <c r="M19" i="9" s="1"/>
  <c r="E18" i="9"/>
  <c r="M17" i="9"/>
  <c r="J17" i="9"/>
  <c r="J18" i="9" s="1"/>
  <c r="J19" i="9" s="1"/>
  <c r="E17" i="9"/>
  <c r="P11" i="1"/>
  <c r="P12" i="1"/>
  <c r="U11" i="1"/>
  <c r="P10" i="1"/>
  <c r="U10" i="1"/>
  <c r="V11" i="1"/>
  <c r="V13" i="1"/>
  <c r="U12" i="1"/>
  <c r="U13" i="1"/>
  <c r="P13" i="1"/>
  <c r="V12" i="1"/>
  <c r="U17" i="9"/>
  <c r="S12" i="1" l="1"/>
  <c r="T12" i="1" s="1"/>
  <c r="S13" i="1"/>
  <c r="T13" i="1" s="1"/>
  <c r="S11" i="1"/>
  <c r="T11" i="1" s="1"/>
  <c r="S10" i="1"/>
  <c r="T10" i="1" s="1"/>
  <c r="K17" i="9"/>
  <c r="K18" i="9" s="1"/>
  <c r="K19" i="9" s="1"/>
  <c r="U18" i="9"/>
  <c r="P17" i="9"/>
  <c r="P18" i="9"/>
  <c r="V17" i="9"/>
  <c r="V18" i="9"/>
  <c r="S17" i="9" l="1"/>
  <c r="U19" i="9"/>
  <c r="V19" i="9"/>
  <c r="S18" i="9"/>
  <c r="P19" i="9"/>
  <c r="R19" i="9"/>
  <c r="S19" i="9" l="1"/>
  <c r="T19" i="9" s="1"/>
  <c r="E14" i="9" l="1"/>
  <c r="E15" i="9"/>
  <c r="F15" i="9"/>
  <c r="F16" i="9" s="1"/>
  <c r="F12" i="9"/>
  <c r="F13" i="9" s="1"/>
  <c r="I16" i="9"/>
  <c r="L15" i="9"/>
  <c r="L16" i="9" s="1"/>
  <c r="M14" i="9"/>
  <c r="J14" i="9"/>
  <c r="J15" i="9" s="1"/>
  <c r="J16" i="9" s="1"/>
  <c r="P14" i="9"/>
  <c r="U14" i="9"/>
  <c r="V14" i="9"/>
  <c r="M15" i="9" l="1"/>
  <c r="M16" i="9" s="1"/>
  <c r="H12" i="9"/>
  <c r="H13" i="9" s="1"/>
  <c r="H15" i="9"/>
  <c r="S14" i="9"/>
  <c r="K14" i="9"/>
  <c r="K15" i="9" s="1"/>
  <c r="K16" i="9" s="1"/>
  <c r="U15" i="9"/>
  <c r="P15" i="9"/>
  <c r="V15" i="9"/>
  <c r="V16" i="9" l="1"/>
  <c r="U16" i="9"/>
  <c r="P16" i="9"/>
  <c r="S15" i="9"/>
  <c r="H16" i="9"/>
  <c r="R16" i="9" s="1"/>
  <c r="I13" i="9"/>
  <c r="L12" i="9"/>
  <c r="L13" i="9" s="1"/>
  <c r="E12" i="9"/>
  <c r="M11" i="9"/>
  <c r="J11" i="9"/>
  <c r="J12" i="9" s="1"/>
  <c r="J13" i="9" s="1"/>
  <c r="E11" i="9"/>
  <c r="V11" i="9"/>
  <c r="S16" i="9" l="1"/>
  <c r="T16" i="9" s="1"/>
  <c r="M12" i="9"/>
  <c r="K11" i="9"/>
  <c r="K12" i="9" s="1"/>
  <c r="K13" i="9" s="1"/>
  <c r="U12" i="9"/>
  <c r="P11" i="9"/>
  <c r="U11" i="9"/>
  <c r="P12" i="9"/>
  <c r="V12" i="9"/>
  <c r="S12" i="9" l="1"/>
  <c r="M13" i="9"/>
  <c r="R13" i="9" s="1"/>
  <c r="U13" i="9"/>
  <c r="V13" i="9"/>
  <c r="S11" i="9"/>
  <c r="P13" i="9"/>
  <c r="S13" i="9" l="1"/>
  <c r="T13" i="9" s="1"/>
  <c r="D26" i="2"/>
  <c r="N9" i="9" l="1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8" i="9"/>
  <c r="P9" i="9"/>
  <c r="V9" i="9"/>
  <c r="U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K9" i="8"/>
  <c r="U9" i="7"/>
  <c r="T9" i="7"/>
  <c r="H8" i="7"/>
  <c r="T10" i="7"/>
  <c r="O10" i="7"/>
  <c r="O9" i="7"/>
  <c r="H8" i="8"/>
  <c r="U10" i="7"/>
  <c r="U8" i="8" l="1"/>
  <c r="Q9" i="7"/>
  <c r="R9" i="7" s="1"/>
  <c r="S9" i="7" s="1"/>
  <c r="Q10" i="7"/>
  <c r="R10" i="7" s="1"/>
  <c r="S10" i="7" s="1"/>
  <c r="Q8" i="7"/>
  <c r="K8" i="8"/>
  <c r="Y9" i="8"/>
  <c r="S9" i="8"/>
  <c r="T8" i="7"/>
  <c r="U8" i="7"/>
  <c r="O8" i="7"/>
  <c r="X9" i="8"/>
  <c r="V9" i="8" l="1"/>
  <c r="W9" i="8" s="1"/>
  <c r="R8" i="7"/>
  <c r="S8" i="7" s="1"/>
  <c r="S8" i="8"/>
  <c r="X8" i="8"/>
  <c r="Y8" i="8"/>
  <c r="V8" i="8" l="1"/>
  <c r="W8" i="8" s="1"/>
  <c r="E9" i="1"/>
  <c r="E8" i="1"/>
  <c r="M9" i="1" l="1"/>
  <c r="J9" i="1"/>
  <c r="K9" i="1" s="1"/>
  <c r="M8" i="1"/>
  <c r="J8" i="1"/>
  <c r="K8" i="1" s="1"/>
  <c r="U9" i="1"/>
  <c r="H8" i="1"/>
  <c r="V9" i="1"/>
  <c r="P9" i="1"/>
  <c r="R8" i="1" l="1"/>
  <c r="R9" i="1"/>
  <c r="S9" i="1" s="1"/>
  <c r="T9" i="1" s="1"/>
  <c r="P8" i="1"/>
  <c r="U8" i="1"/>
  <c r="V8" i="1"/>
  <c r="S8" i="1" l="1"/>
  <c r="T8" i="1" s="1"/>
</calcChain>
</file>

<file path=xl/sharedStrings.xml><?xml version="1.0" encoding="utf-8"?>
<sst xmlns="http://schemas.openxmlformats.org/spreadsheetml/2006/main" count="671" uniqueCount="236">
  <si>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</si>
  <si>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</si>
  <si>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</si>
  <si>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</si>
  <si>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</si>
  <si>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</si>
  <si>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</si>
  <si>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</si>
  <si>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</si>
  <si>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</si>
  <si>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</si>
  <si>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</si>
  <si>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</si>
  <si>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</si>
  <si>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</si>
  <si>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</si>
  <si>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</si>
  <si>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</si>
  <si>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</si>
  <si>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</si>
  <si>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</si>
  <si>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</si>
  <si>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</si>
  <si>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</si>
  <si>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</si>
  <si>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</si>
  <si>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</si>
  <si>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</si>
  <si>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</si>
  <si>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</si>
  <si>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</si>
  <si>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</si>
  <si>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</si>
  <si>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</si>
  <si>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</si>
  <si>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</si>
  <si>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</si>
  <si>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</si>
  <si>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</si>
  <si>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</si>
  <si>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</si>
  <si>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</si>
  <si>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</si>
  <si>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</si>
  <si>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</si>
  <si>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</si>
  <si>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</si>
  <si>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</si>
  <si>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</si>
  <si>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</si>
  <si>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</si>
  <si>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</si>
  <si>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</si>
  <si>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</si>
  <si>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</si>
  <si>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</si>
  <si>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</si>
  <si>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</si>
  <si>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</si>
  <si>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</si>
  <si>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</si>
  <si>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</si>
  <si>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</si>
  <si>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</si>
  <si>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</si>
  <si>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</si>
  <si>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</si>
  <si>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</si>
  <si>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</si>
  <si>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</si>
  <si>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</si>
  <si>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</si>
  <si>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</si>
  <si>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</si>
  <si>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</si>
  <si>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</si>
  <si>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</si>
  <si>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</si>
  <si>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</si>
  <si>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</si>
  <si>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</si>
  <si>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</si>
  <si>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</si>
  <si>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</si>
  <si>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</si>
  <si>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</si>
  <si>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</si>
  <si>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</si>
  <si>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</si>
  <si>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</si>
  <si>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</si>
  <si>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</si>
  <si>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</si>
  <si>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</si>
  <si>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</si>
  <si>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</si>
  <si>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</si>
  <si>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</si>
  <si>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</si>
  <si>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</si>
  <si>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</si>
  <si>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</si>
  <si>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</si>
  <si>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</si>
  <si>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</si>
  <si>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</si>
  <si>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</si>
  <si>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</si>
  <si>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</si>
  <si>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</si>
  <si>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</si>
  <si>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</si>
  <si>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</si>
  <si>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</si>
  <si>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</si>
  <si>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</si>
  <si>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</si>
  <si>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</si>
  <si>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</si>
  <si>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</si>
  <si>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</si>
  <si>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</si>
  <si>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</si>
  <si>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</si>
  <si>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</si>
  <si>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</si>
  <si>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</si>
  <si>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</si>
  <si>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</si>
  <si>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</si>
  <si>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</si>
  <si>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</si>
  <si>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</si>
  <si>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</si>
  <si>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</si>
  <si>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</si>
  <si>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</si>
  <si>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</si>
  <si>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</si>
  <si>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</si>
  <si>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</si>
  <si>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</si>
  <si>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</si>
  <si>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</si>
  <si>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</si>
  <si>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</si>
  <si>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</si>
  <si>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</si>
  <si>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</si>
  <si>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</si>
  <si>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</si>
  <si>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</si>
  <si>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</si>
  <si>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</si>
  <si>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</si>
  <si>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</si>
  <si>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</si>
  <si>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</si>
  <si>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</si>
  <si>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</si>
  <si>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</si>
  <si>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</si>
  <si>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</si>
  <si>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</si>
  <si>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</si>
  <si>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</si>
  <si>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</si>
  <si>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</si>
  <si>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</si>
  <si>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</si>
  <si>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</si>
  <si>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</si>
  <si>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</si>
  <si>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</si>
  <si>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</si>
  <si>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</si>
  <si>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</si>
  <si>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</si>
  <si>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</si>
  <si>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</si>
  <si>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</si>
  <si>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</si>
  <si>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</si>
  <si>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</si>
  <si>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</si>
  <si>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</si>
  <si>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</si>
  <si>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</si>
  <si>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</si>
  <si>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</si>
  <si>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</si>
  <si>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</si>
  <si>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</si>
  <si>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</si>
  <si>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</si>
  <si>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</si>
  <si>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</si>
  <si>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</si>
  <si>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</si>
  <si>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</si>
  <si>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</si>
  <si>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</si>
  <si>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</si>
  <si>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</si>
  <si>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</si>
  <si>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</si>
  <si>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</si>
  <si>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</si>
  <si>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</si>
  <si>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</si>
  <si>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</si>
  <si>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</si>
  <si>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cf1805</t>
  </si>
  <si>
    <t>3791|3291</t>
  </si>
  <si>
    <t>put sprd</t>
    <phoneticPr fontId="1" type="noConversion"/>
  </si>
  <si>
    <t>cu1804</t>
  </si>
  <si>
    <t>rb1810</t>
  </si>
  <si>
    <t>rb1810</t>
    <phoneticPr fontId="1" type="noConversion"/>
  </si>
  <si>
    <t>风险逆转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</si>
  <si>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</si>
  <si>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</si>
  <si>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前程石化</t>
    <phoneticPr fontId="1" type="noConversion"/>
  </si>
  <si>
    <t>L1805</t>
    <phoneticPr fontId="1" type="noConversion"/>
  </si>
  <si>
    <t>权利金总额（元）：</t>
    <phoneticPr fontId="1" type="noConversion"/>
  </si>
  <si>
    <t>权利金方向:</t>
    <phoneticPr fontId="1" type="noConversion"/>
  </si>
  <si>
    <t>前程石化支付中金</t>
    <phoneticPr fontId="1" type="noConversion"/>
  </si>
  <si>
    <t>客户名称：</t>
    <phoneticPr fontId="1" type="noConversion"/>
  </si>
  <si>
    <t>前程石化支付</t>
    <phoneticPr fontId="1" type="noConversion"/>
  </si>
  <si>
    <t>RB1810</t>
    <phoneticPr fontId="1" type="noConversion"/>
  </si>
  <si>
    <t>au9999</t>
  </si>
  <si>
    <t>au9999</t>
    <phoneticPr fontId="1" type="noConversion"/>
  </si>
  <si>
    <t>c</t>
    <phoneticPr fontId="1" type="noConversion"/>
  </si>
  <si>
    <t>3900|4100</t>
  </si>
  <si>
    <t>3850|4000</t>
  </si>
  <si>
    <t>3750|3850</t>
  </si>
  <si>
    <t>call spread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</si>
</sst>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46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1" fillId="7" borderId="1" xfId="0" applyFont="1" applyFill="1" applyBorder="1"/>
    <xf numFmtId="0" fontId="22" fillId="6" borderId="0" xfId="0" applyFont="1" applyFill="1"/>
    <xf numFmtId="2" fontId="21" fillId="9" borderId="6" xfId="0" applyNumberFormat="1" applyFont="1" applyFill="1" applyBorder="1"/>
    <xf numFmtId="0" fontId="21" fillId="9" borderId="6" xfId="0" applyFont="1" applyFill="1" applyBorder="1"/>
    <xf numFmtId="176" fontId="21" fillId="9" borderId="6" xfId="0" applyNumberFormat="1" applyFont="1" applyFill="1" applyBorder="1"/>
    <xf numFmtId="14" fontId="21" fillId="5" borderId="6" xfId="0" applyNumberFormat="1" applyFont="1" applyFill="1" applyBorder="1"/>
    <xf numFmtId="177" fontId="21" fillId="9" borderId="6" xfId="0" applyNumberFormat="1" applyFont="1" applyFill="1" applyBorder="1"/>
    <xf numFmtId="0" fontId="21" fillId="4" borderId="6" xfId="0" applyFont="1" applyFill="1" applyBorder="1"/>
    <xf numFmtId="0" fontId="21" fillId="8" borderId="6" xfId="0" applyFont="1" applyFill="1" applyBorder="1"/>
    <xf numFmtId="10" fontId="21" fillId="9" borderId="6" xfId="1" applyNumberFormat="1" applyFont="1" applyFill="1" applyBorder="1" applyAlignment="1"/>
    <xf numFmtId="2" fontId="21" fillId="9" borderId="2" xfId="0" applyNumberFormat="1" applyFont="1" applyFill="1" applyBorder="1"/>
    <xf numFmtId="0" fontId="21" fillId="9" borderId="2" xfId="0" applyFont="1" applyFill="1" applyBorder="1"/>
    <xf numFmtId="178" fontId="21" fillId="9" borderId="2" xfId="0" applyNumberFormat="1" applyFont="1" applyFill="1" applyBorder="1"/>
    <xf numFmtId="14" fontId="21" fillId="5" borderId="2" xfId="0" applyNumberFormat="1" applyFont="1" applyFill="1" applyBorder="1"/>
    <xf numFmtId="177" fontId="21" fillId="9" borderId="2" xfId="0" applyNumberFormat="1" applyFont="1" applyFill="1" applyBorder="1"/>
    <xf numFmtId="0" fontId="21" fillId="4" borderId="2" xfId="0" applyFont="1" applyFill="1" applyBorder="1"/>
    <xf numFmtId="0" fontId="21" fillId="8" borderId="2" xfId="0" applyFont="1" applyFill="1" applyBorder="1"/>
    <xf numFmtId="10" fontId="21" fillId="9" borderId="2" xfId="1" applyNumberFormat="1" applyFont="1" applyFill="1" applyBorder="1" applyAlignment="1"/>
    <xf numFmtId="2" fontId="21" fillId="12" borderId="2" xfId="0" applyNumberFormat="1" applyFont="1" applyFill="1" applyBorder="1"/>
    <xf numFmtId="0" fontId="21" fillId="12" borderId="2" xfId="0" applyFont="1" applyFill="1" applyBorder="1"/>
    <xf numFmtId="178" fontId="21" fillId="12" borderId="2" xfId="0" applyNumberFormat="1" applyFont="1" applyFill="1" applyBorder="1"/>
    <xf numFmtId="14" fontId="21" fillId="12" borderId="2" xfId="0" applyNumberFormat="1" applyFont="1" applyFill="1" applyBorder="1"/>
    <xf numFmtId="177" fontId="21" fillId="12" borderId="2" xfId="0" applyNumberFormat="1" applyFont="1" applyFill="1" applyBorder="1"/>
    <xf numFmtId="10" fontId="21" fillId="12" borderId="2" xfId="1" applyNumberFormat="1" applyFont="1" applyFill="1" applyBorder="1" applyAlignment="1"/>
    <xf numFmtId="0" fontId="23" fillId="6" borderId="0" xfId="0" applyFont="1" applyFill="1"/>
    <xf numFmtId="14" fontId="24" fillId="13" borderId="10" xfId="0" applyNumberFormat="1" applyFont="1" applyFill="1" applyBorder="1" applyAlignment="1">
      <alignment horizontal="right" vertical="center" wrapText="1"/>
    </xf>
    <xf numFmtId="0" fontId="25" fillId="13" borderId="10" xfId="0" applyFont="1" applyFill="1" applyBorder="1" applyAlignment="1">
      <alignment vertical="center" wrapText="1"/>
    </xf>
    <xf numFmtId="0" fontId="24" fillId="13" borderId="10" xfId="0" applyFont="1" applyFill="1" applyBorder="1" applyAlignment="1">
      <alignment vertical="center" wrapText="1"/>
    </xf>
    <xf numFmtId="0" fontId="25" fillId="13" borderId="11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6" fillId="14" borderId="12" xfId="0" applyFont="1" applyFill="1" applyBorder="1" applyAlignment="1">
      <alignment horizontal="right" vertical="center" wrapText="1"/>
    </xf>
    <xf numFmtId="0" fontId="26" fillId="14" borderId="13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vertical="center" wrapText="1"/>
    </xf>
    <xf numFmtId="0" fontId="27" fillId="0" borderId="12" xfId="0" applyFont="1" applyBorder="1" applyAlignment="1">
      <alignment vertical="center" wrapText="1"/>
    </xf>
    <xf numFmtId="10" fontId="26" fillId="0" borderId="12" xfId="0" applyNumberFormat="1" applyFont="1" applyBorder="1" applyAlignment="1">
      <alignment horizontal="right" vertical="center" wrapText="1"/>
    </xf>
    <xf numFmtId="0" fontId="27" fillId="0" borderId="12" xfId="0" applyFont="1" applyBorder="1" applyAlignment="1">
      <alignment horizontal="right" vertical="center" wrapText="1"/>
    </xf>
    <xf numFmtId="2" fontId="28" fillId="9" borderId="2" xfId="2" applyNumberFormat="1" applyFill="1" applyBorder="1"/>
    <xf numFmtId="10" fontId="26" fillId="0" borderId="13" xfId="0" applyNumberFormat="1" applyFont="1" applyBorder="1" applyAlignment="1">
      <alignment horizontal="right" vertical="center" wrapText="1"/>
    </xf>
    <xf numFmtId="0" fontId="29" fillId="14" borderId="12" xfId="0" applyFont="1" applyFill="1" applyBorder="1" applyAlignment="1">
      <alignment horizontal="right" vertical="center" wrapText="1"/>
    </xf>
    <xf numFmtId="0" fontId="29" fillId="14" borderId="13" xfId="0" applyFont="1" applyFill="1" applyBorder="1" applyAlignment="1">
      <alignment horizontal="right" vertical="center" wrapText="1"/>
    </xf>
    <xf numFmtId="0" fontId="27" fillId="0" borderId="13" xfId="0" applyFont="1" applyBorder="1" applyAlignment="1">
      <alignment horizontal="right" vertical="center" wrapText="1"/>
    </xf>
    <xf numFmtId="10" fontId="26" fillId="14" borderId="12" xfId="0" applyNumberFormat="1" applyFont="1" applyFill="1" applyBorder="1" applyAlignment="1">
      <alignment horizontal="right" vertical="center" wrapText="1"/>
    </xf>
    <xf numFmtId="10" fontId="26" fillId="14" borderId="13" xfId="0" applyNumberFormat="1" applyFont="1" applyFill="1" applyBorder="1" applyAlignment="1">
      <alignment horizontal="right" vertical="center" wrapText="1"/>
    </xf>
    <xf numFmtId="0" fontId="29" fillId="0" borderId="12" xfId="0" applyFont="1" applyBorder="1" applyAlignment="1">
      <alignment horizontal="right" vertical="center" wrapText="1"/>
    </xf>
    <xf numFmtId="0" fontId="29" fillId="0" borderId="13" xfId="0" applyFont="1" applyBorder="1" applyAlignment="1">
      <alignment horizontal="right" vertical="center" wrapText="1"/>
    </xf>
    <xf numFmtId="0" fontId="30" fillId="14" borderId="12" xfId="0" applyFont="1" applyFill="1" applyBorder="1" applyAlignment="1">
      <alignment vertical="center" wrapText="1"/>
    </xf>
    <xf numFmtId="0" fontId="30" fillId="14" borderId="13" xfId="0" applyFont="1" applyFill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13" xfId="0" applyFont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" fontId="5" fillId="9" borderId="7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8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5" fillId="1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79" fontId="7" fillId="10" borderId="3" xfId="3" applyNumberFormat="1" applyFont="1" applyFill="1" applyBorder="1" applyAlignment="1">
      <alignment horizontal="right" vertical="center"/>
    </xf>
    <xf numFmtId="179" fontId="7" fillId="10" borderId="0" xfId="3" applyNumberFormat="1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14" fontId="20" fillId="10" borderId="8" xfId="0" applyNumberFormat="1" applyFont="1" applyFill="1" applyBorder="1" applyAlignment="1">
      <alignment horizontal="right"/>
    </xf>
    <xf numFmtId="0" fontId="20" fillId="10" borderId="9" xfId="0" applyFont="1" applyFill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百分比" xfId="1" builtinId="5"/>
    <cellStyle name="常规" xfId="0" builtinId="0"/>
    <cellStyle name="超链接" xfId="2" builtinId="8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3874</v>
        <stp/>
        <stp>RB1805</stp>
        <stp>LastPrice</stp>
        <tr r="H8" s="1"/>
        <tr r="H8" s="8"/>
        <tr r="H8" s="7"/>
      </tp>
      <tp>
        <v>3666</v>
        <stp/>
        <stp>RB1810</stp>
        <stp>LastPrice</stp>
        <tr r="H10" s="1"/>
        <tr r="H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7"/>
  <sheetViews>
    <sheetView tabSelected="1" zoomScaleNormal="100" workbookViewId="0">
      <selection activeCell="U14" sqref="U14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26" t="s">
        <v>158</v>
      </c>
      <c r="C1" s="126"/>
      <c r="D1" s="126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161</v>
      </c>
      <c r="F13" s="49" t="s">
        <v>8</v>
      </c>
      <c r="G13" s="49" t="s">
        <v>7</v>
      </c>
      <c r="H13" s="49" t="s">
        <v>163</v>
      </c>
      <c r="I13" s="49" t="s">
        <v>10</v>
      </c>
      <c r="J13" s="49" t="s">
        <v>11</v>
      </c>
      <c r="K13" s="49" t="s">
        <v>12</v>
      </c>
      <c r="L13" s="49" t="s">
        <v>166</v>
      </c>
      <c r="M13" s="49" t="s">
        <v>167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151</v>
      </c>
      <c r="C14" s="55">
        <v>1</v>
      </c>
      <c r="D14" s="55" t="s">
        <v>206</v>
      </c>
      <c r="E14" s="55" t="s">
        <v>85</v>
      </c>
      <c r="F14" s="56">
        <v>3607</v>
      </c>
      <c r="G14" s="55">
        <v>3400</v>
      </c>
      <c r="H14" s="57">
        <v>43088</v>
      </c>
      <c r="I14" s="57">
        <v>43174</v>
      </c>
      <c r="J14" s="55">
        <v>86</v>
      </c>
      <c r="K14" s="58">
        <v>0.21643835616438356</v>
      </c>
      <c r="L14" s="58">
        <v>0</v>
      </c>
      <c r="M14" s="55">
        <v>0.2</v>
      </c>
      <c r="N14" s="59">
        <v>51.629060001957441</v>
      </c>
      <c r="O14" s="55">
        <v>0</v>
      </c>
      <c r="P14" s="59">
        <v>0</v>
      </c>
      <c r="Q14" s="59">
        <v>51.629060001957441</v>
      </c>
    </row>
    <row r="15" spans="1:17">
      <c r="B15" s="55" t="s">
        <v>151</v>
      </c>
      <c r="C15" s="55">
        <v>1</v>
      </c>
      <c r="D15" s="55" t="s">
        <v>206</v>
      </c>
      <c r="E15" s="55" t="s">
        <v>85</v>
      </c>
      <c r="F15" s="56">
        <v>3607</v>
      </c>
      <c r="G15" s="55">
        <v>3450</v>
      </c>
      <c r="H15" s="57">
        <v>43088</v>
      </c>
      <c r="I15" s="57">
        <v>43174</v>
      </c>
      <c r="J15" s="55">
        <v>86</v>
      </c>
      <c r="K15" s="58">
        <v>0.21643835616438356</v>
      </c>
      <c r="L15" s="58">
        <v>0</v>
      </c>
      <c r="M15" s="55">
        <v>0.2</v>
      </c>
      <c r="N15" s="59">
        <v>66.823277063019759</v>
      </c>
      <c r="O15" s="55">
        <v>0</v>
      </c>
      <c r="P15" s="59">
        <v>0</v>
      </c>
      <c r="Q15" s="59">
        <v>66.823277063019759</v>
      </c>
    </row>
    <row r="16" spans="1:17">
      <c r="B16" s="55" t="s">
        <v>151</v>
      </c>
      <c r="C16" s="55">
        <v>1</v>
      </c>
      <c r="D16" s="55" t="s">
        <v>206</v>
      </c>
      <c r="E16" s="55" t="s">
        <v>85</v>
      </c>
      <c r="F16" s="56">
        <v>3607</v>
      </c>
      <c r="G16" s="55">
        <v>3400</v>
      </c>
      <c r="H16" s="57">
        <v>43088</v>
      </c>
      <c r="I16" s="57">
        <v>43169</v>
      </c>
      <c r="J16" s="55">
        <v>81</v>
      </c>
      <c r="K16" s="58">
        <v>0.20273972602739726</v>
      </c>
      <c r="L16" s="58">
        <v>0</v>
      </c>
      <c r="M16" s="55">
        <v>0.2</v>
      </c>
      <c r="N16" s="59">
        <v>48.266135405723503</v>
      </c>
      <c r="O16" s="55">
        <v>0</v>
      </c>
      <c r="P16" s="59">
        <v>0</v>
      </c>
      <c r="Q16" s="59">
        <v>48.266135405723503</v>
      </c>
    </row>
    <row r="17" spans="2:17">
      <c r="B17" s="55" t="s">
        <v>151</v>
      </c>
      <c r="C17" s="55">
        <v>1</v>
      </c>
      <c r="D17" s="55" t="s">
        <v>206</v>
      </c>
      <c r="E17" s="55" t="s">
        <v>85</v>
      </c>
      <c r="F17" s="56">
        <v>3607</v>
      </c>
      <c r="G17" s="55">
        <v>3450</v>
      </c>
      <c r="H17" s="57">
        <v>43088</v>
      </c>
      <c r="I17" s="57">
        <v>43169</v>
      </c>
      <c r="J17" s="55">
        <v>81</v>
      </c>
      <c r="K17" s="58">
        <v>0.20273972602739726</v>
      </c>
      <c r="L17" s="58">
        <v>0</v>
      </c>
      <c r="M17" s="55">
        <v>0.2</v>
      </c>
      <c r="N17" s="59">
        <v>63.118487953768181</v>
      </c>
      <c r="O17" s="55">
        <v>0</v>
      </c>
      <c r="P17" s="59">
        <v>0</v>
      </c>
      <c r="Q17" s="59">
        <v>63.118487953768181</v>
      </c>
    </row>
    <row r="18" spans="2:17">
      <c r="B18" s="49" t="s">
        <v>30</v>
      </c>
      <c r="C18" s="49"/>
      <c r="D18" s="49" t="s">
        <v>32</v>
      </c>
      <c r="E18" s="49" t="s">
        <v>161</v>
      </c>
      <c r="F18" s="49" t="s">
        <v>8</v>
      </c>
      <c r="G18" s="49" t="s">
        <v>7</v>
      </c>
      <c r="H18" s="49" t="s">
        <v>9</v>
      </c>
      <c r="I18" s="49" t="s">
        <v>10</v>
      </c>
      <c r="J18" s="49" t="s">
        <v>11</v>
      </c>
      <c r="K18" s="49" t="s">
        <v>12</v>
      </c>
      <c r="L18" s="49" t="s">
        <v>47</v>
      </c>
      <c r="M18" s="49" t="s">
        <v>167</v>
      </c>
      <c r="N18" s="49" t="s">
        <v>14</v>
      </c>
      <c r="O18" s="49" t="s">
        <v>26</v>
      </c>
      <c r="P18" s="49" t="s">
        <v>28</v>
      </c>
      <c r="Q18" s="49" t="s">
        <v>15</v>
      </c>
    </row>
    <row r="19" spans="2:17">
      <c r="B19" s="55" t="s">
        <v>151</v>
      </c>
      <c r="C19" s="55">
        <v>1</v>
      </c>
      <c r="D19" s="55" t="s">
        <v>212</v>
      </c>
      <c r="E19" s="55" t="s">
        <v>85</v>
      </c>
      <c r="F19" s="56">
        <v>15000</v>
      </c>
      <c r="G19" s="55">
        <v>14500</v>
      </c>
      <c r="H19" s="57">
        <v>43088</v>
      </c>
      <c r="I19" s="57">
        <v>43119</v>
      </c>
      <c r="J19" s="55">
        <v>31</v>
      </c>
      <c r="K19" s="58">
        <v>8.4931506849315067E-2</v>
      </c>
      <c r="L19" s="58">
        <v>0</v>
      </c>
      <c r="M19" s="55">
        <v>0.09</v>
      </c>
      <c r="N19" s="59">
        <v>17.860938938860272</v>
      </c>
      <c r="O19" s="55">
        <v>0</v>
      </c>
      <c r="P19" s="59">
        <v>0</v>
      </c>
      <c r="Q19" s="59">
        <v>17.860938938860272</v>
      </c>
    </row>
    <row r="20" spans="2:17">
      <c r="B20" s="55" t="s">
        <v>151</v>
      </c>
      <c r="C20" s="55">
        <v>1</v>
      </c>
      <c r="D20" s="55" t="s">
        <v>212</v>
      </c>
      <c r="E20" s="55" t="s">
        <v>39</v>
      </c>
      <c r="F20" s="56">
        <v>15000</v>
      </c>
      <c r="G20" s="55">
        <v>15500</v>
      </c>
      <c r="H20" s="57">
        <v>43088</v>
      </c>
      <c r="I20" s="57">
        <v>43119</v>
      </c>
      <c r="J20" s="55">
        <v>31</v>
      </c>
      <c r="K20" s="58">
        <v>8.4931506849315067E-2</v>
      </c>
      <c r="L20" s="58">
        <v>0</v>
      </c>
      <c r="M20" s="55">
        <v>0.09</v>
      </c>
      <c r="N20" s="59">
        <v>20.18956137971486</v>
      </c>
      <c r="O20" s="55">
        <v>0</v>
      </c>
      <c r="P20" s="59">
        <v>0</v>
      </c>
      <c r="Q20" s="59">
        <v>20.18956137971486</v>
      </c>
    </row>
    <row r="21" spans="2:17">
      <c r="B21" s="49" t="s">
        <v>171</v>
      </c>
      <c r="C21" s="49"/>
      <c r="D21" s="49" t="s">
        <v>172</v>
      </c>
      <c r="E21" s="49" t="s">
        <v>173</v>
      </c>
      <c r="F21" s="49" t="s">
        <v>174</v>
      </c>
      <c r="G21" s="49" t="s">
        <v>175</v>
      </c>
      <c r="H21" s="49" t="s">
        <v>176</v>
      </c>
      <c r="I21" s="49" t="s">
        <v>177</v>
      </c>
      <c r="J21" s="49" t="s">
        <v>178</v>
      </c>
      <c r="K21" s="49" t="s">
        <v>179</v>
      </c>
      <c r="L21" s="49" t="s">
        <v>180</v>
      </c>
      <c r="M21" s="49" t="s">
        <v>181</v>
      </c>
      <c r="N21" s="49" t="s">
        <v>182</v>
      </c>
      <c r="O21" s="49" t="s">
        <v>183</v>
      </c>
      <c r="P21" s="49" t="s">
        <v>184</v>
      </c>
      <c r="Q21" s="49" t="s">
        <v>185</v>
      </c>
    </row>
    <row r="22" spans="2:17">
      <c r="B22" s="55" t="s">
        <v>20</v>
      </c>
      <c r="C22" s="55"/>
      <c r="D22" s="55" t="s">
        <v>186</v>
      </c>
      <c r="E22" s="55" t="s">
        <v>214</v>
      </c>
      <c r="F22" s="56">
        <v>3791</v>
      </c>
      <c r="G22" s="55" t="s">
        <v>213</v>
      </c>
      <c r="H22" s="57">
        <v>43088</v>
      </c>
      <c r="I22" s="57">
        <v>43119</v>
      </c>
      <c r="J22" s="55">
        <v>31</v>
      </c>
      <c r="K22" s="58">
        <v>8.4931506849315067E-2</v>
      </c>
      <c r="L22" s="58"/>
      <c r="M22" s="55"/>
      <c r="N22" s="59">
        <v>-120.6201212601914</v>
      </c>
      <c r="O22" s="55">
        <v>0</v>
      </c>
      <c r="P22" s="59">
        <v>0</v>
      </c>
      <c r="Q22" s="59">
        <v>120.6201212601914</v>
      </c>
    </row>
    <row r="23" spans="2:17">
      <c r="B23" s="49" t="s">
        <v>159</v>
      </c>
      <c r="C23" s="49"/>
      <c r="D23" s="49" t="s">
        <v>32</v>
      </c>
      <c r="E23" s="49" t="s">
        <v>161</v>
      </c>
      <c r="F23" s="49" t="s">
        <v>162</v>
      </c>
      <c r="G23" s="49" t="s">
        <v>7</v>
      </c>
      <c r="H23" s="49" t="s">
        <v>9</v>
      </c>
      <c r="I23" s="49" t="s">
        <v>10</v>
      </c>
      <c r="J23" s="49" t="s">
        <v>11</v>
      </c>
      <c r="K23" s="49" t="s">
        <v>12</v>
      </c>
      <c r="L23" s="49" t="s">
        <v>166</v>
      </c>
      <c r="M23" s="49" t="s">
        <v>13</v>
      </c>
      <c r="N23" s="49" t="s">
        <v>14</v>
      </c>
      <c r="O23" s="49" t="s">
        <v>26</v>
      </c>
      <c r="P23" s="49" t="s">
        <v>28</v>
      </c>
      <c r="Q23" s="49" t="s">
        <v>15</v>
      </c>
    </row>
    <row r="24" spans="2:17">
      <c r="B24" s="50" t="s">
        <v>20</v>
      </c>
      <c r="C24" s="50">
        <v>-1</v>
      </c>
      <c r="D24" s="50" t="s">
        <v>215</v>
      </c>
      <c r="E24" s="50" t="s">
        <v>39</v>
      </c>
      <c r="F24" s="51">
        <v>56060</v>
      </c>
      <c r="G24" s="50">
        <v>56060</v>
      </c>
      <c r="H24" s="52">
        <v>43097</v>
      </c>
      <c r="I24" s="52">
        <v>43128</v>
      </c>
      <c r="J24" s="50">
        <v>31</v>
      </c>
      <c r="K24" s="53">
        <v>8.4931506849315067E-2</v>
      </c>
      <c r="L24" s="53">
        <v>0</v>
      </c>
      <c r="M24" s="50">
        <v>0.2</v>
      </c>
      <c r="N24" s="54">
        <v>-1301.1530734564294</v>
      </c>
      <c r="O24" s="50"/>
      <c r="P24" s="54">
        <v>0</v>
      </c>
      <c r="Q24" s="125">
        <v>1301.1530734564294</v>
      </c>
    </row>
    <row r="25" spans="2:17">
      <c r="B25" s="50" t="s">
        <v>20</v>
      </c>
      <c r="C25" s="50">
        <v>-1</v>
      </c>
      <c r="D25" s="50" t="s">
        <v>215</v>
      </c>
      <c r="E25" s="50" t="s">
        <v>39</v>
      </c>
      <c r="F25" s="51">
        <v>56060</v>
      </c>
      <c r="G25" s="50">
        <v>56060</v>
      </c>
      <c r="H25" s="52">
        <v>43097</v>
      </c>
      <c r="I25" s="52">
        <v>43158</v>
      </c>
      <c r="J25" s="50">
        <v>61</v>
      </c>
      <c r="K25" s="53">
        <v>0.16712328767123288</v>
      </c>
      <c r="L25" s="53">
        <v>0</v>
      </c>
      <c r="M25" s="50">
        <v>0.2</v>
      </c>
      <c r="N25" s="54">
        <v>-1821.9609786824913</v>
      </c>
      <c r="O25" s="50"/>
      <c r="P25" s="54">
        <v>0</v>
      </c>
      <c r="Q25" s="125">
        <v>1821.9609786824913</v>
      </c>
    </row>
    <row r="26" spans="2:17">
      <c r="B26" s="49" t="s">
        <v>30</v>
      </c>
      <c r="C26" s="49"/>
      <c r="D26" s="49" t="s">
        <v>32</v>
      </c>
      <c r="E26" s="49" t="s">
        <v>161</v>
      </c>
      <c r="F26" s="49" t="s">
        <v>8</v>
      </c>
      <c r="G26" s="49" t="s">
        <v>7</v>
      </c>
      <c r="H26" s="49" t="s">
        <v>9</v>
      </c>
      <c r="I26" s="49" t="s">
        <v>10</v>
      </c>
      <c r="J26" s="49" t="s">
        <v>11</v>
      </c>
      <c r="K26" s="49" t="s">
        <v>12</v>
      </c>
      <c r="L26" s="49" t="s">
        <v>47</v>
      </c>
      <c r="M26" s="49" t="s">
        <v>13</v>
      </c>
      <c r="N26" s="49" t="s">
        <v>168</v>
      </c>
      <c r="O26" s="49" t="s">
        <v>26</v>
      </c>
      <c r="P26" s="49" t="s">
        <v>169</v>
      </c>
      <c r="Q26" s="49" t="s">
        <v>15</v>
      </c>
    </row>
    <row r="27" spans="2:17">
      <c r="B27" s="50" t="s">
        <v>151</v>
      </c>
      <c r="C27" s="50">
        <v>1</v>
      </c>
      <c r="D27" s="50" t="s">
        <v>206</v>
      </c>
      <c r="E27" s="50" t="s">
        <v>85</v>
      </c>
      <c r="F27" s="51">
        <v>3663</v>
      </c>
      <c r="G27" s="50">
        <v>3500</v>
      </c>
      <c r="H27" s="52">
        <v>43102</v>
      </c>
      <c r="I27" s="52">
        <v>43167</v>
      </c>
      <c r="J27" s="50">
        <v>65</v>
      </c>
      <c r="K27" s="53">
        <v>0.16438356164383561</v>
      </c>
      <c r="L27" s="53">
        <v>0</v>
      </c>
      <c r="M27" s="50">
        <v>0.19</v>
      </c>
      <c r="N27" s="54">
        <v>47.042753278094892</v>
      </c>
      <c r="O27" s="50">
        <v>0</v>
      </c>
      <c r="P27" s="54">
        <v>0</v>
      </c>
      <c r="Q27" s="125">
        <v>47.042753278094892</v>
      </c>
    </row>
    <row r="28" spans="2:17">
      <c r="B28" s="49" t="s">
        <v>30</v>
      </c>
      <c r="C28" s="49"/>
      <c r="D28" s="49" t="s">
        <v>32</v>
      </c>
      <c r="E28" s="49" t="s">
        <v>161</v>
      </c>
      <c r="F28" s="49" t="s">
        <v>8</v>
      </c>
      <c r="G28" s="49" t="s">
        <v>7</v>
      </c>
      <c r="H28" s="49" t="s">
        <v>9</v>
      </c>
      <c r="I28" s="49" t="s">
        <v>10</v>
      </c>
      <c r="J28" s="49" t="s">
        <v>11</v>
      </c>
      <c r="K28" s="49" t="s">
        <v>12</v>
      </c>
      <c r="L28" s="49" t="s">
        <v>47</v>
      </c>
      <c r="M28" s="49" t="s">
        <v>13</v>
      </c>
      <c r="N28" s="49" t="s">
        <v>168</v>
      </c>
      <c r="O28" s="49" t="s">
        <v>26</v>
      </c>
      <c r="P28" s="49" t="s">
        <v>169</v>
      </c>
      <c r="Q28" s="49" t="s">
        <v>15</v>
      </c>
    </row>
    <row r="29" spans="2:17">
      <c r="B29" s="50" t="s">
        <v>20</v>
      </c>
      <c r="C29" s="50">
        <v>1</v>
      </c>
      <c r="D29" s="50" t="s">
        <v>229</v>
      </c>
      <c r="E29" s="50" t="s">
        <v>39</v>
      </c>
      <c r="F29" s="51">
        <v>100</v>
      </c>
      <c r="G29" s="50">
        <v>100</v>
      </c>
      <c r="H29" s="52">
        <v>43102</v>
      </c>
      <c r="I29" s="52">
        <v>43133</v>
      </c>
      <c r="J29" s="50">
        <v>31</v>
      </c>
      <c r="K29" s="53">
        <v>8.4931506849315067E-2</v>
      </c>
      <c r="L29" s="53">
        <v>3.5000000000000003E-2</v>
      </c>
      <c r="M29" s="50">
        <v>0.14000000000000001</v>
      </c>
      <c r="N29" s="54">
        <v>1.7801514257095405</v>
      </c>
      <c r="O29" s="50">
        <v>0</v>
      </c>
      <c r="P29" s="54">
        <v>0</v>
      </c>
      <c r="Q29" s="54">
        <v>1.7801514257095405</v>
      </c>
    </row>
    <row r="30" spans="2:17">
      <c r="B30" s="50" t="s">
        <v>20</v>
      </c>
      <c r="C30" s="50">
        <v>1</v>
      </c>
      <c r="D30" s="50" t="s">
        <v>229</v>
      </c>
      <c r="E30" s="50" t="s">
        <v>39</v>
      </c>
      <c r="F30" s="51">
        <v>100</v>
      </c>
      <c r="G30" s="50">
        <v>100</v>
      </c>
      <c r="H30" s="52">
        <v>43102</v>
      </c>
      <c r="I30" s="52">
        <v>43192</v>
      </c>
      <c r="J30" s="50">
        <v>90</v>
      </c>
      <c r="K30" s="53">
        <v>0.24657534246575341</v>
      </c>
      <c r="L30" s="53">
        <v>3.5000000000000003E-2</v>
      </c>
      <c r="M30" s="50">
        <v>0.14000000000000001</v>
      </c>
      <c r="N30" s="54">
        <v>3.2237205611197908</v>
      </c>
      <c r="O30" s="50">
        <v>0</v>
      </c>
      <c r="P30" s="54">
        <v>0</v>
      </c>
      <c r="Q30" s="54">
        <v>3.2237205611197908</v>
      </c>
    </row>
    <row r="31" spans="2:17">
      <c r="B31" s="50" t="s">
        <v>20</v>
      </c>
      <c r="C31" s="50">
        <v>1</v>
      </c>
      <c r="D31" s="50" t="s">
        <v>229</v>
      </c>
      <c r="E31" s="50" t="s">
        <v>39</v>
      </c>
      <c r="F31" s="51">
        <v>100</v>
      </c>
      <c r="G31" s="50">
        <v>100</v>
      </c>
      <c r="H31" s="52">
        <v>43102</v>
      </c>
      <c r="I31" s="52">
        <v>43283</v>
      </c>
      <c r="J31" s="50">
        <v>181</v>
      </c>
      <c r="K31" s="53">
        <v>0.49589041095890413</v>
      </c>
      <c r="L31" s="53">
        <v>3.5000000000000003E-2</v>
      </c>
      <c r="M31" s="50">
        <v>0.14000000000000001</v>
      </c>
      <c r="N31" s="54">
        <v>4.8541355386410174</v>
      </c>
      <c r="O31" s="50">
        <v>0</v>
      </c>
      <c r="P31" s="54">
        <v>0</v>
      </c>
      <c r="Q31" s="54">
        <v>4.8541355386410174</v>
      </c>
    </row>
    <row r="32" spans="2:17">
      <c r="B32" s="49" t="s">
        <v>171</v>
      </c>
      <c r="C32" s="49"/>
      <c r="D32" s="49" t="s">
        <v>172</v>
      </c>
      <c r="E32" s="49" t="s">
        <v>173</v>
      </c>
      <c r="F32" s="49" t="s">
        <v>174</v>
      </c>
      <c r="G32" s="49" t="s">
        <v>175</v>
      </c>
      <c r="H32" s="49" t="s">
        <v>176</v>
      </c>
      <c r="I32" s="49" t="s">
        <v>177</v>
      </c>
      <c r="J32" s="49" t="s">
        <v>178</v>
      </c>
      <c r="K32" s="49" t="s">
        <v>179</v>
      </c>
      <c r="L32" s="49" t="s">
        <v>180</v>
      </c>
      <c r="M32" s="49" t="s">
        <v>181</v>
      </c>
      <c r="N32" s="49" t="s">
        <v>182</v>
      </c>
      <c r="O32" s="49" t="s">
        <v>183</v>
      </c>
      <c r="P32" s="49" t="s">
        <v>184</v>
      </c>
      <c r="Q32" s="49" t="s">
        <v>185</v>
      </c>
    </row>
    <row r="33" spans="2:20">
      <c r="B33" s="55" t="s">
        <v>20</v>
      </c>
      <c r="C33" s="55"/>
      <c r="D33" s="55" t="s">
        <v>216</v>
      </c>
      <c r="E33" s="55" t="s">
        <v>235</v>
      </c>
      <c r="F33" s="56">
        <v>3663</v>
      </c>
      <c r="G33" s="55" t="s">
        <v>232</v>
      </c>
      <c r="H33" s="57">
        <v>43102</v>
      </c>
      <c r="I33" s="57">
        <v>43251</v>
      </c>
      <c r="J33" s="55">
        <v>149</v>
      </c>
      <c r="K33" s="58">
        <v>0.40821917808219177</v>
      </c>
      <c r="L33" s="58"/>
      <c r="M33" s="55"/>
      <c r="N33" s="59">
        <v>-54.072016543727614</v>
      </c>
      <c r="O33" s="55">
        <v>0</v>
      </c>
      <c r="P33" s="59">
        <v>0</v>
      </c>
      <c r="Q33" s="59">
        <v>54.072016543727614</v>
      </c>
    </row>
    <row r="34" spans="2:20">
      <c r="B34" s="55" t="s">
        <v>20</v>
      </c>
      <c r="C34" s="55"/>
      <c r="D34" s="55" t="s">
        <v>216</v>
      </c>
      <c r="E34" s="55" t="s">
        <v>235</v>
      </c>
      <c r="F34" s="56">
        <v>3663</v>
      </c>
      <c r="G34" s="55" t="s">
        <v>233</v>
      </c>
      <c r="H34" s="57">
        <v>43102</v>
      </c>
      <c r="I34" s="57">
        <v>43251</v>
      </c>
      <c r="J34" s="55">
        <v>149</v>
      </c>
      <c r="K34" s="58">
        <v>0.40821917808219177</v>
      </c>
      <c r="L34" s="58"/>
      <c r="M34" s="55"/>
      <c r="N34" s="59">
        <v>-64.182273248343336</v>
      </c>
      <c r="O34" s="55">
        <v>0</v>
      </c>
      <c r="P34" s="59">
        <v>0</v>
      </c>
      <c r="Q34" s="59">
        <v>64.182273248343336</v>
      </c>
      <c r="R34" s="6">
        <v>1.7521778118575849E-2</v>
      </c>
      <c r="S34" s="6">
        <v>-9.677667134155854E-2</v>
      </c>
      <c r="T34" s="6">
        <v>-0.71698414889112883</v>
      </c>
    </row>
    <row r="35" spans="2:20">
      <c r="B35" s="55" t="s">
        <v>20</v>
      </c>
      <c r="C35" s="55"/>
      <c r="D35" s="55" t="s">
        <v>216</v>
      </c>
      <c r="E35" s="55" t="s">
        <v>235</v>
      </c>
      <c r="F35" s="56">
        <v>3663</v>
      </c>
      <c r="G35" s="55" t="s">
        <v>234</v>
      </c>
      <c r="H35" s="57">
        <v>43102</v>
      </c>
      <c r="I35" s="57">
        <v>43251</v>
      </c>
      <c r="J35" s="55">
        <v>149</v>
      </c>
      <c r="K35" s="58">
        <v>0.40821917808219177</v>
      </c>
      <c r="L35" s="58"/>
      <c r="M35" s="55"/>
      <c r="N35" s="59">
        <v>-56.260181509404674</v>
      </c>
      <c r="O35" s="55">
        <v>0</v>
      </c>
      <c r="P35" s="59">
        <v>0</v>
      </c>
      <c r="Q35" s="59">
        <v>56.260181509404674</v>
      </c>
    </row>
    <row r="36" spans="2:20">
      <c r="B36" s="49" t="s">
        <v>30</v>
      </c>
      <c r="C36" s="49"/>
      <c r="D36" s="49" t="s">
        <v>32</v>
      </c>
      <c r="E36" s="49" t="s">
        <v>161</v>
      </c>
      <c r="F36" s="49" t="s">
        <v>8</v>
      </c>
      <c r="G36" s="49" t="s">
        <v>7</v>
      </c>
      <c r="H36" s="49" t="s">
        <v>9</v>
      </c>
      <c r="I36" s="49" t="s">
        <v>10</v>
      </c>
      <c r="J36" s="49" t="s">
        <v>11</v>
      </c>
      <c r="K36" s="49" t="s">
        <v>12</v>
      </c>
      <c r="L36" s="49" t="s">
        <v>47</v>
      </c>
      <c r="M36" s="49" t="s">
        <v>13</v>
      </c>
      <c r="N36" s="49" t="s">
        <v>14</v>
      </c>
      <c r="O36" s="49" t="s">
        <v>26</v>
      </c>
      <c r="P36" s="49" t="s">
        <v>28</v>
      </c>
      <c r="Q36" s="49" t="s">
        <v>15</v>
      </c>
    </row>
    <row r="37" spans="2:20">
      <c r="B37" s="55" t="s">
        <v>151</v>
      </c>
      <c r="C37" s="55">
        <v>1</v>
      </c>
      <c r="D37" s="55" t="s">
        <v>206</v>
      </c>
      <c r="E37" s="55" t="s">
        <v>25</v>
      </c>
      <c r="F37" s="56">
        <v>3665</v>
      </c>
      <c r="G37" s="55">
        <v>3550</v>
      </c>
      <c r="H37" s="57">
        <v>43102</v>
      </c>
      <c r="I37" s="57">
        <v>43167</v>
      </c>
      <c r="J37" s="55">
        <v>65</v>
      </c>
      <c r="K37" s="58">
        <v>0.16438356164383561</v>
      </c>
      <c r="L37" s="58">
        <v>0</v>
      </c>
      <c r="M37" s="55">
        <v>0.19</v>
      </c>
      <c r="N37" s="59">
        <v>62.486116953748933</v>
      </c>
      <c r="O37" s="55">
        <v>0</v>
      </c>
      <c r="P37" s="59">
        <v>0</v>
      </c>
      <c r="Q37" s="59">
        <v>62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7" activePane="bottomLeft" state="frozen"/>
      <selection pane="bottomLeft" activeCell="H37" sqref="H37"/>
    </sheetView>
  </sheetViews>
  <sheetFormatPr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38" t="s">
        <v>118</v>
      </c>
      <c r="C1" s="138"/>
    </row>
    <row r="2" spans="2:20" ht="12" thickTop="1"/>
    <row r="3" spans="2:20" ht="12.75" thickBot="1">
      <c r="B3" s="137" t="s">
        <v>119</v>
      </c>
      <c r="C3" s="137"/>
      <c r="D3" s="137"/>
      <c r="E3" s="137"/>
      <c r="G3" s="134" t="s">
        <v>120</v>
      </c>
      <c r="H3" s="134"/>
      <c r="I3" s="134"/>
      <c r="J3" s="134"/>
      <c r="L3" s="137" t="s">
        <v>192</v>
      </c>
      <c r="M3" s="137"/>
      <c r="N3" s="137"/>
      <c r="O3" s="137"/>
      <c r="Q3" s="134" t="s">
        <v>193</v>
      </c>
      <c r="R3" s="134"/>
      <c r="S3" s="134"/>
      <c r="T3" s="134"/>
    </row>
    <row r="4" spans="2:20" ht="15" thickTop="1" thickBot="1">
      <c r="B4" s="135" t="s">
        <v>121</v>
      </c>
      <c r="C4" s="135"/>
      <c r="D4" s="135"/>
      <c r="E4" s="135"/>
      <c r="G4" s="135" t="s">
        <v>34</v>
      </c>
      <c r="H4" s="135"/>
      <c r="I4" s="135"/>
      <c r="J4" s="135"/>
      <c r="L4" s="135" t="s">
        <v>121</v>
      </c>
      <c r="M4" s="135"/>
      <c r="N4" s="135"/>
      <c r="O4" s="135"/>
      <c r="Q4" s="135" t="s">
        <v>34</v>
      </c>
      <c r="R4" s="135"/>
      <c r="S4" s="135"/>
      <c r="T4" s="135"/>
    </row>
    <row r="5" spans="2:20" ht="14.25" thickTop="1">
      <c r="B5" s="33" t="s">
        <v>122</v>
      </c>
      <c r="C5" s="34"/>
      <c r="D5" s="35"/>
      <c r="E5" s="36"/>
      <c r="G5" s="133" t="s">
        <v>123</v>
      </c>
      <c r="H5" s="133"/>
      <c r="I5" s="35"/>
      <c r="J5" s="36"/>
      <c r="L5" s="33" t="s">
        <v>122</v>
      </c>
      <c r="M5" s="34"/>
      <c r="N5" s="35"/>
      <c r="O5" s="36"/>
      <c r="Q5" s="133" t="s">
        <v>123</v>
      </c>
      <c r="R5" s="133"/>
      <c r="S5" s="35"/>
      <c r="T5" s="36"/>
    </row>
    <row r="6" spans="2:20" ht="13.5">
      <c r="B6" s="130" t="s">
        <v>124</v>
      </c>
      <c r="C6" s="130"/>
      <c r="D6" s="131" t="s">
        <v>125</v>
      </c>
      <c r="E6" s="132"/>
      <c r="G6" s="133" t="s">
        <v>126</v>
      </c>
      <c r="H6" s="133"/>
      <c r="I6" s="131"/>
      <c r="J6" s="132"/>
      <c r="L6" s="130" t="s">
        <v>124</v>
      </c>
      <c r="M6" s="130"/>
      <c r="N6" s="131" t="s">
        <v>125</v>
      </c>
      <c r="O6" s="132"/>
      <c r="Q6" s="133" t="s">
        <v>126</v>
      </c>
      <c r="R6" s="133"/>
      <c r="S6" s="131"/>
      <c r="T6" s="132"/>
    </row>
    <row r="7" spans="2:20" ht="13.5">
      <c r="B7" s="130" t="s">
        <v>127</v>
      </c>
      <c r="C7" s="130"/>
      <c r="D7" s="131" t="s">
        <v>125</v>
      </c>
      <c r="E7" s="132"/>
      <c r="G7" s="133" t="s">
        <v>128</v>
      </c>
      <c r="H7" s="133"/>
      <c r="I7" s="131"/>
      <c r="J7" s="132"/>
      <c r="L7" s="130" t="s">
        <v>127</v>
      </c>
      <c r="M7" s="130"/>
      <c r="N7" s="131" t="s">
        <v>125</v>
      </c>
      <c r="O7" s="132"/>
      <c r="Q7" s="133" t="s">
        <v>128</v>
      </c>
      <c r="R7" s="133"/>
      <c r="S7" s="131"/>
      <c r="T7" s="132"/>
    </row>
    <row r="8" spans="2:20" ht="13.5">
      <c r="B8" s="130" t="s">
        <v>129</v>
      </c>
      <c r="C8" s="130"/>
      <c r="D8" s="131">
        <f>D13*D15</f>
        <v>305000</v>
      </c>
      <c r="E8" s="132"/>
      <c r="G8" s="133" t="s">
        <v>130</v>
      </c>
      <c r="H8" s="133"/>
      <c r="I8" s="131"/>
      <c r="J8" s="132"/>
      <c r="L8" s="130" t="s">
        <v>129</v>
      </c>
      <c r="M8" s="130"/>
      <c r="N8" s="131">
        <f>N14*N16</f>
        <v>305000</v>
      </c>
      <c r="O8" s="132"/>
      <c r="Q8" s="133" t="s">
        <v>130</v>
      </c>
      <c r="R8" s="133"/>
      <c r="S8" s="131"/>
      <c r="T8" s="132"/>
    </row>
    <row r="9" spans="2:20" ht="13.5">
      <c r="B9" s="130" t="s">
        <v>131</v>
      </c>
      <c r="C9" s="130"/>
      <c r="D9" s="131" t="s">
        <v>132</v>
      </c>
      <c r="E9" s="132"/>
      <c r="G9" s="133" t="s">
        <v>133</v>
      </c>
      <c r="H9" s="133"/>
      <c r="I9" s="131"/>
      <c r="J9" s="132"/>
      <c r="L9" s="130" t="s">
        <v>131</v>
      </c>
      <c r="M9" s="130"/>
      <c r="N9" s="131" t="s">
        <v>132</v>
      </c>
      <c r="O9" s="132"/>
      <c r="Q9" s="133" t="s">
        <v>133</v>
      </c>
      <c r="R9" s="133"/>
      <c r="S9" s="131"/>
      <c r="T9" s="132"/>
    </row>
    <row r="10" spans="2:20" ht="13.5">
      <c r="B10" s="130" t="s">
        <v>134</v>
      </c>
      <c r="C10" s="130"/>
      <c r="D10" s="131">
        <v>43084</v>
      </c>
      <c r="E10" s="132"/>
      <c r="G10" s="30" t="s">
        <v>135</v>
      </c>
      <c r="H10" s="30"/>
      <c r="I10" s="131"/>
      <c r="J10" s="132"/>
      <c r="L10" s="130" t="s">
        <v>134</v>
      </c>
      <c r="M10" s="130"/>
      <c r="N10" s="131">
        <v>43084</v>
      </c>
      <c r="O10" s="132"/>
      <c r="Q10" s="62" t="s">
        <v>135</v>
      </c>
      <c r="R10" s="62"/>
      <c r="S10" s="131"/>
      <c r="T10" s="132"/>
    </row>
    <row r="11" spans="2:20" ht="13.5">
      <c r="B11" s="130" t="s">
        <v>136</v>
      </c>
      <c r="C11" s="130"/>
      <c r="D11" s="131">
        <v>3935</v>
      </c>
      <c r="E11" s="132"/>
      <c r="G11" s="133" t="s">
        <v>137</v>
      </c>
      <c r="H11" s="133"/>
      <c r="I11" s="131"/>
      <c r="J11" s="132"/>
      <c r="L11" s="130" t="s">
        <v>136</v>
      </c>
      <c r="M11" s="130"/>
      <c r="N11" s="131">
        <v>3935</v>
      </c>
      <c r="O11" s="132"/>
      <c r="Q11" s="133" t="s">
        <v>137</v>
      </c>
      <c r="R11" s="133"/>
      <c r="S11" s="131"/>
      <c r="T11" s="132"/>
    </row>
    <row r="12" spans="2:20" ht="13.5">
      <c r="B12" s="130" t="s">
        <v>138</v>
      </c>
      <c r="C12" s="130"/>
      <c r="D12" s="131">
        <v>3800</v>
      </c>
      <c r="E12" s="132"/>
      <c r="G12" s="133" t="s">
        <v>139</v>
      </c>
      <c r="H12" s="133"/>
      <c r="I12" s="131"/>
      <c r="J12" s="132"/>
      <c r="L12" s="130" t="s">
        <v>190</v>
      </c>
      <c r="M12" s="130"/>
      <c r="N12" s="131">
        <v>3800</v>
      </c>
      <c r="O12" s="132"/>
      <c r="Q12" s="133" t="s">
        <v>194</v>
      </c>
      <c r="R12" s="133"/>
      <c r="S12" s="131"/>
      <c r="T12" s="132"/>
    </row>
    <row r="13" spans="2:20" ht="13.5">
      <c r="B13" s="130" t="s">
        <v>140</v>
      </c>
      <c r="C13" s="130"/>
      <c r="D13" s="131">
        <v>61</v>
      </c>
      <c r="E13" s="132"/>
      <c r="G13" s="133" t="s">
        <v>141</v>
      </c>
      <c r="H13" s="133"/>
      <c r="I13" s="131"/>
      <c r="J13" s="132"/>
      <c r="L13" s="130" t="s">
        <v>191</v>
      </c>
      <c r="M13" s="130"/>
      <c r="N13" s="131">
        <v>3800</v>
      </c>
      <c r="O13" s="132"/>
      <c r="Q13" s="133" t="s">
        <v>195</v>
      </c>
      <c r="R13" s="133"/>
      <c r="S13" s="131"/>
      <c r="T13" s="132"/>
    </row>
    <row r="14" spans="2:20" ht="13.5">
      <c r="B14" s="130" t="s">
        <v>142</v>
      </c>
      <c r="C14" s="130"/>
      <c r="D14" s="131" t="s">
        <v>143</v>
      </c>
      <c r="E14" s="132"/>
      <c r="G14" s="133" t="s">
        <v>144</v>
      </c>
      <c r="H14" s="133"/>
      <c r="I14" s="31"/>
      <c r="J14" s="32"/>
      <c r="L14" s="130" t="s">
        <v>140</v>
      </c>
      <c r="M14" s="130"/>
      <c r="N14" s="131">
        <v>61</v>
      </c>
      <c r="O14" s="132"/>
      <c r="Q14" s="133" t="s">
        <v>141</v>
      </c>
      <c r="R14" s="133"/>
      <c r="S14" s="131"/>
      <c r="T14" s="132"/>
    </row>
    <row r="15" spans="2:20" ht="13.5">
      <c r="B15" s="130" t="s">
        <v>145</v>
      </c>
      <c r="C15" s="130"/>
      <c r="D15" s="131">
        <v>5000</v>
      </c>
      <c r="E15" s="132"/>
      <c r="G15" s="133" t="s">
        <v>146</v>
      </c>
      <c r="H15" s="133"/>
      <c r="I15" s="131"/>
      <c r="J15" s="132"/>
      <c r="L15" s="130" t="s">
        <v>142</v>
      </c>
      <c r="M15" s="130"/>
      <c r="N15" s="131" t="s">
        <v>143</v>
      </c>
      <c r="O15" s="132"/>
      <c r="Q15" s="133" t="s">
        <v>144</v>
      </c>
      <c r="R15" s="133"/>
      <c r="S15" s="60"/>
      <c r="T15" s="61"/>
    </row>
    <row r="16" spans="2:20" ht="14.25" thickBot="1">
      <c r="B16" s="136" t="s">
        <v>147</v>
      </c>
      <c r="C16" s="136"/>
      <c r="D16" s="128" t="s">
        <v>148</v>
      </c>
      <c r="E16" s="129"/>
      <c r="G16" s="127" t="s">
        <v>149</v>
      </c>
      <c r="H16" s="127"/>
      <c r="I16" s="128"/>
      <c r="J16" s="129"/>
      <c r="L16" s="130" t="s">
        <v>145</v>
      </c>
      <c r="M16" s="130"/>
      <c r="N16" s="131">
        <v>5000</v>
      </c>
      <c r="O16" s="132"/>
      <c r="Q16" s="133" t="s">
        <v>146</v>
      </c>
      <c r="R16" s="133"/>
      <c r="S16" s="131"/>
      <c r="T16" s="132"/>
    </row>
    <row r="17" spans="2:20" ht="15" thickTop="1" thickBot="1">
      <c r="L17" s="136" t="s">
        <v>147</v>
      </c>
      <c r="M17" s="136"/>
      <c r="N17" s="128" t="s">
        <v>148</v>
      </c>
      <c r="O17" s="129"/>
      <c r="Q17" s="127" t="s">
        <v>149</v>
      </c>
      <c r="R17" s="127"/>
      <c r="S17" s="128"/>
      <c r="T17" s="129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35" t="s">
        <v>121</v>
      </c>
      <c r="C22" s="135"/>
      <c r="D22" s="135"/>
      <c r="E22" s="135"/>
      <c r="G22" s="135" t="s">
        <v>121</v>
      </c>
      <c r="H22" s="135"/>
      <c r="I22" s="135"/>
      <c r="J22" s="135"/>
    </row>
    <row r="23" spans="2:20" ht="14.25" thickTop="1">
      <c r="B23" s="33" t="s">
        <v>122</v>
      </c>
      <c r="C23" s="34"/>
      <c r="D23" s="142">
        <v>43084</v>
      </c>
      <c r="E23" s="143"/>
      <c r="G23" s="33" t="s">
        <v>122</v>
      </c>
      <c r="H23" s="34"/>
      <c r="I23" s="142">
        <v>43098</v>
      </c>
      <c r="J23" s="143"/>
    </row>
    <row r="24" spans="2:20" ht="13.5">
      <c r="B24" s="130" t="s">
        <v>124</v>
      </c>
      <c r="C24" s="130"/>
      <c r="D24" s="131" t="s">
        <v>207</v>
      </c>
      <c r="E24" s="132"/>
      <c r="G24" s="130" t="s">
        <v>226</v>
      </c>
      <c r="H24" s="130"/>
      <c r="I24" s="131" t="s">
        <v>221</v>
      </c>
      <c r="J24" s="132"/>
    </row>
    <row r="25" spans="2:20" ht="13.5">
      <c r="B25" s="130" t="s">
        <v>127</v>
      </c>
      <c r="C25" s="130"/>
      <c r="D25" s="131" t="s">
        <v>208</v>
      </c>
      <c r="E25" s="132"/>
      <c r="G25" s="130" t="s">
        <v>223</v>
      </c>
      <c r="H25" s="130"/>
      <c r="I25" s="131">
        <v>9375</v>
      </c>
      <c r="J25" s="132"/>
    </row>
    <row r="26" spans="2:20" ht="13.5">
      <c r="B26" s="130" t="s">
        <v>129</v>
      </c>
      <c r="C26" s="130"/>
      <c r="D26" s="139">
        <f>D31*D33</f>
        <v>1500000</v>
      </c>
      <c r="E26" s="140"/>
      <c r="G26" s="122" t="s">
        <v>224</v>
      </c>
      <c r="H26" s="122"/>
      <c r="I26" s="131" t="s">
        <v>227</v>
      </c>
      <c r="J26" s="132" t="s">
        <v>225</v>
      </c>
    </row>
    <row r="27" spans="2:20" ht="13.5">
      <c r="B27" s="130" t="s">
        <v>131</v>
      </c>
      <c r="C27" s="130"/>
      <c r="D27" s="131" t="s">
        <v>211</v>
      </c>
      <c r="E27" s="132"/>
      <c r="G27" s="130" t="s">
        <v>131</v>
      </c>
      <c r="H27" s="130"/>
      <c r="I27" s="131" t="s">
        <v>218</v>
      </c>
      <c r="J27" s="132"/>
    </row>
    <row r="28" spans="2:20" ht="13.5">
      <c r="B28" s="130" t="s">
        <v>134</v>
      </c>
      <c r="C28" s="130"/>
      <c r="D28" s="141">
        <v>43140</v>
      </c>
      <c r="E28" s="132"/>
      <c r="G28" s="130" t="s">
        <v>134</v>
      </c>
      <c r="H28" s="130"/>
      <c r="I28" s="141">
        <v>43159</v>
      </c>
      <c r="J28" s="132"/>
    </row>
    <row r="29" spans="2:20" ht="13.5">
      <c r="B29" s="130" t="s">
        <v>136</v>
      </c>
      <c r="C29" s="130"/>
      <c r="D29" s="131">
        <v>3587</v>
      </c>
      <c r="E29" s="132"/>
      <c r="G29" s="130" t="s">
        <v>136</v>
      </c>
      <c r="H29" s="130"/>
      <c r="I29" s="131">
        <v>9770</v>
      </c>
      <c r="J29" s="132"/>
    </row>
    <row r="30" spans="2:20" ht="13.5">
      <c r="B30" s="130" t="s">
        <v>138</v>
      </c>
      <c r="C30" s="130"/>
      <c r="D30" s="131">
        <v>3650</v>
      </c>
      <c r="E30" s="132"/>
      <c r="G30" s="130" t="s">
        <v>219</v>
      </c>
      <c r="H30" s="130"/>
      <c r="I30" s="123"/>
      <c r="J30" s="124">
        <v>9500</v>
      </c>
    </row>
    <row r="31" spans="2:20" ht="13.5">
      <c r="B31" s="130" t="s">
        <v>140</v>
      </c>
      <c r="C31" s="130"/>
      <c r="D31" s="131">
        <v>150</v>
      </c>
      <c r="E31" s="132"/>
      <c r="G31" s="130" t="s">
        <v>220</v>
      </c>
      <c r="H31" s="130"/>
      <c r="I31" s="131">
        <v>10040</v>
      </c>
      <c r="J31" s="132"/>
    </row>
    <row r="32" spans="2:20" ht="13.5">
      <c r="B32" s="130" t="s">
        <v>142</v>
      </c>
      <c r="C32" s="130"/>
      <c r="D32" s="131" t="s">
        <v>209</v>
      </c>
      <c r="E32" s="132"/>
      <c r="G32" s="130" t="s">
        <v>140</v>
      </c>
      <c r="H32" s="130"/>
      <c r="I32" s="131">
        <v>15</v>
      </c>
      <c r="J32" s="132"/>
    </row>
    <row r="33" spans="2:10" ht="13.5">
      <c r="B33" s="130" t="s">
        <v>145</v>
      </c>
      <c r="C33" s="130"/>
      <c r="D33" s="139">
        <v>10000</v>
      </c>
      <c r="E33" s="140"/>
      <c r="G33" s="130" t="s">
        <v>142</v>
      </c>
      <c r="H33" s="130"/>
      <c r="I33" s="131" t="s">
        <v>222</v>
      </c>
      <c r="J33" s="132"/>
    </row>
    <row r="34" spans="2:10" ht="14.25" thickBot="1">
      <c r="B34" s="136" t="s">
        <v>147</v>
      </c>
      <c r="C34" s="136"/>
      <c r="D34" s="128" t="s">
        <v>210</v>
      </c>
      <c r="E34" s="129"/>
      <c r="G34" s="130" t="s">
        <v>145</v>
      </c>
      <c r="H34" s="130"/>
      <c r="I34" s="139">
        <v>625</v>
      </c>
      <c r="J34" s="140"/>
    </row>
    <row r="35" spans="2:10" ht="15" thickTop="1" thickBot="1">
      <c r="G35" s="136" t="s">
        <v>147</v>
      </c>
      <c r="H35" s="136"/>
      <c r="I35" s="128" t="s">
        <v>210</v>
      </c>
      <c r="J35" s="129"/>
    </row>
    <row r="36" spans="2:10" ht="12" thickTop="1"/>
  </sheetData>
  <mergeCells count="147"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26" t="s">
        <v>158</v>
      </c>
      <c r="C1" s="126"/>
      <c r="D1" s="126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7"/>
      <c r="L5" s="67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7"/>
      <c r="L8" s="67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7"/>
      <c r="L9" s="67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topLeftCell="E1" zoomScaleNormal="100" workbookViewId="0">
      <selection activeCell="D14" sqref="D14:S1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 customWidth="1"/>
    <col min="15" max="15" width="7.25" style="6" customWidth="1"/>
    <col min="16" max="16" width="9" style="6" customWidth="1"/>
    <col min="17" max="17" width="10.125" style="6" customWidth="1"/>
    <col min="18" max="18" width="8.87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38" t="s">
        <v>37</v>
      </c>
      <c r="C1" s="138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3874</v>
      </c>
      <c r="I8" s="19">
        <v>3800</v>
      </c>
      <c r="J8" s="21">
        <f t="shared" ref="J8:J14" ca="1" si="1">TODAY()</f>
        <v>43102</v>
      </c>
      <c r="K8" s="21">
        <f t="shared" ref="K8:K9" ca="1" si="2">J8+L8</f>
        <v>43132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-171.62520457404662</v>
      </c>
      <c r="Q8" s="25">
        <v>80</v>
      </c>
      <c r="R8" s="24">
        <f t="shared" ref="R8:R9" si="4">Q8/10000*M8*H8</f>
        <v>2.5472876712328767</v>
      </c>
      <c r="S8" s="24">
        <f t="shared" ref="S8:S9" si="5">IF(P8&lt;=0,ABS(P8)+R8,P8-R8)</f>
        <v>174.1724922452795</v>
      </c>
      <c r="T8" s="26">
        <f t="shared" ref="T8:T9" si="6">S8/H8</f>
        <v>4.495934234519347E-2</v>
      </c>
      <c r="U8" s="24">
        <f>_xll.dnetGBlackScholesNGreeks("delta",$G8,$H8,$I8,$M8,$C$3,$N8,$O8,$C$4)*E8</f>
        <v>-0.60436588851189299</v>
      </c>
      <c r="V8" s="24">
        <f>_xll.dnetGBlackScholesNGreeks("vega",$G8,$H8,$I8,$M8,$C$3,$N8,$O8,$C$4)*E8</f>
        <v>-4.2682425978530318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43102</v>
      </c>
      <c r="K9" s="8">
        <f t="shared" ca="1" si="2"/>
        <v>43132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 t="s">
        <v>198</v>
      </c>
      <c r="C10" s="10" t="s">
        <v>187</v>
      </c>
      <c r="D10" s="10" t="s">
        <v>151</v>
      </c>
      <c r="E10" s="10">
        <f t="shared" ref="E10" si="7">IF(D10="中金买入",1,-1)</f>
        <v>1</v>
      </c>
      <c r="F10" s="10" t="s">
        <v>228</v>
      </c>
      <c r="G10" s="10" t="s">
        <v>85</v>
      </c>
      <c r="H10" s="11">
        <f>RTD("wdf.rtq",,F10,"LastPrice")</f>
        <v>3666</v>
      </c>
      <c r="I10" s="11">
        <v>3500</v>
      </c>
      <c r="J10" s="8">
        <f t="shared" ca="1" si="1"/>
        <v>43102</v>
      </c>
      <c r="K10" s="8">
        <f t="shared" ref="K10" ca="1" si="8">J10+L10</f>
        <v>43167</v>
      </c>
      <c r="L10" s="10">
        <v>65</v>
      </c>
      <c r="M10" s="12">
        <f>(L10-5)/365</f>
        <v>0.16438356164383561</v>
      </c>
      <c r="N10" s="12">
        <v>0</v>
      </c>
      <c r="O10" s="9">
        <v>0.19</v>
      </c>
      <c r="P10" s="13">
        <f>_xll.dnetGBlackScholesNGreeks("price",$G10,$H10,$I10,$M10,$C$3,$N10,$O10,$C$4)*E10</f>
        <v>46.256933846950574</v>
      </c>
      <c r="Q10" s="15">
        <v>0</v>
      </c>
      <c r="R10" s="13">
        <f t="shared" ref="R10" si="9">Q10/10000*M10*H10</f>
        <v>0</v>
      </c>
      <c r="S10" s="13">
        <f t="shared" ref="S10" si="10">IF(P10&lt;=0,ABS(P10)+R10,P10-R10)</f>
        <v>46.256933846950574</v>
      </c>
      <c r="T10" s="14">
        <f t="shared" ref="T10" si="11">S10/H10</f>
        <v>1.2617821562179644E-2</v>
      </c>
      <c r="U10" s="13">
        <f>_xll.dnetGBlackScholesNGreeks("delta",$G10,$H10,$I10,$M10,$C$3,$N10,$O10,$C$4)*E10</f>
        <v>-0.26021460159313392</v>
      </c>
      <c r="V10" s="13">
        <f>_xll.dnetGBlackScholesNGreeks("vega",$G10,$H10,$I10,$M10,$C$3,$N10,$O10,$C$4)*E10</f>
        <v>4.8134386037916101</v>
      </c>
    </row>
    <row r="11" spans="1:22">
      <c r="A11" s="63"/>
      <c r="B11" s="13" t="s">
        <v>198</v>
      </c>
      <c r="C11" s="10" t="s">
        <v>187</v>
      </c>
      <c r="D11" s="10" t="s">
        <v>151</v>
      </c>
      <c r="E11" s="10">
        <f t="shared" ref="E11" si="12">IF(D11="中金买入",1,-1)</f>
        <v>1</v>
      </c>
      <c r="F11" s="10" t="s">
        <v>230</v>
      </c>
      <c r="G11" s="10" t="s">
        <v>39</v>
      </c>
      <c r="H11" s="11">
        <v>100</v>
      </c>
      <c r="I11" s="11">
        <f>H11</f>
        <v>100</v>
      </c>
      <c r="J11" s="8">
        <f t="shared" ca="1" si="1"/>
        <v>43102</v>
      </c>
      <c r="K11" s="8">
        <f t="shared" ref="K11" ca="1" si="13">J11+L11</f>
        <v>43133</v>
      </c>
      <c r="L11" s="10">
        <v>31</v>
      </c>
      <c r="M11" s="12">
        <f>(L11)/365</f>
        <v>8.4931506849315067E-2</v>
      </c>
      <c r="N11" s="12">
        <v>3.5000000000000003E-2</v>
      </c>
      <c r="O11" s="9">
        <v>0.14000000000000001</v>
      </c>
      <c r="P11" s="13">
        <f>_xll.dnetGBlackScholesNGreeks("price",$G11,$H11,$I11,$M11,$C$3,$N11,$O11,$C$4)*E11</f>
        <v>1.7801514257095405</v>
      </c>
      <c r="Q11" s="15">
        <v>0</v>
      </c>
      <c r="R11" s="13">
        <f t="shared" ref="R11" si="14">Q11/10000*M11*H11</f>
        <v>0</v>
      </c>
      <c r="S11" s="13">
        <f t="shared" ref="S11" si="15">IF(P11&lt;=0,ABS(P11)+R11,P11-R11)</f>
        <v>1.7801514257095405</v>
      </c>
      <c r="T11" s="14">
        <f t="shared" ref="T11" si="16">S11/H11</f>
        <v>1.7801514257095405E-2</v>
      </c>
      <c r="U11" s="13">
        <f>_xll.dnetGBlackScholesNGreeks("delta",$G11,$H11,$I11,$M11,$C$3,$N11,$O11,$C$4)*E11</f>
        <v>0.53783525353914285</v>
      </c>
      <c r="V11" s="13">
        <f>_xll.dnetGBlackScholesNGreeks("vega",$G11,$H11,$I11,$M11,$C$3,$N11,$O11,$C$4)*E11</f>
        <v>0.11590526850920213</v>
      </c>
    </row>
    <row r="12" spans="1:22">
      <c r="A12" s="63"/>
      <c r="B12" s="13" t="s">
        <v>198</v>
      </c>
      <c r="C12" s="10" t="s">
        <v>187</v>
      </c>
      <c r="D12" s="10" t="s">
        <v>151</v>
      </c>
      <c r="E12" s="10">
        <f t="shared" ref="E12" si="17">IF(D12="中金买入",1,-1)</f>
        <v>1</v>
      </c>
      <c r="F12" s="10" t="s">
        <v>230</v>
      </c>
      <c r="G12" s="10" t="s">
        <v>231</v>
      </c>
      <c r="H12" s="11">
        <v>100</v>
      </c>
      <c r="I12" s="11">
        <f>H12</f>
        <v>100</v>
      </c>
      <c r="J12" s="8">
        <f t="shared" ca="1" si="1"/>
        <v>43102</v>
      </c>
      <c r="K12" s="8">
        <f t="shared" ref="K12" ca="1" si="18">J12+L12</f>
        <v>43192</v>
      </c>
      <c r="L12" s="10">
        <v>90</v>
      </c>
      <c r="M12" s="12">
        <f>(L12)/365</f>
        <v>0.24657534246575341</v>
      </c>
      <c r="N12" s="12">
        <v>3.5000000000000003E-2</v>
      </c>
      <c r="O12" s="9">
        <v>0.14000000000000001</v>
      </c>
      <c r="P12" s="13">
        <f>_xll.dnetGBlackScholesNGreeks("price",$G12,$H12,$I12,$M12,$C$3,$N12,$O12,$C$4)*E12</f>
        <v>3.2237205611197908</v>
      </c>
      <c r="Q12" s="15">
        <v>0</v>
      </c>
      <c r="R12" s="13">
        <f t="shared" ref="R12" si="19">Q12/10000*M12*H12</f>
        <v>0</v>
      </c>
      <c r="S12" s="13">
        <f t="shared" ref="S12" si="20">IF(P12&lt;=0,ABS(P12)+R12,P12-R12)</f>
        <v>3.2237205611197908</v>
      </c>
      <c r="T12" s="14">
        <f t="shared" ref="T12" si="21">S12/H12</f>
        <v>3.223720561119791E-2</v>
      </c>
      <c r="U12" s="13">
        <f>_xll.dnetGBlackScholesNGreeks("delta",$G12,$H12,$I12,$M12,$C$3,$N12,$O12,$C$4)*E12</f>
        <v>0.56521292114943833</v>
      </c>
      <c r="V12" s="13">
        <f>_xll.dnetGBlackScholesNGreeks("vega",$G12,$H12,$I12,$M12,$C$3,$N12,$O12,$C$4)*E12</f>
        <v>0.19633188313786221</v>
      </c>
    </row>
    <row r="13" spans="1:22">
      <c r="A13" s="63"/>
      <c r="B13" s="13" t="s">
        <v>198</v>
      </c>
      <c r="C13" s="10" t="s">
        <v>187</v>
      </c>
      <c r="D13" s="10" t="s">
        <v>151</v>
      </c>
      <c r="E13" s="10">
        <f t="shared" ref="E13:E14" si="22">IF(D13="中金买入",1,-1)</f>
        <v>1</v>
      </c>
      <c r="F13" s="10" t="s">
        <v>230</v>
      </c>
      <c r="G13" s="10" t="s">
        <v>231</v>
      </c>
      <c r="H13" s="11">
        <v>100</v>
      </c>
      <c r="I13" s="11">
        <f>H13</f>
        <v>100</v>
      </c>
      <c r="J13" s="8">
        <f t="shared" ca="1" si="1"/>
        <v>43102</v>
      </c>
      <c r="K13" s="8">
        <f t="shared" ref="K13:K14" ca="1" si="23">J13+L13</f>
        <v>43283</v>
      </c>
      <c r="L13" s="10">
        <v>181</v>
      </c>
      <c r="M13" s="12">
        <f>(L13)/365</f>
        <v>0.49589041095890413</v>
      </c>
      <c r="N13" s="12">
        <v>3.5000000000000003E-2</v>
      </c>
      <c r="O13" s="9">
        <v>0.14000000000000001</v>
      </c>
      <c r="P13" s="13">
        <f>_xll.dnetGBlackScholesNGreeks("price",$G13,$H13,$I13,$M13,$C$3,$N13,$O13,$C$4)*E13</f>
        <v>4.8541355386410174</v>
      </c>
      <c r="Q13" s="15">
        <v>0</v>
      </c>
      <c r="R13" s="13">
        <f t="shared" ref="R13:R14" si="24">Q13/10000*M13*H13</f>
        <v>0</v>
      </c>
      <c r="S13" s="13">
        <f t="shared" ref="S13:S14" si="25">IF(P13&lt;=0,ABS(P13)+R13,P13-R13)</f>
        <v>4.8541355386410174</v>
      </c>
      <c r="T13" s="14">
        <f t="shared" ref="T13:T14" si="26">S13/H13</f>
        <v>4.8541355386410176E-2</v>
      </c>
      <c r="U13" s="13">
        <f>_xll.dnetGBlackScholesNGreeks("delta",$G13,$H13,$I13,$M13,$C$3,$N13,$O13,$C$4)*E13</f>
        <v>0.59354210129605178</v>
      </c>
      <c r="V13" s="13">
        <f>_xll.dnetGBlackScholesNGreeks("vega",$G13,$H13,$I13,$M13,$C$3,$N13,$O13,$C$4)*E13</f>
        <v>0.27591270283358682</v>
      </c>
    </row>
    <row r="14" spans="1:22">
      <c r="A14" s="6">
        <v>1805</v>
      </c>
      <c r="B14" s="13" t="s">
        <v>198</v>
      </c>
      <c r="C14" s="10" t="s">
        <v>187</v>
      </c>
      <c r="D14" s="10" t="s">
        <v>151</v>
      </c>
      <c r="E14" s="10">
        <f t="shared" si="22"/>
        <v>1</v>
      </c>
      <c r="F14" s="10" t="s">
        <v>228</v>
      </c>
      <c r="G14" s="10" t="s">
        <v>85</v>
      </c>
      <c r="H14" s="11">
        <f>RTD("wdf.rtq",,F14,"LastPrice")</f>
        <v>3666</v>
      </c>
      <c r="I14" s="11">
        <v>3550</v>
      </c>
      <c r="J14" s="8">
        <f t="shared" ca="1" si="1"/>
        <v>43102</v>
      </c>
      <c r="K14" s="8">
        <f t="shared" ca="1" si="23"/>
        <v>43167</v>
      </c>
      <c r="L14" s="10">
        <v>65</v>
      </c>
      <c r="M14" s="12">
        <f>(L14-5)/365</f>
        <v>0.16438356164383561</v>
      </c>
      <c r="N14" s="12">
        <v>0</v>
      </c>
      <c r="O14" s="9">
        <v>0.19</v>
      </c>
      <c r="P14" s="13">
        <f>_xll.dnetGBlackScholesNGreeks("price",$G14,$H14,$I14,$M14,$C$3,$N14,$O14,$C$4)*E14</f>
        <v>62.162319221041571</v>
      </c>
      <c r="Q14" s="15">
        <v>0</v>
      </c>
      <c r="R14" s="13">
        <f t="shared" si="24"/>
        <v>0</v>
      </c>
      <c r="S14" s="13">
        <f t="shared" si="25"/>
        <v>62.162319221041571</v>
      </c>
      <c r="T14" s="14">
        <f t="shared" si="26"/>
        <v>1.695644277715264E-2</v>
      </c>
      <c r="U14" s="13">
        <f>_xll.dnetGBlackScholesNGreeks("delta",$G14,$H14,$I14,$M14,$C$3,$N14,$O14,$C$4)*E14</f>
        <v>-0.3231628190178526</v>
      </c>
      <c r="V14" s="13">
        <f>_xll.dnetGBlackScholesNGreeks("vega",$G14,$H14,$I14,$M14,$C$3,$N14,$O14,$C$4)*E14</f>
        <v>5.3256112650099112</v>
      </c>
    </row>
    <row r="15" spans="1:22" ht="13.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07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D1" zoomScale="85" zoomScaleNormal="85" workbookViewId="0">
      <selection activeCell="Y14" sqref="Y14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11.5" style="6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8" width="6.5" style="6" customWidth="1"/>
    <col min="19" max="19" width="10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44" t="s">
        <v>37</v>
      </c>
      <c r="C1" s="138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8"/>
      <c r="B7" s="69" t="s">
        <v>29</v>
      </c>
      <c r="C7" s="69" t="s">
        <v>2</v>
      </c>
      <c r="D7" s="70" t="s">
        <v>30</v>
      </c>
      <c r="E7" s="70"/>
      <c r="F7" s="70" t="s">
        <v>32</v>
      </c>
      <c r="G7" s="70" t="s">
        <v>23</v>
      </c>
      <c r="H7" s="70" t="s">
        <v>8</v>
      </c>
      <c r="I7" s="70" t="s">
        <v>7</v>
      </c>
      <c r="J7" s="70" t="s">
        <v>9</v>
      </c>
      <c r="K7" s="70" t="s">
        <v>10</v>
      </c>
      <c r="L7" s="70" t="s">
        <v>11</v>
      </c>
      <c r="M7" s="70" t="s">
        <v>12</v>
      </c>
      <c r="N7" s="70" t="s">
        <v>47</v>
      </c>
      <c r="O7" s="70" t="s">
        <v>13</v>
      </c>
      <c r="P7" s="70" t="s">
        <v>14</v>
      </c>
      <c r="Q7" s="70" t="s">
        <v>26</v>
      </c>
      <c r="R7" s="70" t="s">
        <v>28</v>
      </c>
      <c r="S7" s="70" t="s">
        <v>15</v>
      </c>
      <c r="T7" s="69" t="s">
        <v>33</v>
      </c>
      <c r="U7" s="69" t="s">
        <v>16</v>
      </c>
      <c r="V7" s="69" t="s">
        <v>17</v>
      </c>
    </row>
    <row r="8" spans="1:22" ht="14.25" thickTop="1">
      <c r="A8" s="71"/>
      <c r="B8" s="72" t="s">
        <v>200</v>
      </c>
      <c r="C8" s="73" t="s">
        <v>187</v>
      </c>
      <c r="D8" s="73" t="s">
        <v>20</v>
      </c>
      <c r="E8" s="73">
        <f>IF(D8="中金买入",1,-1)</f>
        <v>-1</v>
      </c>
      <c r="F8" s="73" t="s">
        <v>186</v>
      </c>
      <c r="G8" s="73" t="s">
        <v>39</v>
      </c>
      <c r="H8" s="74">
        <v>100</v>
      </c>
      <c r="I8" s="73">
        <v>100</v>
      </c>
      <c r="J8" s="75">
        <f ca="1">TODAY()</f>
        <v>43102</v>
      </c>
      <c r="K8" s="75">
        <f ca="1">J8+L8</f>
        <v>43132</v>
      </c>
      <c r="L8" s="73">
        <v>30</v>
      </c>
      <c r="M8" s="76">
        <f>L8/365</f>
        <v>8.2191780821917804E-2</v>
      </c>
      <c r="N8" s="76">
        <v>0</v>
      </c>
      <c r="O8" s="77">
        <v>0.32</v>
      </c>
      <c r="P8" s="72">
        <f>_xll.dnetGBlackScholesNGreeks("price",$G8,$H8,$I8,$M8,$C$3,$N8,$O8,$C$4)*E8</f>
        <v>-3.6526499295562971</v>
      </c>
      <c r="Q8" s="78"/>
      <c r="R8" s="72"/>
      <c r="S8" s="72">
        <f>P8+R8</f>
        <v>-3.6526499295562971</v>
      </c>
      <c r="T8" s="79"/>
      <c r="U8" s="72">
        <f>_xll.dnetGBlackScholesNGreeks("delta",$G8,$H8,$I8,$M8,$C$3,$N8,$O8,$C$4)*E8</f>
        <v>-0.51744199617651532</v>
      </c>
      <c r="V8" s="72">
        <f>_xll.dnetGBlackScholesNGreeks("vega",$G8,$H8,$I8,$M8,$C$3,$N8,$O8,$C$4)*E8</f>
        <v>-0.11406523569462124</v>
      </c>
    </row>
    <row r="9" spans="1:22" ht="13.5">
      <c r="A9" s="71"/>
      <c r="B9" s="80" t="s">
        <v>201</v>
      </c>
      <c r="C9" s="81" t="s">
        <v>187</v>
      </c>
      <c r="D9" s="81" t="s">
        <v>151</v>
      </c>
      <c r="E9" s="81">
        <f>IF(D9="中金买入",1,-1)</f>
        <v>1</v>
      </c>
      <c r="F9" s="81" t="s">
        <v>186</v>
      </c>
      <c r="G9" s="81" t="s">
        <v>39</v>
      </c>
      <c r="H9" s="82">
        <v>100</v>
      </c>
      <c r="I9" s="81">
        <v>100</v>
      </c>
      <c r="J9" s="83">
        <f t="shared" ref="J9:L10" ca="1" si="0">J8</f>
        <v>43102</v>
      </c>
      <c r="K9" s="83">
        <f t="shared" ca="1" si="0"/>
        <v>43132</v>
      </c>
      <c r="L9" s="81">
        <f t="shared" si="0"/>
        <v>30</v>
      </c>
      <c r="M9" s="84">
        <f>L9/365</f>
        <v>8.2191780821917804E-2</v>
      </c>
      <c r="N9" s="84">
        <f>N8</f>
        <v>0</v>
      </c>
      <c r="O9" s="85">
        <v>0.3</v>
      </c>
      <c r="P9" s="80">
        <f>_xll.dnetGBlackScholesNGreeks("price",$G9,$H9,$I9,$M9,$C$3,$N9,$O9,$C$4)*E9</f>
        <v>3.4245046917201378</v>
      </c>
      <c r="Q9" s="86"/>
      <c r="R9" s="80"/>
      <c r="S9" s="80">
        <f>P9+R9</f>
        <v>3.4245046917201378</v>
      </c>
      <c r="T9" s="87"/>
      <c r="U9" s="80">
        <f>_xll.dnetGBlackScholesNGreeks("delta",$G9,$H9,$I9,$M9,$C$3,$N9,$O9,$C$4)*E9</f>
        <v>0.51630126926376363</v>
      </c>
      <c r="V9" s="80">
        <f>_xll.dnetGBlackScholesNGreeks("vega",$G9,$H9,$I9,$M9,$C$3,$N9,$O9,$C$4)*E9</f>
        <v>0.11407976820886745</v>
      </c>
    </row>
    <row r="10" spans="1:22" ht="13.5">
      <c r="A10" s="71"/>
      <c r="B10" s="88" t="s">
        <v>202</v>
      </c>
      <c r="C10" s="89" t="s">
        <v>187</v>
      </c>
      <c r="D10" s="89" t="s">
        <v>151</v>
      </c>
      <c r="E10" s="89"/>
      <c r="F10" s="89" t="str">
        <f>F9</f>
        <v>RB1805</v>
      </c>
      <c r="G10" s="89"/>
      <c r="H10" s="90">
        <f>H9</f>
        <v>100</v>
      </c>
      <c r="I10" s="89" t="str">
        <f>I8 &amp; "|" &amp; I9</f>
        <v>100|100</v>
      </c>
      <c r="J10" s="91">
        <f t="shared" ca="1" si="0"/>
        <v>43102</v>
      </c>
      <c r="K10" s="91">
        <f t="shared" ca="1" si="0"/>
        <v>43132</v>
      </c>
      <c r="L10" s="89">
        <f t="shared" si="0"/>
        <v>30</v>
      </c>
      <c r="M10" s="92">
        <f>M9</f>
        <v>8.2191780821917804E-2</v>
      </c>
      <c r="N10" s="92"/>
      <c r="O10" s="89"/>
      <c r="P10" s="88">
        <f>P9+P8</f>
        <v>-0.22814523783615925</v>
      </c>
      <c r="Q10" s="89">
        <v>80</v>
      </c>
      <c r="R10" s="88">
        <f>Q10/10000*M10*H10</f>
        <v>6.5753424657534254E-2</v>
      </c>
      <c r="S10" s="88">
        <f>IF(P10&lt;=0,ABS(P10)+R10,P10-R10)</f>
        <v>0.29389866249369351</v>
      </c>
      <c r="T10" s="93">
        <f>S10/H10</f>
        <v>2.9389866249369349E-3</v>
      </c>
      <c r="U10" s="93">
        <f t="shared" ref="U10:V10" si="1">U9+U8</f>
        <v>-1.1407269127516884E-3</v>
      </c>
      <c r="V10" s="93">
        <f t="shared" si="1"/>
        <v>1.4532514246212713E-5</v>
      </c>
    </row>
    <row r="11" spans="1:22" ht="13.5">
      <c r="A11" s="94"/>
      <c r="B11" s="80" t="s">
        <v>200</v>
      </c>
      <c r="C11" s="81" t="s">
        <v>187</v>
      </c>
      <c r="D11" s="81" t="s">
        <v>20</v>
      </c>
      <c r="E11" s="81">
        <f>IF(D11="中金买入",1,-1)</f>
        <v>-1</v>
      </c>
      <c r="F11" s="81" t="s">
        <v>217</v>
      </c>
      <c r="G11" s="81" t="s">
        <v>27</v>
      </c>
      <c r="H11" s="82">
        <v>3663</v>
      </c>
      <c r="I11" s="82">
        <v>3900</v>
      </c>
      <c r="J11" s="83">
        <f ca="1">TODAY()</f>
        <v>43102</v>
      </c>
      <c r="K11" s="83">
        <f ca="1">J11+L11</f>
        <v>43251</v>
      </c>
      <c r="L11" s="81">
        <v>149</v>
      </c>
      <c r="M11" s="84">
        <f>L11/365</f>
        <v>0.40821917808219177</v>
      </c>
      <c r="N11" s="84">
        <v>0</v>
      </c>
      <c r="O11" s="85">
        <v>0.28000000000000003</v>
      </c>
      <c r="P11" s="80">
        <f>_xll.dnetGBlackScholesNGreeks("price",$G11,$H11,$I11,$M11,$C$3,$N11,$O11,$C$4)*E11</f>
        <v>-165.99775284586872</v>
      </c>
      <c r="Q11" s="86"/>
      <c r="R11" s="80"/>
      <c r="S11" s="80">
        <f>P11+R11</f>
        <v>-165.99775284586872</v>
      </c>
      <c r="T11" s="87"/>
      <c r="U11" s="80">
        <f>_xll.dnetGBlackScholesNGreeks("delta",$G11,$H11,$I11,$M11,$C$3,$N11,$O11,$C$4)*E11</f>
        <v>-0.39381870977877043</v>
      </c>
      <c r="V11" s="80">
        <f>_xll.dnetGBlackScholesNGreeks("vega",$G11,$H11,$I11,$M11,$C$3,$N11,$O11,$C$4)*E11</f>
        <v>-8.9499857201507211</v>
      </c>
    </row>
    <row r="12" spans="1:22" ht="13.5">
      <c r="A12" s="94"/>
      <c r="B12" s="80" t="s">
        <v>201</v>
      </c>
      <c r="C12" s="81" t="s">
        <v>187</v>
      </c>
      <c r="D12" s="81" t="s">
        <v>151</v>
      </c>
      <c r="E12" s="81">
        <f>IF(D12="中金买入",1,-1)</f>
        <v>1</v>
      </c>
      <c r="F12" s="81" t="str">
        <f>F11</f>
        <v>rb1810</v>
      </c>
      <c r="G12" s="81" t="s">
        <v>27</v>
      </c>
      <c r="H12" s="82">
        <f>H11</f>
        <v>3663</v>
      </c>
      <c r="I12" s="82">
        <v>4100</v>
      </c>
      <c r="J12" s="83">
        <f ca="1">J11</f>
        <v>43102</v>
      </c>
      <c r="K12" s="83">
        <f ca="1">K11</f>
        <v>43251</v>
      </c>
      <c r="L12" s="81">
        <f>L11</f>
        <v>149</v>
      </c>
      <c r="M12" s="84">
        <f>L12/365</f>
        <v>0.40821917808219177</v>
      </c>
      <c r="N12" s="84">
        <v>0.04</v>
      </c>
      <c r="O12" s="85">
        <v>0.26</v>
      </c>
      <c r="P12" s="80">
        <f>_xll.dnetGBlackScholesNGreeks("price",$G12,$H12,$I12,$M12,$C$3,$N12,$O12,$C$4)*E12</f>
        <v>111.9257363021411</v>
      </c>
      <c r="Q12" s="86"/>
      <c r="R12" s="80"/>
      <c r="S12" s="80">
        <f>P12+R12</f>
        <v>111.9257363021411</v>
      </c>
      <c r="T12" s="87"/>
      <c r="U12" s="80">
        <f>_xll.dnetGBlackScholesNGreeks("delta",$G12,$H12,$I12,$M12,$C$3,$N12,$O12,$C$4)*E12</f>
        <v>0.31209693338496436</v>
      </c>
      <c r="V12" s="80">
        <f>_xll.dnetGBlackScholesNGreeks("vega",$G12,$H12,$I12,$M12,$C$3,$N12,$O12,$C$4)*E12</f>
        <v>8.3173153994594031</v>
      </c>
    </row>
    <row r="13" spans="1:22" ht="13.5">
      <c r="A13" s="94"/>
      <c r="B13" s="88" t="s">
        <v>202</v>
      </c>
      <c r="C13" s="89" t="s">
        <v>187</v>
      </c>
      <c r="D13" s="89" t="s">
        <v>20</v>
      </c>
      <c r="E13" s="89"/>
      <c r="F13" s="89" t="str">
        <f>F12</f>
        <v>rb1810</v>
      </c>
      <c r="G13" s="89"/>
      <c r="H13" s="90">
        <f>H12</f>
        <v>3663</v>
      </c>
      <c r="I13" s="89" t="str">
        <f>I11 &amp; "|" &amp; I12</f>
        <v>3900|4100</v>
      </c>
      <c r="J13" s="91">
        <f t="shared" ref="J13:K13" ca="1" si="2">J12</f>
        <v>43102</v>
      </c>
      <c r="K13" s="91">
        <f t="shared" ca="1" si="2"/>
        <v>43251</v>
      </c>
      <c r="L13" s="89">
        <f>L12</f>
        <v>149</v>
      </c>
      <c r="M13" s="92">
        <f>M12</f>
        <v>0.40821917808219177</v>
      </c>
      <c r="N13" s="92"/>
      <c r="O13" s="89"/>
      <c r="P13" s="88">
        <f>P12+P11</f>
        <v>-54.072016543727614</v>
      </c>
      <c r="Q13" s="89">
        <v>0</v>
      </c>
      <c r="R13" s="88">
        <f>Q13/10000*M13*H13</f>
        <v>0</v>
      </c>
      <c r="S13" s="88">
        <f>IF(P13&lt;=0,ABS(P13)+R13,P13-R13)</f>
        <v>54.072016543727614</v>
      </c>
      <c r="T13" s="93">
        <f>S13/H13</f>
        <v>1.4761675278112917E-2</v>
      </c>
      <c r="U13" s="93">
        <f>U12+U11</f>
        <v>-8.1721776393806067E-2</v>
      </c>
      <c r="V13" s="93">
        <f>V12+V11</f>
        <v>-0.63267032069131801</v>
      </c>
    </row>
    <row r="14" spans="1:22" ht="13.5">
      <c r="A14" s="94"/>
      <c r="B14" s="80" t="s">
        <v>200</v>
      </c>
      <c r="C14" s="81" t="s">
        <v>187</v>
      </c>
      <c r="D14" s="81" t="s">
        <v>20</v>
      </c>
      <c r="E14" s="81">
        <f>IF(D14="中金买入",1,-1)</f>
        <v>-1</v>
      </c>
      <c r="F14" s="81" t="s">
        <v>216</v>
      </c>
      <c r="G14" s="81" t="s">
        <v>27</v>
      </c>
      <c r="H14" s="82">
        <v>3663</v>
      </c>
      <c r="I14" s="82">
        <v>3850</v>
      </c>
      <c r="J14" s="83">
        <f ca="1">TODAY()</f>
        <v>43102</v>
      </c>
      <c r="K14" s="83">
        <f ca="1">J14+L14</f>
        <v>43251</v>
      </c>
      <c r="L14" s="81">
        <v>149</v>
      </c>
      <c r="M14" s="84">
        <f>L14/365</f>
        <v>0.40821917808219177</v>
      </c>
      <c r="N14" s="84">
        <v>0</v>
      </c>
      <c r="O14" s="85">
        <v>0.28000000000000003</v>
      </c>
      <c r="P14" s="80">
        <f>_xll.dnetGBlackScholesNGreeks("price",$G14,$H14,$I14,$M14,$C$3,$N14,$O14,$C$4)*E14</f>
        <v>-183.01682921136171</v>
      </c>
      <c r="Q14" s="86"/>
      <c r="R14" s="80"/>
      <c r="S14" s="80">
        <f>P14+R14</f>
        <v>-183.01682921136171</v>
      </c>
      <c r="T14" s="87"/>
      <c r="U14" s="80">
        <f>_xll.dnetGBlackScholesNGreeks("delta",$G14,$H14,$I14,$M14,$C$3,$N14,$O14,$C$4)*E14</f>
        <v>-0.4216406817022289</v>
      </c>
      <c r="V14" s="80">
        <f>_xll.dnetGBlackScholesNGreeks("vega",$G14,$H14,$I14,$M14,$C$3,$N14,$O14,$C$4)*E14</f>
        <v>-9.0966206987250189</v>
      </c>
    </row>
    <row r="15" spans="1:22" ht="13.5">
      <c r="A15" s="94"/>
      <c r="B15" s="80" t="s">
        <v>201</v>
      </c>
      <c r="C15" s="81" t="s">
        <v>187</v>
      </c>
      <c r="D15" s="81" t="s">
        <v>151</v>
      </c>
      <c r="E15" s="81">
        <f>IF(D15="中金买入",1,-1)</f>
        <v>1</v>
      </c>
      <c r="F15" s="81" t="str">
        <f>F14</f>
        <v>rb1810</v>
      </c>
      <c r="G15" s="81" t="s">
        <v>27</v>
      </c>
      <c r="H15" s="82">
        <f>H14</f>
        <v>3663</v>
      </c>
      <c r="I15" s="82">
        <v>4000</v>
      </c>
      <c r="J15" s="83">
        <f ca="1">J14</f>
        <v>43102</v>
      </c>
      <c r="K15" s="83">
        <f ca="1">K14</f>
        <v>43251</v>
      </c>
      <c r="L15" s="81">
        <f>L14</f>
        <v>149</v>
      </c>
      <c r="M15" s="84">
        <f>L15/365</f>
        <v>0.40821917808219177</v>
      </c>
      <c r="N15" s="84">
        <v>0</v>
      </c>
      <c r="O15" s="85">
        <v>0.26</v>
      </c>
      <c r="P15" s="80">
        <f>_xll.dnetGBlackScholesNGreeks("price",$G15,$H15,$I15,$M15,$C$3,$N15,$O15,$C$4)*E15</f>
        <v>118.83455596301837</v>
      </c>
      <c r="Q15" s="86"/>
      <c r="R15" s="80"/>
      <c r="S15" s="80">
        <f>P15+R15</f>
        <v>118.83455596301837</v>
      </c>
      <c r="T15" s="87"/>
      <c r="U15" s="80">
        <f>_xll.dnetGBlackScholesNGreeks("delta",$G15,$H15,$I15,$M15,$C$3,$N15,$O15,$C$4)*E15</f>
        <v>0.32486401036067036</v>
      </c>
      <c r="V15" s="80">
        <f>_xll.dnetGBlackScholesNGreeks("vega",$G15,$H15,$I15,$M15,$C$3,$N15,$O15,$C$4)*E15</f>
        <v>8.3796365498338901</v>
      </c>
    </row>
    <row r="16" spans="1:22" ht="13.5">
      <c r="A16" s="94"/>
      <c r="B16" s="88" t="s">
        <v>202</v>
      </c>
      <c r="C16" s="89" t="s">
        <v>187</v>
      </c>
      <c r="D16" s="89" t="s">
        <v>20</v>
      </c>
      <c r="E16" s="89"/>
      <c r="F16" s="89" t="str">
        <f>F15</f>
        <v>rb1810</v>
      </c>
      <c r="G16" s="89"/>
      <c r="H16" s="90">
        <f>H15</f>
        <v>3663</v>
      </c>
      <c r="I16" s="89" t="str">
        <f>I14 &amp; "|" &amp; I15</f>
        <v>3850|4000</v>
      </c>
      <c r="J16" s="91">
        <f t="shared" ref="J16:K16" ca="1" si="3">J15</f>
        <v>43102</v>
      </c>
      <c r="K16" s="91">
        <f t="shared" ca="1" si="3"/>
        <v>43251</v>
      </c>
      <c r="L16" s="89">
        <f>L15</f>
        <v>149</v>
      </c>
      <c r="M16" s="92">
        <f>M15</f>
        <v>0.40821917808219177</v>
      </c>
      <c r="N16" s="92"/>
      <c r="O16" s="89"/>
      <c r="P16" s="88">
        <f>P15+P14</f>
        <v>-64.182273248343336</v>
      </c>
      <c r="Q16" s="89">
        <v>0</v>
      </c>
      <c r="R16" s="88">
        <f>Q16/10000*M16*H16</f>
        <v>0</v>
      </c>
      <c r="S16" s="88">
        <f>IF(P16&lt;=0,ABS(P16)+R16,P16-R16)</f>
        <v>64.182273248343336</v>
      </c>
      <c r="T16" s="93">
        <f>S16/H16</f>
        <v>1.7521778118575849E-2</v>
      </c>
      <c r="U16" s="93">
        <f>U15+U14</f>
        <v>-9.677667134155854E-2</v>
      </c>
      <c r="V16" s="93">
        <f>V15+V14</f>
        <v>-0.71698414889112883</v>
      </c>
    </row>
    <row r="17" spans="1:22" ht="13.5">
      <c r="A17" s="94"/>
      <c r="B17" s="80" t="s">
        <v>200</v>
      </c>
      <c r="C17" s="81" t="s">
        <v>187</v>
      </c>
      <c r="D17" s="81" t="s">
        <v>20</v>
      </c>
      <c r="E17" s="81">
        <f>IF(D17="中金买入",1,-1)</f>
        <v>-1</v>
      </c>
      <c r="F17" s="81" t="s">
        <v>216</v>
      </c>
      <c r="G17" s="81" t="s">
        <v>39</v>
      </c>
      <c r="H17" s="82">
        <v>3663</v>
      </c>
      <c r="I17" s="82">
        <v>3750</v>
      </c>
      <c r="J17" s="83">
        <f ca="1">TODAY()</f>
        <v>43102</v>
      </c>
      <c r="K17" s="83">
        <f ca="1">J17+L17</f>
        <v>43251</v>
      </c>
      <c r="L17" s="81">
        <v>149</v>
      </c>
      <c r="M17" s="84">
        <f>L17/365</f>
        <v>0.40821917808219177</v>
      </c>
      <c r="N17" s="84">
        <v>0</v>
      </c>
      <c r="O17" s="85">
        <v>0.28000000000000003</v>
      </c>
      <c r="P17" s="80">
        <f>_xll.dnetGBlackScholesNGreeks("price",$G17,$H17,$I17,$M17,$C$3,$N17,$O17,$C$4)*E17</f>
        <v>-221.13189735007222</v>
      </c>
      <c r="Q17" s="86"/>
      <c r="R17" s="80"/>
      <c r="S17" s="80">
        <f>P17+R17</f>
        <v>-221.13189735007222</v>
      </c>
      <c r="T17" s="87"/>
      <c r="U17" s="80">
        <f>_xll.dnetGBlackScholesNGreeks("delta",$G17,$H17,$I17,$M17,$C$3,$N17,$O17,$C$4)*E17</f>
        <v>-0.47941398562443283</v>
      </c>
      <c r="V17" s="80">
        <f>_xll.dnetGBlackScholesNGreeks("vega",$G17,$H17,$I17,$M17,$C$3,$N17,$O17,$C$4)*E17</f>
        <v>-9.2525983819865587</v>
      </c>
    </row>
    <row r="18" spans="1:22" ht="13.5">
      <c r="A18" s="94"/>
      <c r="B18" s="80" t="s">
        <v>201</v>
      </c>
      <c r="C18" s="81" t="s">
        <v>187</v>
      </c>
      <c r="D18" s="81" t="s">
        <v>151</v>
      </c>
      <c r="E18" s="81">
        <f>IF(D18="中金买入",1,-1)</f>
        <v>1</v>
      </c>
      <c r="F18" s="81" t="str">
        <f>F17</f>
        <v>rb1810</v>
      </c>
      <c r="G18" s="81" t="s">
        <v>24</v>
      </c>
      <c r="H18" s="82">
        <f>H17</f>
        <v>3663</v>
      </c>
      <c r="I18" s="82">
        <v>3850</v>
      </c>
      <c r="J18" s="83">
        <f ca="1">J17</f>
        <v>43102</v>
      </c>
      <c r="K18" s="83">
        <f ca="1">K17</f>
        <v>43251</v>
      </c>
      <c r="L18" s="81">
        <f>L17</f>
        <v>149</v>
      </c>
      <c r="M18" s="84">
        <f>L18/365</f>
        <v>0.40821917808219177</v>
      </c>
      <c r="N18" s="84">
        <v>0</v>
      </c>
      <c r="O18" s="85">
        <v>0.26</v>
      </c>
      <c r="P18" s="80">
        <f>_xll.dnetGBlackScholesNGreeks("price",$G18,$H18,$I18,$M18,$C$3,$N18,$O18,$C$4)*E18</f>
        <v>164.87171584066755</v>
      </c>
      <c r="Q18" s="86"/>
      <c r="R18" s="80"/>
      <c r="S18" s="80">
        <f>P18+R18</f>
        <v>164.87171584066755</v>
      </c>
      <c r="T18" s="87"/>
      <c r="U18" s="80">
        <f>_xll.dnetGBlackScholesNGreeks("delta",$G18,$H18,$I18,$M18,$C$3,$N18,$O18,$C$4)*E18</f>
        <v>0.41086506383862798</v>
      </c>
      <c r="V18" s="80">
        <f>_xll.dnetGBlackScholesNGreeks("vega",$G18,$H18,$I18,$M18,$C$3,$N18,$O18,$C$4)*E18</f>
        <v>9.0453419323658864</v>
      </c>
    </row>
    <row r="19" spans="1:22" ht="13.5">
      <c r="A19" s="94"/>
      <c r="B19" s="88" t="s">
        <v>202</v>
      </c>
      <c r="C19" s="89" t="s">
        <v>187</v>
      </c>
      <c r="D19" s="89" t="s">
        <v>20</v>
      </c>
      <c r="E19" s="89"/>
      <c r="F19" s="89" t="str">
        <f>F18</f>
        <v>rb1810</v>
      </c>
      <c r="G19" s="89"/>
      <c r="H19" s="90">
        <f>H18</f>
        <v>3663</v>
      </c>
      <c r="I19" s="89" t="str">
        <f>I17 &amp; "|" &amp; I18</f>
        <v>3750|3850</v>
      </c>
      <c r="J19" s="91">
        <f t="shared" ref="J19:K19" ca="1" si="4">J18</f>
        <v>43102</v>
      </c>
      <c r="K19" s="91">
        <f t="shared" ca="1" si="4"/>
        <v>43251</v>
      </c>
      <c r="L19" s="89">
        <f>L18</f>
        <v>149</v>
      </c>
      <c r="M19" s="92">
        <f>M18</f>
        <v>0.40821917808219177</v>
      </c>
      <c r="N19" s="92"/>
      <c r="O19" s="89"/>
      <c r="P19" s="88">
        <f>P18+P17</f>
        <v>-56.260181509404674</v>
      </c>
      <c r="Q19" s="89">
        <v>0</v>
      </c>
      <c r="R19" s="88">
        <f>Q19/10000*M19*H19</f>
        <v>0</v>
      </c>
      <c r="S19" s="88">
        <f>IF(P19&lt;=0,ABS(P19)+R19,P19-R19)</f>
        <v>56.260181509404674</v>
      </c>
      <c r="T19" s="93">
        <f>S19/H19</f>
        <v>1.5359044911112387E-2</v>
      </c>
      <c r="U19" s="93">
        <f>U18+U17</f>
        <v>-6.8548921785804851E-2</v>
      </c>
      <c r="V19" s="93">
        <f>V18+V17</f>
        <v>-0.20725644962067236</v>
      </c>
    </row>
    <row r="20" spans="1:22" ht="13.5">
      <c r="A20" s="94"/>
      <c r="B20" s="80"/>
      <c r="C20" s="81"/>
      <c r="D20" s="81"/>
      <c r="E20" s="81"/>
      <c r="F20" s="81"/>
      <c r="G20" s="81"/>
      <c r="H20" s="82"/>
      <c r="I20" s="81"/>
      <c r="J20" s="83"/>
      <c r="K20" s="83"/>
      <c r="L20" s="81"/>
      <c r="M20" s="84"/>
      <c r="N20" s="84"/>
      <c r="O20" s="85"/>
      <c r="P20" s="80"/>
      <c r="Q20" s="86"/>
      <c r="R20" s="80"/>
      <c r="S20" s="80"/>
      <c r="T20" s="87"/>
      <c r="U20" s="80"/>
      <c r="V20" s="80"/>
    </row>
    <row r="21" spans="1:22" ht="13.5">
      <c r="A21" s="94"/>
      <c r="B21" s="80"/>
      <c r="C21" s="81"/>
      <c r="D21" s="81"/>
      <c r="E21" s="81"/>
      <c r="F21" s="81"/>
      <c r="G21" s="81"/>
      <c r="H21" s="82"/>
      <c r="I21" s="81"/>
      <c r="J21" s="83"/>
      <c r="K21" s="83"/>
      <c r="L21" s="81"/>
      <c r="M21" s="84"/>
      <c r="N21" s="84"/>
      <c r="O21" s="85"/>
      <c r="P21" s="80"/>
      <c r="Q21" s="86"/>
      <c r="R21" s="80"/>
      <c r="S21" s="80"/>
      <c r="T21" s="87"/>
      <c r="U21" s="80"/>
      <c r="V21" s="80"/>
    </row>
    <row r="22" spans="1:22" ht="13.5">
      <c r="A22" s="94"/>
      <c r="B22" s="88"/>
      <c r="C22" s="89"/>
      <c r="D22" s="89"/>
      <c r="E22" s="89"/>
      <c r="F22" s="89"/>
      <c r="G22" s="89"/>
      <c r="H22" s="90"/>
      <c r="I22" s="89"/>
      <c r="J22" s="91"/>
      <c r="K22" s="91"/>
      <c r="L22" s="89"/>
      <c r="M22" s="92"/>
      <c r="N22" s="92"/>
      <c r="O22" s="89"/>
      <c r="P22" s="88"/>
      <c r="Q22" s="89"/>
      <c r="R22" s="88"/>
      <c r="S22" s="88"/>
      <c r="T22" s="93"/>
      <c r="U22" s="93"/>
      <c r="V22" s="93"/>
    </row>
    <row r="23" spans="1:22" ht="13.5">
      <c r="A23" s="94"/>
      <c r="B23" s="80"/>
      <c r="C23" s="81"/>
      <c r="D23" s="81"/>
      <c r="E23" s="81"/>
      <c r="F23" s="81"/>
      <c r="G23" s="81"/>
      <c r="H23" s="82"/>
      <c r="I23" s="81"/>
      <c r="J23" s="83"/>
      <c r="K23" s="83"/>
      <c r="L23" s="81"/>
      <c r="M23" s="84"/>
      <c r="N23" s="84"/>
      <c r="O23" s="85"/>
      <c r="P23" s="80"/>
      <c r="Q23" s="86"/>
      <c r="R23" s="80"/>
      <c r="S23" s="80"/>
      <c r="T23" s="87"/>
      <c r="U23" s="80"/>
      <c r="V23" s="80"/>
    </row>
    <row r="24" spans="1:22" ht="13.5">
      <c r="A24" s="94"/>
      <c r="B24" s="80"/>
      <c r="C24" s="81"/>
      <c r="D24" s="81"/>
      <c r="E24" s="81"/>
      <c r="F24" s="81"/>
      <c r="G24" s="81"/>
      <c r="H24" s="82"/>
      <c r="I24" s="81"/>
      <c r="J24" s="83"/>
      <c r="K24" s="83"/>
      <c r="L24" s="81"/>
      <c r="M24" s="84"/>
      <c r="N24" s="84"/>
      <c r="O24" s="85"/>
      <c r="P24" s="80"/>
      <c r="Q24" s="86"/>
      <c r="R24" s="80"/>
      <c r="S24" s="80"/>
      <c r="T24" s="87"/>
      <c r="U24" s="80"/>
      <c r="V24" s="80"/>
    </row>
    <row r="25" spans="1:22" ht="13.5">
      <c r="A25" s="94"/>
      <c r="B25" s="88"/>
      <c r="C25" s="89"/>
      <c r="D25" s="89"/>
      <c r="E25" s="89"/>
      <c r="F25" s="89"/>
      <c r="G25" s="89"/>
      <c r="H25" s="90"/>
      <c r="I25" s="89"/>
      <c r="J25" s="91"/>
      <c r="K25" s="91"/>
      <c r="L25" s="89"/>
      <c r="M25" s="92"/>
      <c r="N25" s="92"/>
      <c r="O25" s="89"/>
      <c r="P25" s="88"/>
      <c r="Q25" s="89"/>
      <c r="R25" s="88"/>
      <c r="S25" s="88"/>
      <c r="T25" s="93"/>
      <c r="U25" s="93"/>
      <c r="V25" s="93"/>
    </row>
    <row r="26" spans="1:22" ht="13.5">
      <c r="A26" s="94"/>
      <c r="B26" s="80"/>
      <c r="C26" s="81"/>
      <c r="D26" s="81"/>
      <c r="E26" s="81"/>
      <c r="F26" s="81"/>
      <c r="G26" s="81"/>
      <c r="H26" s="82"/>
      <c r="I26" s="81"/>
      <c r="J26" s="83"/>
      <c r="K26" s="83"/>
      <c r="L26" s="81"/>
      <c r="M26" s="84"/>
      <c r="N26" s="84"/>
      <c r="O26" s="85"/>
      <c r="P26" s="80"/>
      <c r="Q26" s="86"/>
      <c r="R26" s="80"/>
      <c r="S26" s="80"/>
      <c r="T26" s="87"/>
      <c r="U26" s="80"/>
      <c r="V26" s="80"/>
    </row>
    <row r="27" spans="1:22" ht="13.5">
      <c r="A27" s="94"/>
      <c r="B27" s="80"/>
      <c r="C27" s="81"/>
      <c r="D27" s="81"/>
      <c r="E27" s="81"/>
      <c r="F27" s="81"/>
      <c r="G27" s="81"/>
      <c r="H27" s="82"/>
      <c r="I27" s="81"/>
      <c r="J27" s="83"/>
      <c r="K27" s="83"/>
      <c r="L27" s="81"/>
      <c r="M27" s="84"/>
      <c r="N27" s="84"/>
      <c r="O27" s="85"/>
      <c r="P27" s="80"/>
      <c r="Q27" s="86"/>
      <c r="R27" s="80"/>
      <c r="S27" s="80"/>
      <c r="T27" s="87"/>
      <c r="U27" s="80"/>
      <c r="V27" s="80"/>
    </row>
    <row r="28" spans="1:22" ht="13.5">
      <c r="A28" s="94"/>
      <c r="B28" s="88"/>
      <c r="C28" s="89"/>
      <c r="D28" s="89"/>
      <c r="E28" s="89"/>
      <c r="F28" s="89"/>
      <c r="G28" s="89"/>
      <c r="H28" s="90"/>
      <c r="I28" s="89"/>
      <c r="J28" s="91"/>
      <c r="K28" s="91"/>
      <c r="L28" s="89"/>
      <c r="M28" s="92"/>
      <c r="N28" s="92"/>
      <c r="O28" s="89"/>
      <c r="P28" s="88"/>
      <c r="Q28" s="89"/>
      <c r="R28" s="88"/>
      <c r="S28" s="88"/>
      <c r="T28" s="93"/>
      <c r="U28" s="93"/>
      <c r="V28" s="93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38" t="s">
        <v>38</v>
      </c>
      <c r="C1" s="138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3874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5">
        <v>0.02</v>
      </c>
      <c r="M8" s="21">
        <f ca="1">TODAY()</f>
        <v>43102</v>
      </c>
      <c r="N8" s="21">
        <f ca="1">M8+O8</f>
        <v>43132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-67.864447968564122</v>
      </c>
      <c r="T8" s="25">
        <v>80</v>
      </c>
      <c r="U8" s="24">
        <f>T8/10000*P8*H8</f>
        <v>2.5472876712328767</v>
      </c>
      <c r="V8" s="24">
        <f>IF(S8&lt;=0,ABS(S8)+U8,S8-U8)</f>
        <v>70.411735639797001</v>
      </c>
      <c r="W8" s="26">
        <f>V8/H8</f>
        <v>1.8175460929219671E-2</v>
      </c>
      <c r="X8" s="24">
        <f>_xll.dnetStandardBarrierNGreeks("delta",G8,H8,I8,K8,L8*H8,P8,$C$3,Q8,R8,$C$4)</f>
        <v>0.1844654248174038</v>
      </c>
      <c r="Y8" s="24">
        <f>_xll.dnetStandardBarrierNGreeks("vega",G8,H8,I8,K8,L8*H8,P8,$C$3,Q8,R8,$C$4)</f>
        <v>0.27768039809342326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6">
        <v>5.0000000000000001E-3</v>
      </c>
      <c r="M9" s="8">
        <f ca="1">TODAY()</f>
        <v>43102</v>
      </c>
      <c r="N9" s="8">
        <f ca="1">M9+O9</f>
        <v>43282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6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6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6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95">
        <v>43087</v>
      </c>
      <c r="B1" s="96"/>
      <c r="C1" s="97" t="s">
        <v>49</v>
      </c>
      <c r="D1" s="96"/>
      <c r="E1" s="97" t="s">
        <v>50</v>
      </c>
      <c r="F1" s="98"/>
    </row>
    <row r="2" spans="1:6" ht="15.75" thickBot="1">
      <c r="A2" s="99" t="s">
        <v>51</v>
      </c>
      <c r="B2" s="100" t="s">
        <v>52</v>
      </c>
      <c r="C2" s="101" t="s">
        <v>53</v>
      </c>
      <c r="D2" s="101" t="s">
        <v>54</v>
      </c>
      <c r="E2" s="101" t="s">
        <v>55</v>
      </c>
      <c r="F2" s="102" t="s">
        <v>56</v>
      </c>
    </row>
    <row r="3" spans="1:6" ht="15.75" thickBot="1">
      <c r="A3" s="103" t="s">
        <v>57</v>
      </c>
      <c r="B3" s="104" t="s">
        <v>58</v>
      </c>
      <c r="C3" s="105">
        <v>0.20499999999999999</v>
      </c>
      <c r="D3" s="105">
        <v>0.25</v>
      </c>
      <c r="E3" s="105">
        <v>0.21</v>
      </c>
      <c r="F3" s="108">
        <v>0.25</v>
      </c>
    </row>
    <row r="4" spans="1:6" ht="15.75" thickBot="1">
      <c r="A4" s="99" t="s">
        <v>59</v>
      </c>
      <c r="B4" s="100" t="s">
        <v>60</v>
      </c>
      <c r="C4" s="109">
        <v>0.13750000000000001</v>
      </c>
      <c r="D4" s="109">
        <v>0.1825</v>
      </c>
      <c r="E4" s="109">
        <v>0.14499999999999999</v>
      </c>
      <c r="F4" s="110">
        <v>0.185</v>
      </c>
    </row>
    <row r="5" spans="1:6" ht="15.75" thickBot="1">
      <c r="A5" s="103" t="s">
        <v>61</v>
      </c>
      <c r="B5" s="104" t="s">
        <v>62</v>
      </c>
      <c r="C5" s="106"/>
      <c r="D5" s="106"/>
      <c r="E5" s="106"/>
      <c r="F5" s="111"/>
    </row>
    <row r="6" spans="1:6" ht="15.75" thickBot="1">
      <c r="A6" s="99" t="s">
        <v>63</v>
      </c>
      <c r="B6" s="100" t="s">
        <v>64</v>
      </c>
      <c r="C6" s="112">
        <v>0.29499999999999998</v>
      </c>
      <c r="D6" s="112">
        <v>0.35499999999999998</v>
      </c>
      <c r="E6" s="112">
        <v>0.26500000000000001</v>
      </c>
      <c r="F6" s="113">
        <v>0.315</v>
      </c>
    </row>
    <row r="7" spans="1:6" ht="15.75" thickBot="1">
      <c r="A7" s="103" t="s">
        <v>65</v>
      </c>
      <c r="B7" s="104" t="s">
        <v>66</v>
      </c>
      <c r="C7" s="105">
        <v>0.15</v>
      </c>
      <c r="D7" s="105">
        <v>0.19</v>
      </c>
      <c r="E7" s="105">
        <v>0.155</v>
      </c>
      <c r="F7" s="108">
        <v>0.19</v>
      </c>
    </row>
    <row r="8" spans="1:6" ht="15.75" thickBot="1">
      <c r="A8" s="99" t="s">
        <v>67</v>
      </c>
      <c r="B8" s="100" t="s">
        <v>68</v>
      </c>
      <c r="C8" s="112">
        <v>0.32</v>
      </c>
      <c r="D8" s="112">
        <v>0.44</v>
      </c>
      <c r="E8" s="112">
        <v>0.32</v>
      </c>
      <c r="F8" s="113">
        <v>0.42</v>
      </c>
    </row>
    <row r="9" spans="1:6" ht="15.75" thickBot="1">
      <c r="A9" s="103" t="s">
        <v>69</v>
      </c>
      <c r="B9" s="104" t="s">
        <v>70</v>
      </c>
      <c r="C9" s="105">
        <v>0.32</v>
      </c>
      <c r="D9" s="105">
        <v>0.44</v>
      </c>
      <c r="E9" s="105">
        <v>0.32</v>
      </c>
      <c r="F9" s="108">
        <v>0.42</v>
      </c>
    </row>
    <row r="10" spans="1:6" ht="15.75" thickBot="1">
      <c r="A10" s="99" t="s">
        <v>71</v>
      </c>
      <c r="B10" s="100" t="s">
        <v>72</v>
      </c>
      <c r="C10" s="112">
        <v>0.24</v>
      </c>
      <c r="D10" s="112">
        <v>0.32</v>
      </c>
      <c r="E10" s="112">
        <v>0.27</v>
      </c>
      <c r="F10" s="113">
        <v>0.34</v>
      </c>
    </row>
    <row r="11" spans="1:6" ht="15.75" thickBot="1">
      <c r="A11" s="103" t="s">
        <v>73</v>
      </c>
      <c r="B11" s="104" t="s">
        <v>74</v>
      </c>
      <c r="C11" s="105">
        <v>0.32250000000000001</v>
      </c>
      <c r="D11" s="105">
        <v>0.39750000000000002</v>
      </c>
      <c r="E11" s="105">
        <v>0.32500000000000001</v>
      </c>
      <c r="F11" s="108">
        <v>0.39500000000000002</v>
      </c>
    </row>
    <row r="12" spans="1:6" ht="15.75" thickBot="1">
      <c r="A12" s="99" t="s">
        <v>75</v>
      </c>
      <c r="B12" s="100" t="s">
        <v>76</v>
      </c>
      <c r="C12" s="112">
        <v>0.215</v>
      </c>
      <c r="D12" s="112">
        <v>0.28499999999999998</v>
      </c>
      <c r="E12" s="112">
        <v>0.23499999999999999</v>
      </c>
      <c r="F12" s="113">
        <v>0.30499999999999999</v>
      </c>
    </row>
    <row r="13" spans="1:6" ht="15.75" thickBot="1">
      <c r="A13" s="103" t="s">
        <v>77</v>
      </c>
      <c r="B13" s="104" t="s">
        <v>78</v>
      </c>
      <c r="C13" s="105">
        <v>9.2499999999999999E-2</v>
      </c>
      <c r="D13" s="105">
        <v>0.1225</v>
      </c>
      <c r="E13" s="105">
        <v>0.1</v>
      </c>
      <c r="F13" s="108">
        <v>0.13</v>
      </c>
    </row>
    <row r="14" spans="1:6" ht="15.75" thickBot="1">
      <c r="A14" s="99" t="s">
        <v>79</v>
      </c>
      <c r="B14" s="100" t="s">
        <v>80</v>
      </c>
      <c r="C14" s="109">
        <v>0.11</v>
      </c>
      <c r="D14" s="109">
        <v>0.17</v>
      </c>
      <c r="E14" s="109">
        <v>0.14499999999999999</v>
      </c>
      <c r="F14" s="110">
        <v>0.19500000000000001</v>
      </c>
    </row>
    <row r="15" spans="1:6" ht="15.75" thickBot="1">
      <c r="A15" s="103" t="s">
        <v>81</v>
      </c>
      <c r="B15" s="104" t="s">
        <v>82</v>
      </c>
      <c r="C15" s="106"/>
      <c r="D15" s="106"/>
      <c r="E15" s="106"/>
      <c r="F15" s="111"/>
    </row>
    <row r="16" spans="1:6" ht="15.75" thickBot="1">
      <c r="A16" s="99" t="s">
        <v>83</v>
      </c>
      <c r="B16" s="100" t="s">
        <v>84</v>
      </c>
      <c r="C16" s="112">
        <v>0.13</v>
      </c>
      <c r="D16" s="112">
        <v>0.19</v>
      </c>
      <c r="E16" s="112">
        <v>0.185</v>
      </c>
      <c r="F16" s="113">
        <v>0.23499999999999999</v>
      </c>
    </row>
    <row r="17" spans="1:6" ht="15.75" thickBot="1">
      <c r="A17" s="103" t="s">
        <v>85</v>
      </c>
      <c r="B17" s="104" t="s">
        <v>86</v>
      </c>
      <c r="C17" s="114">
        <v>0.14749999999999999</v>
      </c>
      <c r="D17" s="114">
        <v>0.19750000000000001</v>
      </c>
      <c r="E17" s="114">
        <v>0.16</v>
      </c>
      <c r="F17" s="115">
        <v>0.21</v>
      </c>
    </row>
    <row r="18" spans="1:6" ht="15.75" thickBot="1">
      <c r="A18" s="99" t="s">
        <v>87</v>
      </c>
      <c r="B18" s="100" t="s">
        <v>88</v>
      </c>
      <c r="C18" s="116"/>
      <c r="D18" s="116"/>
      <c r="E18" s="116"/>
      <c r="F18" s="117"/>
    </row>
    <row r="19" spans="1:6" ht="15.75" thickBot="1">
      <c r="A19" s="103" t="s">
        <v>89</v>
      </c>
      <c r="B19" s="104" t="s">
        <v>90</v>
      </c>
      <c r="C19" s="106"/>
      <c r="D19" s="106"/>
      <c r="E19" s="106"/>
      <c r="F19" s="111"/>
    </row>
    <row r="20" spans="1:6" ht="15.75" thickBot="1">
      <c r="A20" s="99" t="s">
        <v>91</v>
      </c>
      <c r="B20" s="100" t="s">
        <v>92</v>
      </c>
      <c r="C20" s="109">
        <v>0.09</v>
      </c>
      <c r="D20" s="109">
        <v>0.17</v>
      </c>
      <c r="E20" s="109">
        <v>0.11</v>
      </c>
      <c r="F20" s="110">
        <v>0.19</v>
      </c>
    </row>
    <row r="21" spans="1:6" ht="15.75" thickBot="1">
      <c r="A21" s="103" t="s">
        <v>93</v>
      </c>
      <c r="B21" s="104" t="s">
        <v>94</v>
      </c>
      <c r="C21" s="106"/>
      <c r="D21" s="106"/>
      <c r="E21" s="106"/>
      <c r="F21" s="111"/>
    </row>
    <row r="22" spans="1:6" ht="15.75" thickBot="1">
      <c r="A22" s="99" t="s">
        <v>95</v>
      </c>
      <c r="B22" s="100" t="s">
        <v>96</v>
      </c>
      <c r="C22" s="112">
        <v>0.12</v>
      </c>
      <c r="D22" s="112">
        <v>0.16</v>
      </c>
      <c r="E22" s="112">
        <v>0.13500000000000001</v>
      </c>
      <c r="F22" s="113">
        <v>0.17</v>
      </c>
    </row>
    <row r="23" spans="1:6" ht="15.75" thickBot="1">
      <c r="A23" s="103" t="s">
        <v>97</v>
      </c>
      <c r="B23" s="104" t="s">
        <v>98</v>
      </c>
      <c r="C23" s="105">
        <v>0.12</v>
      </c>
      <c r="D23" s="105">
        <v>0.16</v>
      </c>
      <c r="E23" s="105">
        <v>0.13500000000000001</v>
      </c>
      <c r="F23" s="108">
        <v>0.17499999999999999</v>
      </c>
    </row>
    <row r="24" spans="1:6" ht="15.75" thickBot="1">
      <c r="A24" s="99" t="s">
        <v>39</v>
      </c>
      <c r="B24" s="100" t="s">
        <v>99</v>
      </c>
      <c r="C24" s="112">
        <v>7.7499999999999999E-2</v>
      </c>
      <c r="D24" s="112">
        <v>0.1225</v>
      </c>
      <c r="E24" s="112">
        <v>8.5000000000000006E-2</v>
      </c>
      <c r="F24" s="113">
        <v>0.125</v>
      </c>
    </row>
    <row r="25" spans="1:6" ht="15.75" thickBot="1">
      <c r="A25" s="103" t="s">
        <v>100</v>
      </c>
      <c r="B25" s="104" t="s">
        <v>101</v>
      </c>
      <c r="C25" s="105">
        <v>0.1</v>
      </c>
      <c r="D25" s="105">
        <v>0.15</v>
      </c>
      <c r="E25" s="105">
        <v>0.105</v>
      </c>
      <c r="F25" s="108">
        <v>0.155</v>
      </c>
    </row>
    <row r="26" spans="1:6" ht="15.75" thickBot="1">
      <c r="A26" s="99" t="s">
        <v>102</v>
      </c>
      <c r="B26" s="100" t="s">
        <v>103</v>
      </c>
      <c r="C26" s="109">
        <v>0.2</v>
      </c>
      <c r="D26" s="109">
        <v>0.28000000000000003</v>
      </c>
      <c r="E26" s="109">
        <v>0.2</v>
      </c>
      <c r="F26" s="110">
        <v>0.27</v>
      </c>
    </row>
    <row r="27" spans="1:6" ht="15.75" thickBot="1">
      <c r="A27" s="103" t="s">
        <v>104</v>
      </c>
      <c r="B27" s="104" t="s">
        <v>105</v>
      </c>
      <c r="C27" s="118"/>
      <c r="D27" s="118"/>
      <c r="E27" s="118"/>
      <c r="F27" s="119"/>
    </row>
    <row r="28" spans="1:6" ht="15.75" thickBot="1">
      <c r="A28" s="99" t="s">
        <v>106</v>
      </c>
      <c r="B28" s="100" t="s">
        <v>107</v>
      </c>
      <c r="C28" s="120"/>
      <c r="D28" s="120"/>
      <c r="E28" s="120"/>
      <c r="F28" s="121"/>
    </row>
    <row r="29" spans="1:6" ht="15.75" thickBot="1">
      <c r="A29" s="103" t="s">
        <v>108</v>
      </c>
      <c r="B29" s="104" t="s">
        <v>109</v>
      </c>
      <c r="C29" s="105">
        <v>0.23250000000000001</v>
      </c>
      <c r="D29" s="105">
        <v>0.28749999999999998</v>
      </c>
      <c r="E29" s="105">
        <v>0.22</v>
      </c>
      <c r="F29" s="108">
        <v>0.27</v>
      </c>
    </row>
    <row r="30" spans="1:6" ht="15.75" thickBot="1">
      <c r="A30" s="99" t="s">
        <v>110</v>
      </c>
      <c r="B30" s="100" t="s">
        <v>111</v>
      </c>
      <c r="C30" s="109">
        <v>0.19</v>
      </c>
      <c r="D30" s="109">
        <v>0.23</v>
      </c>
      <c r="E30" s="109">
        <v>0.2</v>
      </c>
      <c r="F30" s="110">
        <v>0.24</v>
      </c>
    </row>
    <row r="31" spans="1:6" ht="15.75" thickBot="1">
      <c r="A31" s="103" t="s">
        <v>112</v>
      </c>
      <c r="B31" s="104" t="s">
        <v>113</v>
      </c>
      <c r="C31" s="106"/>
      <c r="D31" s="106"/>
      <c r="E31" s="106"/>
      <c r="F31" s="111"/>
    </row>
    <row r="32" spans="1:6" ht="15.75" thickBot="1">
      <c r="A32" s="99" t="s">
        <v>114</v>
      </c>
      <c r="B32" s="100" t="s">
        <v>115</v>
      </c>
      <c r="C32" s="112">
        <v>0.3</v>
      </c>
      <c r="D32" s="112">
        <v>0.4</v>
      </c>
      <c r="E32" s="112">
        <v>0.30499999999999999</v>
      </c>
      <c r="F32" s="113">
        <v>0.39500000000000002</v>
      </c>
    </row>
    <row r="33" spans="1:6" ht="15.75" thickBot="1">
      <c r="A33" s="103" t="s">
        <v>116</v>
      </c>
      <c r="B33" s="104" t="s">
        <v>117</v>
      </c>
      <c r="C33" s="105">
        <v>0.1225</v>
      </c>
      <c r="D33" s="105">
        <v>0.16250000000000001</v>
      </c>
      <c r="E33" s="105">
        <v>0.13</v>
      </c>
      <c r="F33" s="108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45" t="s">
        <v>37</v>
      </c>
      <c r="C1" s="145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3874</v>
      </c>
      <c r="I8" s="19">
        <v>3800</v>
      </c>
      <c r="J8" s="21">
        <f ca="1">TODAY()</f>
        <v>43102</v>
      </c>
      <c r="K8" s="21">
        <f ca="1">J8+L8</f>
        <v>43132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173.55620810101345</v>
      </c>
      <c r="P8" s="25">
        <v>80</v>
      </c>
      <c r="Q8" s="24">
        <f>P8/10000*M8*H8*(-E8)</f>
        <v>2.5472876712328767</v>
      </c>
      <c r="R8" s="24">
        <f>O8+Q8</f>
        <v>176.10349577224633</v>
      </c>
      <c r="S8" s="26">
        <f>R8/H8</f>
        <v>4.5457794468829721E-2</v>
      </c>
      <c r="T8" s="24">
        <f>_xll.dnetGBlackScholesNGreeks("delta",$G8,$H8,$I8,$M8,$C$3,$C$4,$N8,$C$4)</f>
        <v>0.6085337628292109</v>
      </c>
      <c r="U8" s="24">
        <f>_xll.dnetGBlackScholesNGreeks("vega",$G8,$H8,$I8,$M8,$C$3,$C$4,$N8)</f>
        <v>4.2606518855270679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43102</v>
      </c>
      <c r="K9" s="8">
        <f ca="1">J9+L9</f>
        <v>43132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43102</v>
      </c>
      <c r="K10" s="8">
        <f ca="1">J10+L10</f>
        <v>43132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2018-01-02T08:35:40Z</dcterms:modified>
</cp:coreProperties>
</file>