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tabRatio="602" activeTab="4"/>
  </bookViews>
  <sheets>
    <sheet name="quate_van" sheetId="6" r:id="rId1"/>
    <sheet name="recap" sheetId="2" r:id="rId2"/>
    <sheet name="pricer_van" sheetId="1" r:id="rId3"/>
    <sheet name="Sheet1" sheetId="11" r:id="rId4"/>
    <sheet name="pricer_combo" sheetId="9" r:id="rId5"/>
    <sheet name="quote_sf" sheetId="10" r:id="rId6"/>
    <sheet name="ref_vol_table" sheetId="4" r:id="rId7"/>
    <sheet name="pricer_sf" sheetId="8" r:id="rId8"/>
    <sheet name="configs" sheetId="5" r:id="rId9"/>
    <sheet name="pricer_digit" sheetId="7" r:id="rId10"/>
  </sheets>
  <calcPr calcId="152511" calcMode="manual"/>
</workbook>
</file>

<file path=xl/calcChain.xml><?xml version="1.0" encoding="utf-8"?>
<calcChain xmlns="http://schemas.openxmlformats.org/spreadsheetml/2006/main">
  <c r="G58" i="1" l="1"/>
  <c r="X58" i="1" s="1"/>
  <c r="G57" i="1"/>
  <c r="G55" i="1"/>
  <c r="X55" i="1" s="1"/>
  <c r="G54" i="1"/>
  <c r="G50" i="1"/>
  <c r="G51" i="1"/>
  <c r="G52" i="1"/>
  <c r="X52" i="1" s="1"/>
  <c r="G49" i="1"/>
  <c r="R55" i="1"/>
  <c r="I55" i="1"/>
  <c r="N55" i="1" s="1"/>
  <c r="E55" i="1"/>
  <c r="F55" i="1" s="1"/>
  <c r="R58" i="1"/>
  <c r="I58" i="1"/>
  <c r="N58" i="1" s="1"/>
  <c r="E58" i="1"/>
  <c r="F58" i="1" s="1"/>
  <c r="R52" i="1"/>
  <c r="I52" i="1"/>
  <c r="N52" i="1" s="1"/>
  <c r="E52" i="1"/>
  <c r="F52" i="1" s="1"/>
  <c r="V58" i="1"/>
  <c r="U58" i="1"/>
  <c r="L55" i="1"/>
  <c r="L52" i="1"/>
  <c r="L58" i="1"/>
  <c r="O58" i="1" l="1"/>
  <c r="T58" i="1" s="1"/>
  <c r="O52" i="1"/>
  <c r="T52" i="1" s="1"/>
  <c r="O55" i="1"/>
  <c r="T55" i="1" s="1"/>
  <c r="Y58" i="1"/>
  <c r="U52" i="1"/>
  <c r="U55" i="1"/>
  <c r="V52" i="1"/>
  <c r="V55" i="1"/>
  <c r="Y55" i="1" l="1"/>
  <c r="Y52" i="1"/>
  <c r="D30" i="9" l="1"/>
  <c r="D31" i="9" s="1"/>
  <c r="D27" i="9"/>
  <c r="D28" i="9" s="1"/>
  <c r="D22" i="9"/>
  <c r="D23" i="9" s="1"/>
  <c r="D19" i="9"/>
  <c r="D20" i="9" s="1"/>
  <c r="G31" i="9"/>
  <c r="R30" i="9"/>
  <c r="J30" i="9"/>
  <c r="H30" i="9"/>
  <c r="H31" i="9" s="1"/>
  <c r="R29" i="9"/>
  <c r="I29" i="9"/>
  <c r="E29" i="9"/>
  <c r="F29" i="9" s="1"/>
  <c r="F30" i="9" s="1"/>
  <c r="F31" i="9" s="1"/>
  <c r="R27" i="9"/>
  <c r="J27" i="9"/>
  <c r="H27" i="9"/>
  <c r="I27" i="9" s="1"/>
  <c r="I28" i="9" s="1"/>
  <c r="R26" i="9"/>
  <c r="I26" i="9"/>
  <c r="E26" i="9"/>
  <c r="E27" i="9" s="1"/>
  <c r="E28" i="9" s="1"/>
  <c r="P26" i="9"/>
  <c r="P29" i="9"/>
  <c r="L29" i="9"/>
  <c r="E30" i="9" l="1"/>
  <c r="E31" i="9" s="1"/>
  <c r="O29" i="9"/>
  <c r="P30" i="9"/>
  <c r="P27" i="9"/>
  <c r="F26" i="9"/>
  <c r="F27" i="9" s="1"/>
  <c r="F28" i="9" s="1"/>
  <c r="H28" i="9"/>
  <c r="I30" i="9"/>
  <c r="I31" i="9" s="1"/>
  <c r="X63" i="1"/>
  <c r="R63" i="1"/>
  <c r="I63" i="1"/>
  <c r="E63" i="1"/>
  <c r="F63" i="1" s="1"/>
  <c r="V29" i="9"/>
  <c r="V30" i="9"/>
  <c r="U26" i="9"/>
  <c r="L30" i="9"/>
  <c r="L27" i="9"/>
  <c r="U30" i="9"/>
  <c r="V27" i="9"/>
  <c r="U29" i="9"/>
  <c r="U27" i="9"/>
  <c r="L26" i="9"/>
  <c r="L63" i="1"/>
  <c r="V26" i="9"/>
  <c r="O26" i="9" l="1"/>
  <c r="U31" i="9"/>
  <c r="U28" i="9"/>
  <c r="V28" i="9"/>
  <c r="L28" i="9"/>
  <c r="O27" i="9"/>
  <c r="L31" i="9"/>
  <c r="O30" i="9"/>
  <c r="V31" i="9"/>
  <c r="G28" i="9"/>
  <c r="P28" i="9"/>
  <c r="N28" i="9" s="1"/>
  <c r="P31" i="9"/>
  <c r="N31" i="9" s="1"/>
  <c r="N63" i="1"/>
  <c r="O63" i="1" s="1"/>
  <c r="T63" i="1" s="1"/>
  <c r="X61" i="1"/>
  <c r="R61" i="1"/>
  <c r="I61" i="1"/>
  <c r="E61" i="1"/>
  <c r="F61" i="1" s="1"/>
  <c r="X60" i="1"/>
  <c r="R60" i="1"/>
  <c r="I60" i="1"/>
  <c r="E60" i="1"/>
  <c r="F60" i="1" s="1"/>
  <c r="X57" i="1"/>
  <c r="R57" i="1"/>
  <c r="I57" i="1"/>
  <c r="E57" i="1"/>
  <c r="F57" i="1" s="1"/>
  <c r="X54" i="1"/>
  <c r="R54" i="1"/>
  <c r="I54" i="1"/>
  <c r="E54" i="1"/>
  <c r="F54" i="1" s="1"/>
  <c r="X51" i="1"/>
  <c r="R51" i="1"/>
  <c r="I51" i="1"/>
  <c r="E51" i="1"/>
  <c r="F51" i="1" s="1"/>
  <c r="X50" i="1"/>
  <c r="R50" i="1"/>
  <c r="I50" i="1"/>
  <c r="E50" i="1"/>
  <c r="F50" i="1" s="1"/>
  <c r="X49" i="1"/>
  <c r="R49" i="1"/>
  <c r="I49" i="1"/>
  <c r="E49" i="1"/>
  <c r="F49" i="1" s="1"/>
  <c r="X47" i="1"/>
  <c r="R47" i="1"/>
  <c r="I47" i="1"/>
  <c r="E47" i="1"/>
  <c r="F47" i="1" s="1"/>
  <c r="X46" i="1"/>
  <c r="R46" i="1"/>
  <c r="I46" i="1"/>
  <c r="E46" i="1"/>
  <c r="F46" i="1" s="1"/>
  <c r="X45" i="1"/>
  <c r="R45" i="1"/>
  <c r="I45" i="1"/>
  <c r="E45" i="1"/>
  <c r="F45" i="1" s="1"/>
  <c r="X44" i="1"/>
  <c r="R44" i="1"/>
  <c r="I44" i="1"/>
  <c r="E44" i="1"/>
  <c r="F44" i="1" s="1"/>
  <c r="P61" i="1"/>
  <c r="P46" i="1"/>
  <c r="P45" i="1"/>
  <c r="P44" i="1"/>
  <c r="L50" i="1"/>
  <c r="U63" i="1"/>
  <c r="P47" i="1"/>
  <c r="V63" i="1"/>
  <c r="P60" i="1"/>
  <c r="L61" i="1"/>
  <c r="L51" i="1"/>
  <c r="L54" i="1"/>
  <c r="U46" i="1"/>
  <c r="L47" i="1"/>
  <c r="L45" i="1"/>
  <c r="O28" i="9" l="1"/>
  <c r="T28" i="9" s="1"/>
  <c r="O31" i="9"/>
  <c r="T31" i="9" s="1"/>
  <c r="Y63" i="1"/>
  <c r="N60" i="1"/>
  <c r="N61" i="1"/>
  <c r="O61" i="1" s="1"/>
  <c r="T61" i="1" s="1"/>
  <c r="Z44" i="1"/>
  <c r="N57" i="1"/>
  <c r="N51" i="1"/>
  <c r="O51" i="1" s="1"/>
  <c r="T51" i="1" s="1"/>
  <c r="N54" i="1"/>
  <c r="O54" i="1" s="1"/>
  <c r="T54" i="1" s="1"/>
  <c r="N49" i="1"/>
  <c r="N50" i="1"/>
  <c r="O50" i="1" s="1"/>
  <c r="T50" i="1" s="1"/>
  <c r="Z46" i="1"/>
  <c r="Y46" i="1"/>
  <c r="N47" i="1"/>
  <c r="O47" i="1" s="1"/>
  <c r="T47" i="1" s="1"/>
  <c r="N46" i="1"/>
  <c r="N45" i="1"/>
  <c r="O45" i="1" s="1"/>
  <c r="T45" i="1" s="1"/>
  <c r="N44" i="1"/>
  <c r="L44" i="1"/>
  <c r="L57" i="1"/>
  <c r="U57" i="1"/>
  <c r="L60" i="1"/>
  <c r="V60" i="1"/>
  <c r="U54" i="1"/>
  <c r="V51" i="1"/>
  <c r="V45" i="1"/>
  <c r="V61" i="1"/>
  <c r="V47" i="1"/>
  <c r="V50" i="1"/>
  <c r="L46" i="1"/>
  <c r="U61" i="1"/>
  <c r="U49" i="1"/>
  <c r="U44" i="1"/>
  <c r="L49" i="1"/>
  <c r="U47" i="1"/>
  <c r="U45" i="1"/>
  <c r="V54" i="1"/>
  <c r="V57" i="1"/>
  <c r="V44" i="1"/>
  <c r="U60" i="1"/>
  <c r="U51" i="1"/>
  <c r="U50" i="1"/>
  <c r="V46" i="1"/>
  <c r="V49" i="1"/>
  <c r="Y54" i="1" l="1"/>
  <c r="O44" i="1"/>
  <c r="T44" i="1" s="1"/>
  <c r="O46" i="1"/>
  <c r="T46" i="1" s="1"/>
  <c r="O49" i="1"/>
  <c r="T49" i="1" s="1"/>
  <c r="Y44" i="1"/>
  <c r="Y60" i="1"/>
  <c r="O57" i="1"/>
  <c r="T57" i="1" s="1"/>
  <c r="Z50" i="1"/>
  <c r="Y50" i="1"/>
  <c r="Y61" i="1"/>
  <c r="O60" i="1"/>
  <c r="T60" i="1" s="1"/>
  <c r="Y57" i="1"/>
  <c r="Y49" i="1"/>
  <c r="Y51" i="1"/>
  <c r="Y47" i="1"/>
  <c r="Y45" i="1"/>
  <c r="V49" i="6" l="1"/>
  <c r="V50" i="6" s="1"/>
  <c r="X42" i="1"/>
  <c r="R42" i="1"/>
  <c r="I42" i="1"/>
  <c r="N42" i="1" s="1"/>
  <c r="E42" i="1"/>
  <c r="F42" i="1" s="1"/>
  <c r="X41" i="1"/>
  <c r="R41" i="1"/>
  <c r="I41" i="1"/>
  <c r="E41" i="1"/>
  <c r="F41" i="1" s="1"/>
  <c r="X40" i="1"/>
  <c r="R40" i="1"/>
  <c r="I40" i="1"/>
  <c r="E40" i="1"/>
  <c r="F40" i="1" s="1"/>
  <c r="L40" i="1"/>
  <c r="V41" i="1"/>
  <c r="L42" i="1"/>
  <c r="O42" i="1" l="1"/>
  <c r="T42" i="1" s="1"/>
  <c r="N41" i="1"/>
  <c r="N40" i="1"/>
  <c r="O40" i="1" s="1"/>
  <c r="T40" i="1" s="1"/>
  <c r="X38" i="1"/>
  <c r="R38" i="1"/>
  <c r="I38" i="1"/>
  <c r="E38" i="1"/>
  <c r="F38" i="1" s="1"/>
  <c r="E37" i="1"/>
  <c r="V40" i="1"/>
  <c r="P38" i="1"/>
  <c r="U40" i="1"/>
  <c r="P37" i="1"/>
  <c r="U42" i="1"/>
  <c r="U41" i="1"/>
  <c r="P36" i="1"/>
  <c r="V42" i="1"/>
  <c r="L41" i="1"/>
  <c r="L38" i="1"/>
  <c r="Z41" i="1" l="1"/>
  <c r="Z40" i="1"/>
  <c r="Y42" i="1"/>
  <c r="Y41" i="1"/>
  <c r="Y40" i="1"/>
  <c r="O41" i="1"/>
  <c r="T41" i="1" s="1"/>
  <c r="N38" i="1"/>
  <c r="O38" i="1" s="1"/>
  <c r="T38" i="1" s="1"/>
  <c r="D55" i="2"/>
  <c r="D53" i="2"/>
  <c r="I42" i="2"/>
  <c r="D42" i="2"/>
  <c r="R37" i="1"/>
  <c r="I37" i="1"/>
  <c r="N37" i="1" s="1"/>
  <c r="X37" i="1"/>
  <c r="F37" i="1"/>
  <c r="R36" i="1"/>
  <c r="I36" i="1"/>
  <c r="N36" i="1" s="1"/>
  <c r="X36" i="1"/>
  <c r="E36" i="1"/>
  <c r="F36" i="1" s="1"/>
  <c r="R34" i="1"/>
  <c r="I34" i="1"/>
  <c r="N34" i="1" s="1"/>
  <c r="G34" i="1"/>
  <c r="X34" i="1" s="1"/>
  <c r="E34" i="1"/>
  <c r="F34" i="1" s="1"/>
  <c r="R32" i="1"/>
  <c r="I32" i="1"/>
  <c r="N32" i="1" s="1"/>
  <c r="G32" i="1"/>
  <c r="X32" i="1" s="1"/>
  <c r="E32" i="1"/>
  <c r="F32" i="1" s="1"/>
  <c r="R31" i="1"/>
  <c r="I31" i="1"/>
  <c r="N31" i="1" s="1"/>
  <c r="G31" i="1"/>
  <c r="X31" i="1" s="1"/>
  <c r="E31" i="1"/>
  <c r="F31" i="1" s="1"/>
  <c r="R29" i="1"/>
  <c r="I29" i="1"/>
  <c r="E29" i="1"/>
  <c r="F29" i="1" s="1"/>
  <c r="R28" i="1"/>
  <c r="I28" i="1"/>
  <c r="E28" i="1"/>
  <c r="F28" i="1" s="1"/>
  <c r="P28" i="1"/>
  <c r="V37" i="1"/>
  <c r="V38" i="1"/>
  <c r="L31" i="1"/>
  <c r="L34" i="1"/>
  <c r="U31" i="1"/>
  <c r="P29" i="1"/>
  <c r="U38" i="1"/>
  <c r="V32" i="1"/>
  <c r="L36" i="1"/>
  <c r="Y38" i="1" l="1"/>
  <c r="N28" i="1"/>
  <c r="N29" i="1"/>
  <c r="O34" i="1"/>
  <c r="T34" i="1" s="1"/>
  <c r="Y31" i="1"/>
  <c r="O36" i="1"/>
  <c r="T36" i="1" s="1"/>
  <c r="O31" i="1"/>
  <c r="T31" i="1" s="1"/>
  <c r="U32" i="1"/>
  <c r="U36" i="1"/>
  <c r="L32" i="1"/>
  <c r="V28" i="1"/>
  <c r="U37" i="1"/>
  <c r="L37" i="1"/>
  <c r="V34" i="1"/>
  <c r="V31" i="1"/>
  <c r="U28" i="1"/>
  <c r="U29" i="1"/>
  <c r="U34" i="1"/>
  <c r="V36" i="1"/>
  <c r="V29" i="1"/>
  <c r="L28" i="1"/>
  <c r="L29" i="1"/>
  <c r="Y36" i="1" l="1"/>
  <c r="Y34" i="1"/>
  <c r="Z28" i="1"/>
  <c r="Y29" i="1"/>
  <c r="O29" i="1"/>
  <c r="T29" i="1" s="1"/>
  <c r="Y28" i="1"/>
  <c r="X29" i="1"/>
  <c r="X28" i="1"/>
  <c r="Y32" i="1"/>
  <c r="O32" i="1"/>
  <c r="T32" i="1" s="1"/>
  <c r="O28" i="1"/>
  <c r="T28" i="1" s="1"/>
  <c r="O37" i="1"/>
  <c r="T37" i="1" s="1"/>
  <c r="Y37" i="1"/>
  <c r="T27" i="1" l="1"/>
  <c r="U27" i="1" s="1"/>
  <c r="R25" i="1" l="1"/>
  <c r="I25" i="1"/>
  <c r="E25" i="1"/>
  <c r="F25" i="1" s="1"/>
  <c r="R23" i="1"/>
  <c r="I23" i="1"/>
  <c r="E23" i="1"/>
  <c r="F23" i="1" s="1"/>
  <c r="R21" i="1"/>
  <c r="I21" i="1"/>
  <c r="E21" i="1"/>
  <c r="F21" i="1" s="1"/>
  <c r="R20" i="1"/>
  <c r="I20" i="1"/>
  <c r="E20" i="1"/>
  <c r="F20" i="1" s="1"/>
  <c r="R19" i="1"/>
  <c r="I19" i="1"/>
  <c r="E19" i="1"/>
  <c r="F19" i="1" s="1"/>
  <c r="R18" i="1"/>
  <c r="I18" i="1"/>
  <c r="E18" i="1"/>
  <c r="F18" i="1" s="1"/>
  <c r="R16" i="1"/>
  <c r="I16" i="1"/>
  <c r="E16" i="1"/>
  <c r="F16" i="1" s="1"/>
  <c r="R14" i="1"/>
  <c r="I14" i="1"/>
  <c r="E14" i="1"/>
  <c r="F14" i="1" s="1"/>
  <c r="R13" i="1"/>
  <c r="I13" i="1"/>
  <c r="E13" i="1"/>
  <c r="F13" i="1" s="1"/>
  <c r="P21" i="1"/>
  <c r="P20" i="1"/>
  <c r="P19" i="1"/>
  <c r="G18" i="1" l="1"/>
  <c r="G13" i="1"/>
  <c r="G14" i="1"/>
  <c r="G23" i="1"/>
  <c r="G16" i="1"/>
  <c r="N18" i="1"/>
  <c r="N19" i="1"/>
  <c r="N20" i="1"/>
  <c r="N21" i="1"/>
  <c r="N13" i="1"/>
  <c r="N14" i="1"/>
  <c r="N23" i="1"/>
  <c r="N16" i="1"/>
  <c r="N25" i="1"/>
  <c r="X11" i="1"/>
  <c r="I11" i="1"/>
  <c r="U19" i="1"/>
  <c r="V14" i="1"/>
  <c r="V20" i="1"/>
  <c r="V25" i="1"/>
  <c r="U25" i="1"/>
  <c r="V13" i="1"/>
  <c r="V23" i="1"/>
  <c r="L14" i="1"/>
  <c r="U21" i="1"/>
  <c r="L18" i="1"/>
  <c r="U20" i="1"/>
  <c r="U23" i="1"/>
  <c r="U13" i="1"/>
  <c r="L16" i="1"/>
  <c r="U14" i="1"/>
  <c r="L21" i="1"/>
  <c r="L20" i="1"/>
  <c r="U16" i="1"/>
  <c r="L19" i="1"/>
  <c r="L25" i="1"/>
  <c r="V18" i="1"/>
  <c r="L23" i="1"/>
  <c r="U18" i="1"/>
  <c r="V19" i="1"/>
  <c r="V16" i="1"/>
  <c r="V21" i="1"/>
  <c r="L13" i="1"/>
  <c r="Y23" i="1" l="1"/>
  <c r="Y14" i="1"/>
  <c r="Y21" i="1"/>
  <c r="Y19" i="1"/>
  <c r="Y25" i="1"/>
  <c r="O19" i="1"/>
  <c r="T19" i="1" s="1"/>
  <c r="X23" i="1"/>
  <c r="X14" i="1"/>
  <c r="O23" i="1"/>
  <c r="T23" i="1" s="1"/>
  <c r="O25" i="1"/>
  <c r="T25" i="1" s="1"/>
  <c r="O14" i="1"/>
  <c r="T14" i="1" s="1"/>
  <c r="X21" i="1"/>
  <c r="X19" i="1"/>
  <c r="O21" i="1"/>
  <c r="T21" i="1" s="1"/>
  <c r="X25" i="1"/>
  <c r="Y13" i="1"/>
  <c r="Y18" i="1"/>
  <c r="Y20" i="1"/>
  <c r="Y16" i="1"/>
  <c r="O20" i="1"/>
  <c r="T20" i="1" s="1"/>
  <c r="O18" i="1"/>
  <c r="T18" i="1" s="1"/>
  <c r="X13" i="1"/>
  <c r="O16" i="1"/>
  <c r="T16" i="1" s="1"/>
  <c r="X18" i="1"/>
  <c r="X20" i="1"/>
  <c r="O13" i="1"/>
  <c r="T13" i="1" s="1"/>
  <c r="X16" i="1"/>
  <c r="D40" i="2"/>
  <c r="F44" i="2"/>
  <c r="R11" i="1" l="1"/>
  <c r="E11" i="1"/>
  <c r="F11" i="1" s="1"/>
  <c r="R8" i="1"/>
  <c r="I8" i="1"/>
  <c r="E8" i="1"/>
  <c r="F8" i="1" s="1"/>
  <c r="L11" i="1"/>
  <c r="P8" i="1"/>
  <c r="N8" i="1" l="1"/>
  <c r="N11" i="1"/>
  <c r="O11" i="1" s="1"/>
  <c r="T11" i="1" s="1"/>
  <c r="V11" i="1"/>
  <c r="V8" i="1"/>
  <c r="U11" i="1"/>
  <c r="L8" i="1"/>
  <c r="U8" i="1"/>
  <c r="O8" i="1" l="1"/>
  <c r="T8" i="1" s="1"/>
  <c r="Y11" i="1"/>
  <c r="F27" i="2"/>
  <c r="S40" i="2" l="1"/>
  <c r="R22" i="9" l="1"/>
  <c r="J22" i="9"/>
  <c r="H22" i="9"/>
  <c r="H23" i="9" s="1"/>
  <c r="R21" i="9"/>
  <c r="I21" i="9"/>
  <c r="E21" i="9"/>
  <c r="F21" i="9" s="1"/>
  <c r="F22" i="9" s="1"/>
  <c r="F23" i="9" s="1"/>
  <c r="R19" i="9"/>
  <c r="J19" i="9"/>
  <c r="H19" i="9"/>
  <c r="H20" i="9" s="1"/>
  <c r="R18" i="9"/>
  <c r="I18" i="9"/>
  <c r="E18" i="9"/>
  <c r="F18" i="9" s="1"/>
  <c r="F19" i="9" s="1"/>
  <c r="F20" i="9" s="1"/>
  <c r="P21" i="9"/>
  <c r="P18" i="9"/>
  <c r="E22" i="9" l="1"/>
  <c r="E23" i="9" s="1"/>
  <c r="P22" i="9"/>
  <c r="I22" i="9"/>
  <c r="I23" i="9" s="1"/>
  <c r="I19" i="9"/>
  <c r="I20" i="9" s="1"/>
  <c r="E19" i="9"/>
  <c r="E20" i="9" s="1"/>
  <c r="P19" i="9"/>
  <c r="U21" i="9"/>
  <c r="U18" i="9"/>
  <c r="L21" i="9"/>
  <c r="V19" i="9"/>
  <c r="L18" i="9"/>
  <c r="L22" i="9"/>
  <c r="V21" i="9"/>
  <c r="V22" i="9"/>
  <c r="U22" i="9"/>
  <c r="V18" i="9"/>
  <c r="U19" i="9"/>
  <c r="L19" i="9"/>
  <c r="O21" i="9" l="1"/>
  <c r="U23" i="9"/>
  <c r="L23" i="9"/>
  <c r="O22" i="9"/>
  <c r="V23" i="9"/>
  <c r="P23" i="9"/>
  <c r="N23" i="9" s="1"/>
  <c r="G23" i="9"/>
  <c r="G20" i="9"/>
  <c r="U20" i="9"/>
  <c r="V20" i="9"/>
  <c r="O18" i="9"/>
  <c r="O19" i="9"/>
  <c r="L20" i="9"/>
  <c r="P20" i="9"/>
  <c r="N20" i="9" s="1"/>
  <c r="O23" i="9" l="1"/>
  <c r="T23" i="9" s="1"/>
  <c r="O20" i="9"/>
  <c r="T20" i="9" s="1"/>
  <c r="A10" i="10" l="1"/>
  <c r="B10" i="10"/>
  <c r="E10" i="10"/>
  <c r="F10" i="10"/>
  <c r="G10" i="10"/>
  <c r="H10" i="10"/>
  <c r="J10" i="10"/>
  <c r="M10" i="10"/>
  <c r="O10" i="10"/>
  <c r="P10" i="10"/>
  <c r="A11" i="10"/>
  <c r="B11" i="10"/>
  <c r="E11" i="10"/>
  <c r="F11" i="10"/>
  <c r="G11" i="10"/>
  <c r="H11" i="10"/>
  <c r="J11" i="10"/>
  <c r="M11" i="10"/>
  <c r="O11" i="10"/>
  <c r="P11" i="10"/>
  <c r="A12" i="10"/>
  <c r="B12" i="10"/>
  <c r="E12" i="10"/>
  <c r="F12" i="10"/>
  <c r="G12" i="10"/>
  <c r="H12" i="10"/>
  <c r="J12" i="10"/>
  <c r="M12" i="10"/>
  <c r="O12" i="10"/>
  <c r="P12" i="10"/>
  <c r="A13" i="10"/>
  <c r="B13" i="10"/>
  <c r="E13" i="10"/>
  <c r="F13" i="10"/>
  <c r="G13" i="10"/>
  <c r="H13" i="10"/>
  <c r="J13" i="10"/>
  <c r="M13" i="10"/>
  <c r="O13" i="10"/>
  <c r="P13" i="10"/>
  <c r="A14" i="10"/>
  <c r="B14" i="10"/>
  <c r="E14" i="10"/>
  <c r="F14" i="10"/>
  <c r="G14" i="10"/>
  <c r="H14" i="10"/>
  <c r="J14" i="10"/>
  <c r="M14" i="10"/>
  <c r="O14" i="10"/>
  <c r="P14" i="10"/>
  <c r="A15" i="10"/>
  <c r="B15" i="10"/>
  <c r="E15" i="10"/>
  <c r="F15" i="10"/>
  <c r="G15" i="10"/>
  <c r="H15" i="10"/>
  <c r="J15" i="10"/>
  <c r="M15" i="10"/>
  <c r="O15" i="10"/>
  <c r="P15" i="10"/>
  <c r="T12" i="8"/>
  <c r="R11" i="10" s="1"/>
  <c r="T13" i="8"/>
  <c r="R12" i="10" s="1"/>
  <c r="T14" i="8"/>
  <c r="R13" i="10" s="1"/>
  <c r="T15" i="8"/>
  <c r="R14" i="10" s="1"/>
  <c r="T16" i="8"/>
  <c r="R15" i="10" s="1"/>
  <c r="T11" i="8"/>
  <c r="R10" i="10" s="1"/>
  <c r="P16" i="8" l="1"/>
  <c r="M16" i="8"/>
  <c r="E16" i="8"/>
  <c r="C15" i="10" s="1"/>
  <c r="P15" i="8"/>
  <c r="M15" i="8"/>
  <c r="E15" i="8"/>
  <c r="C14" i="10" s="1"/>
  <c r="P14" i="8"/>
  <c r="M14" i="8"/>
  <c r="E14" i="8"/>
  <c r="C13" i="10" s="1"/>
  <c r="P13" i="8"/>
  <c r="M13" i="8"/>
  <c r="E13" i="8"/>
  <c r="C12" i="10" s="1"/>
  <c r="P12" i="8"/>
  <c r="M12" i="8"/>
  <c r="E12" i="8"/>
  <c r="C11" i="10" s="1"/>
  <c r="P11" i="8"/>
  <c r="M11" i="8"/>
  <c r="E11" i="8"/>
  <c r="C10" i="10" s="1"/>
  <c r="K14" i="9"/>
  <c r="D15" i="9"/>
  <c r="D16" i="9" s="1"/>
  <c r="R15" i="9"/>
  <c r="J15" i="9"/>
  <c r="H15" i="9"/>
  <c r="H16" i="9" s="1"/>
  <c r="R14" i="9"/>
  <c r="I14" i="9"/>
  <c r="E14" i="9"/>
  <c r="F14" i="9" s="1"/>
  <c r="F15" i="9" s="1"/>
  <c r="F16" i="9" s="1"/>
  <c r="K15" i="8"/>
  <c r="K12" i="8"/>
  <c r="K13" i="8"/>
  <c r="K11" i="8"/>
  <c r="P14" i="9"/>
  <c r="K16" i="8"/>
  <c r="K14" i="8"/>
  <c r="I12" i="10" l="1"/>
  <c r="I15" i="10"/>
  <c r="I10" i="10"/>
  <c r="I11" i="10"/>
  <c r="I14" i="10"/>
  <c r="I13" i="10"/>
  <c r="U14" i="8"/>
  <c r="S13" i="10" s="1"/>
  <c r="N13" i="10"/>
  <c r="U12" i="8"/>
  <c r="S11" i="10" s="1"/>
  <c r="N11" i="10"/>
  <c r="U15" i="8"/>
  <c r="S14" i="10" s="1"/>
  <c r="N14" i="10"/>
  <c r="U13" i="8"/>
  <c r="S12" i="10" s="1"/>
  <c r="N12" i="10"/>
  <c r="U16" i="8"/>
  <c r="S15" i="10" s="1"/>
  <c r="N15" i="10"/>
  <c r="U11" i="8"/>
  <c r="S10" i="10" s="1"/>
  <c r="N10" i="10"/>
  <c r="N12" i="8"/>
  <c r="L11" i="10" s="1"/>
  <c r="K11" i="10"/>
  <c r="N15" i="8"/>
  <c r="L14" i="10" s="1"/>
  <c r="K14" i="10"/>
  <c r="N13" i="8"/>
  <c r="L12" i="10" s="1"/>
  <c r="K12" i="10"/>
  <c r="N16" i="8"/>
  <c r="L15" i="10" s="1"/>
  <c r="K15" i="10"/>
  <c r="N11" i="8"/>
  <c r="L10" i="10" s="1"/>
  <c r="K10" i="10"/>
  <c r="N14" i="8"/>
  <c r="L13" i="10" s="1"/>
  <c r="K13" i="10"/>
  <c r="E15" i="9"/>
  <c r="E16" i="9" s="1"/>
  <c r="P15" i="9"/>
  <c r="I15" i="9"/>
  <c r="I16" i="9" s="1"/>
  <c r="S14" i="8"/>
  <c r="X11" i="8"/>
  <c r="Y14" i="8"/>
  <c r="L14" i="9"/>
  <c r="S16" i="8"/>
  <c r="Y11" i="8"/>
  <c r="X15" i="8"/>
  <c r="X14" i="8"/>
  <c r="Y15" i="8"/>
  <c r="S12" i="8"/>
  <c r="Y12" i="8"/>
  <c r="V14" i="9"/>
  <c r="S11" i="8"/>
  <c r="S13" i="8"/>
  <c r="X12" i="8"/>
  <c r="S15" i="8"/>
  <c r="Y13" i="8"/>
  <c r="X13" i="8"/>
  <c r="U14" i="9"/>
  <c r="Y16" i="8"/>
  <c r="X16" i="8"/>
  <c r="Q13" i="10" l="1"/>
  <c r="Q10" i="10"/>
  <c r="Q14" i="10"/>
  <c r="Q12" i="10"/>
  <c r="Q11" i="10"/>
  <c r="Q15" i="10"/>
  <c r="V11" i="8"/>
  <c r="W11" i="8" s="1"/>
  <c r="V14" i="8"/>
  <c r="W14" i="8" s="1"/>
  <c r="V16" i="8"/>
  <c r="T15" i="10" s="1"/>
  <c r="V12" i="8"/>
  <c r="T11" i="10" s="1"/>
  <c r="V13" i="8"/>
  <c r="V15" i="8"/>
  <c r="O14" i="9"/>
  <c r="P16" i="9"/>
  <c r="N16" i="9" s="1"/>
  <c r="G16" i="9"/>
  <c r="N40" i="2"/>
  <c r="U15" i="9"/>
  <c r="L15" i="9"/>
  <c r="V15" i="9"/>
  <c r="T10" i="10" l="1"/>
  <c r="W16" i="8"/>
  <c r="T13" i="10"/>
  <c r="W12" i="8"/>
  <c r="W13" i="8"/>
  <c r="T12" i="10"/>
  <c r="W15" i="8"/>
  <c r="T14" i="10"/>
  <c r="O15" i="9"/>
  <c r="L16" i="9"/>
  <c r="O16" i="9" s="1"/>
  <c r="T16" i="9" s="1"/>
  <c r="U16" i="9"/>
  <c r="V16" i="9"/>
  <c r="D13" i="9"/>
  <c r="R12" i="9"/>
  <c r="J12" i="9"/>
  <c r="H12" i="9"/>
  <c r="H13" i="9" s="1"/>
  <c r="R11" i="9"/>
  <c r="I11" i="9"/>
  <c r="E11" i="9"/>
  <c r="E12" i="9" s="1"/>
  <c r="E13" i="9" s="1"/>
  <c r="P11" i="9"/>
  <c r="G11" i="9" l="1"/>
  <c r="P12" i="9"/>
  <c r="I12" i="9"/>
  <c r="I13" i="9" s="1"/>
  <c r="F11" i="9"/>
  <c r="F12" i="9" s="1"/>
  <c r="F13" i="9" s="1"/>
  <c r="P13" i="9" l="1"/>
  <c r="N13" i="9" s="1"/>
  <c r="I40" i="2" l="1"/>
  <c r="N10" i="1" l="1"/>
  <c r="I9" i="1" l="1"/>
  <c r="R9" i="1"/>
  <c r="E9" i="1"/>
  <c r="F9" i="1" s="1"/>
  <c r="P9" i="1"/>
  <c r="N9" i="1" l="1"/>
  <c r="U9" i="1"/>
  <c r="V9" i="1"/>
  <c r="L9" i="1"/>
  <c r="O9" i="1" l="1"/>
  <c r="T9" i="1" s="1"/>
  <c r="I26" i="2" l="1"/>
  <c r="I23" i="2"/>
  <c r="X23" i="2" l="1"/>
  <c r="S23" i="2"/>
  <c r="X26" i="2"/>
  <c r="S26" i="2"/>
  <c r="N26" i="2" l="1"/>
  <c r="N23" i="2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L9" i="9"/>
  <c r="V9" i="9"/>
  <c r="U8" i="9"/>
  <c r="L8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H8" i="8"/>
  <c r="O9" i="7"/>
  <c r="O10" i="7"/>
  <c r="H8" i="7"/>
  <c r="K9" i="8"/>
  <c r="U9" i="7"/>
  <c r="T10" i="7"/>
  <c r="U10" i="7"/>
  <c r="T9" i="7"/>
  <c r="U8" i="8" l="1"/>
  <c r="Q9" i="7"/>
  <c r="R9" i="7" s="1"/>
  <c r="S9" i="7" s="1"/>
  <c r="Q10" i="7"/>
  <c r="R10" i="7" s="1"/>
  <c r="S10" i="7" s="1"/>
  <c r="Q8" i="7"/>
  <c r="U8" i="7"/>
  <c r="O8" i="7"/>
  <c r="K8" i="8"/>
  <c r="T8" i="7"/>
  <c r="Y9" i="8"/>
  <c r="X9" i="8"/>
  <c r="S9" i="8"/>
  <c r="V9" i="8" l="1"/>
  <c r="W9" i="8" s="1"/>
  <c r="R8" i="7"/>
  <c r="S8" i="7" s="1"/>
  <c r="Y8" i="8"/>
  <c r="X8" i="8"/>
  <c r="S8" i="8"/>
  <c r="V8" i="8" l="1"/>
  <c r="W8" i="8" s="1"/>
  <c r="G12" i="9" l="1"/>
  <c r="G13" i="9" s="1"/>
  <c r="V12" i="9"/>
  <c r="V11" i="9"/>
  <c r="U11" i="9"/>
  <c r="L12" i="9"/>
  <c r="L11" i="9"/>
  <c r="U12" i="9"/>
  <c r="O11" i="9" l="1"/>
  <c r="V13" i="9"/>
  <c r="U13" i="9"/>
  <c r="L13" i="9"/>
  <c r="O13" i="9" s="1"/>
  <c r="T13" i="9" s="1"/>
  <c r="O12" i="9"/>
</calcChain>
</file>

<file path=xl/sharedStrings.xml><?xml version="1.0" encoding="utf-8"?>
<sst xmlns="http://schemas.openxmlformats.org/spreadsheetml/2006/main" count="1393" uniqueCount="275">
  <si>
    <t>日期</t>
    <phoneticPr fontId="2" type="noConversion"/>
  </si>
  <si>
    <t>利率</t>
    <phoneticPr fontId="2" type="noConversion"/>
  </si>
  <si>
    <t>交易对手</t>
    <phoneticPr fontId="2" type="noConversion"/>
  </si>
  <si>
    <t>Notes</t>
  </si>
  <si>
    <t>中信寰球</t>
    <phoneticPr fontId="2" type="noConversion"/>
  </si>
  <si>
    <t>中友信德</t>
    <phoneticPr fontId="2" type="noConversion"/>
  </si>
  <si>
    <t>杭州昊广</t>
    <phoneticPr fontId="2" type="noConversion"/>
  </si>
  <si>
    <t>执行价</t>
    <phoneticPr fontId="2" type="noConversion"/>
  </si>
  <si>
    <t>入场价</t>
    <phoneticPr fontId="2" type="noConversion"/>
  </si>
  <si>
    <t>交易日</t>
    <phoneticPr fontId="2" type="noConversion"/>
  </si>
  <si>
    <t>到期日</t>
    <phoneticPr fontId="2" type="noConversion"/>
  </si>
  <si>
    <t>天数</t>
    <phoneticPr fontId="2" type="noConversion"/>
  </si>
  <si>
    <t>天数(y)</t>
    <phoneticPr fontId="2" type="noConversion"/>
  </si>
  <si>
    <t>波动率</t>
    <phoneticPr fontId="2" type="noConversion"/>
  </si>
  <si>
    <t>成本价</t>
    <phoneticPr fontId="2" type="noConversion"/>
  </si>
  <si>
    <t>报价</t>
    <phoneticPr fontId="2" type="noConversion"/>
  </si>
  <si>
    <t xml:space="preserve">delta </t>
    <phoneticPr fontId="2" type="noConversion"/>
  </si>
  <si>
    <t>vega</t>
    <phoneticPr fontId="2" type="noConversion"/>
  </si>
  <si>
    <t>delta差分</t>
    <phoneticPr fontId="2" type="noConversion"/>
  </si>
  <si>
    <t>中金买入</t>
    <phoneticPr fontId="2" type="noConversion"/>
  </si>
  <si>
    <t>中金卖出</t>
  </si>
  <si>
    <t>中金卖出</t>
    <phoneticPr fontId="2" type="noConversion"/>
  </si>
  <si>
    <t>RB1805</t>
    <phoneticPr fontId="2" type="noConversion"/>
  </si>
  <si>
    <t>C/P</t>
    <phoneticPr fontId="2" type="noConversion"/>
  </si>
  <si>
    <t>c</t>
    <phoneticPr fontId="2" type="noConversion"/>
  </si>
  <si>
    <t>p</t>
    <phoneticPr fontId="2" type="noConversion"/>
  </si>
  <si>
    <t>加点(bp)</t>
    <phoneticPr fontId="2" type="noConversion"/>
  </si>
  <si>
    <t>c</t>
    <phoneticPr fontId="2" type="noConversion"/>
  </si>
  <si>
    <t>加点(绝对值)</t>
    <phoneticPr fontId="2" type="noConversion"/>
  </si>
  <si>
    <t>备注</t>
    <phoneticPr fontId="2" type="noConversion"/>
  </si>
  <si>
    <t>交易方向</t>
    <phoneticPr fontId="2" type="noConversion"/>
  </si>
  <si>
    <t>中金卖出</t>
    <phoneticPr fontId="2" type="noConversion"/>
  </si>
  <si>
    <t>期权标的</t>
    <phoneticPr fontId="2" type="noConversion"/>
  </si>
  <si>
    <t>报价(%)</t>
    <phoneticPr fontId="2" type="noConversion"/>
  </si>
  <si>
    <t>Recap</t>
    <phoneticPr fontId="2" type="noConversion"/>
  </si>
  <si>
    <t>深万智富</t>
    <phoneticPr fontId="2" type="noConversion"/>
  </si>
  <si>
    <t>中金公司</t>
    <phoneticPr fontId="2" type="noConversion"/>
  </si>
  <si>
    <t>期权定价_VAN</t>
    <phoneticPr fontId="2" type="noConversion"/>
  </si>
  <si>
    <t>期权定价_SF</t>
    <phoneticPr fontId="2" type="noConversion"/>
  </si>
  <si>
    <t>c</t>
  </si>
  <si>
    <t>RB1805</t>
    <phoneticPr fontId="2" type="noConversion"/>
  </si>
  <si>
    <t>中信寰球</t>
  </si>
  <si>
    <t>WM</t>
    <phoneticPr fontId="2" type="noConversion"/>
  </si>
  <si>
    <t>中投期货</t>
    <phoneticPr fontId="2" type="noConversion"/>
  </si>
  <si>
    <t>敲出价</t>
    <phoneticPr fontId="2" type="noConversion"/>
  </si>
  <si>
    <t xml:space="preserve">敲出价(adj) </t>
    <phoneticPr fontId="2" type="noConversion"/>
  </si>
  <si>
    <t>敲出收益</t>
    <phoneticPr fontId="2" type="noConversion"/>
  </si>
  <si>
    <t>Carry</t>
    <phoneticPr fontId="2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</si>
  <si>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</si>
  <si>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</si>
  <si>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</si>
  <si>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</si>
  <si>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</si>
  <si>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</si>
  <si>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</si>
  <si>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</si>
  <si>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</si>
  <si>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</si>
  <si>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</si>
  <si>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</si>
  <si>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</si>
  <si>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</si>
  <si>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</si>
  <si>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</si>
  <si>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</si>
  <si>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</si>
  <si>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</si>
  <si>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</si>
  <si>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</si>
  <si>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</si>
  <si>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</si>
  <si>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</si>
  <si>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</si>
  <si>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</si>
  <si>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</si>
  <si>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</si>
  <si>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</si>
  <si>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</si>
  <si>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</si>
  <si>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</si>
  <si>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</si>
  <si>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</si>
  <si>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</si>
  <si>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</si>
  <si>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</si>
  <si>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</si>
  <si>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</si>
  <si>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</si>
  <si>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</si>
  <si>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</si>
  <si>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</si>
  <si>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</si>
  <si>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</si>
  <si>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</si>
  <si>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</si>
  <si>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</si>
  <si>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</si>
  <si>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</si>
  <si>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</si>
  <si>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</si>
  <si>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</si>
  <si>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</si>
  <si>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</si>
  <si>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</si>
  <si>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</si>
  <si>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</si>
  <si>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</si>
  <si>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</si>
  <si>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</si>
  <si>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</si>
  <si>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</si>
  <si>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</si>
  <si>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</si>
  <si>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</si>
  <si>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</si>
  <si>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</si>
  <si>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</si>
  <si>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</si>
  <si>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2" type="noConversion"/>
  </si>
  <si>
    <t>中文版 Temp</t>
    <phoneticPr fontId="2" type="noConversion"/>
  </si>
  <si>
    <t>English Version Temp</t>
    <phoneticPr fontId="2" type="noConversion"/>
  </si>
  <si>
    <t>成交回报</t>
    <phoneticPr fontId="2" type="noConversion"/>
  </si>
  <si>
    <t>交易日：</t>
    <phoneticPr fontId="2" type="noConversion"/>
  </si>
  <si>
    <t>Trade Date:</t>
    <phoneticPr fontId="2" type="noConversion"/>
  </si>
  <si>
    <t>买方：</t>
    <phoneticPr fontId="2" type="noConversion"/>
  </si>
  <si>
    <t>XXXX</t>
    <phoneticPr fontId="2" type="noConversion"/>
  </si>
  <si>
    <t>Seller:</t>
    <phoneticPr fontId="2" type="noConversion"/>
  </si>
  <si>
    <t>卖方:</t>
    <phoneticPr fontId="2" type="noConversion"/>
  </si>
  <si>
    <t>Buyer:</t>
    <phoneticPr fontId="2" type="noConversion"/>
  </si>
  <si>
    <t>权利金总额（元）：</t>
    <phoneticPr fontId="2" type="noConversion"/>
  </si>
  <si>
    <t>Option Type:</t>
    <phoneticPr fontId="2" type="noConversion"/>
  </si>
  <si>
    <t>结构:</t>
    <phoneticPr fontId="2" type="noConversion"/>
  </si>
  <si>
    <t>看跌期权</t>
    <phoneticPr fontId="2" type="noConversion"/>
  </si>
  <si>
    <t>Commodity:</t>
    <phoneticPr fontId="2" type="noConversion"/>
  </si>
  <si>
    <t>到期日:</t>
    <phoneticPr fontId="2" type="noConversion"/>
  </si>
  <si>
    <t>Contract Month:</t>
    <phoneticPr fontId="2" type="noConversion"/>
  </si>
  <si>
    <t>期初价格:</t>
    <phoneticPr fontId="2" type="noConversion"/>
  </si>
  <si>
    <t>Quantity(t):</t>
    <phoneticPr fontId="2" type="noConversion"/>
  </si>
  <si>
    <t>行权价:</t>
    <phoneticPr fontId="2" type="noConversion"/>
  </si>
  <si>
    <t>Strike:</t>
    <phoneticPr fontId="2" type="noConversion"/>
  </si>
  <si>
    <t>权利金（每吨）：</t>
    <phoneticPr fontId="2" type="noConversion"/>
  </si>
  <si>
    <t>Price:</t>
    <phoneticPr fontId="2" type="noConversion"/>
  </si>
  <si>
    <t>标的:</t>
    <phoneticPr fontId="2" type="noConversion"/>
  </si>
  <si>
    <t>rb1801</t>
    <phoneticPr fontId="2" type="noConversion"/>
  </si>
  <si>
    <t>Premium:</t>
    <phoneticPr fontId="2" type="noConversion"/>
  </si>
  <si>
    <t>交易量（吨）：</t>
    <phoneticPr fontId="2" type="noConversion"/>
  </si>
  <si>
    <t>Expiration Date:</t>
    <phoneticPr fontId="2" type="noConversion"/>
  </si>
  <si>
    <t>结算货币:</t>
    <phoneticPr fontId="2" type="noConversion"/>
  </si>
  <si>
    <t>人民币</t>
    <phoneticPr fontId="2" type="noConversion"/>
  </si>
  <si>
    <t>Currency:</t>
    <phoneticPr fontId="2" type="noConversion"/>
  </si>
  <si>
    <t>Real Trades</t>
    <phoneticPr fontId="2" type="noConversion"/>
  </si>
  <si>
    <t>中金买入</t>
  </si>
  <si>
    <t>1st virsion</t>
    <phoneticPr fontId="2" type="noConversion"/>
  </si>
  <si>
    <t>cuo</t>
    <phoneticPr fontId="2" type="noConversion"/>
  </si>
  <si>
    <t>pdo</t>
    <phoneticPr fontId="2" type="noConversion"/>
  </si>
  <si>
    <t>v1:</t>
    <phoneticPr fontId="2" type="noConversion"/>
  </si>
  <si>
    <t>v2:</t>
    <phoneticPr fontId="2" type="noConversion"/>
  </si>
  <si>
    <t>1 add combo model; 2 modify markup algos</t>
    <phoneticPr fontId="2" type="noConversion"/>
  </si>
  <si>
    <t>期权报价表</t>
    <phoneticPr fontId="2" type="noConversion"/>
  </si>
  <si>
    <t>RB1805</t>
  </si>
  <si>
    <t>Example</t>
  </si>
  <si>
    <t>Example</t>
    <phoneticPr fontId="2" type="noConversion"/>
  </si>
  <si>
    <t>Example</t>
    <phoneticPr fontId="2" type="noConversion"/>
  </si>
  <si>
    <t>行权价1:</t>
    <phoneticPr fontId="2" type="noConversion"/>
  </si>
  <si>
    <t>行权价2:</t>
    <phoneticPr fontId="2" type="noConversion"/>
  </si>
  <si>
    <t>中文版 Temp 2</t>
    <phoneticPr fontId="2" type="noConversion"/>
  </si>
  <si>
    <t>English Version Temp 2</t>
    <phoneticPr fontId="2" type="noConversion"/>
  </si>
  <si>
    <t>Strike 1:</t>
    <phoneticPr fontId="2" type="noConversion"/>
  </si>
  <si>
    <t>Strike 2:</t>
    <phoneticPr fontId="2" type="noConversion"/>
  </si>
  <si>
    <t>厦门利青弘</t>
  </si>
  <si>
    <t>备注</t>
    <phoneticPr fontId="2" type="noConversion"/>
  </si>
  <si>
    <t>Temp1</t>
  </si>
  <si>
    <t>Temp2(per)</t>
  </si>
  <si>
    <t>Leg1</t>
  </si>
  <si>
    <t>Leg2</t>
  </si>
  <si>
    <t>Combo</t>
  </si>
  <si>
    <t>ZKHM</t>
    <phoneticPr fontId="2" type="noConversion"/>
  </si>
  <si>
    <t>ZHGJ</t>
    <phoneticPr fontId="2" type="noConversion"/>
  </si>
  <si>
    <t>TZ</t>
    <phoneticPr fontId="2" type="noConversion"/>
  </si>
  <si>
    <t>权利金总额（元）：</t>
    <phoneticPr fontId="2" type="noConversion"/>
  </si>
  <si>
    <t>起始日期</t>
    <phoneticPr fontId="2" type="noConversion"/>
  </si>
  <si>
    <t>标的</t>
    <phoneticPr fontId="2" type="noConversion"/>
  </si>
  <si>
    <t>期权价格</t>
    <phoneticPr fontId="2" type="noConversion"/>
  </si>
  <si>
    <t>起始日</t>
    <phoneticPr fontId="2" type="noConversion"/>
  </si>
  <si>
    <t>行权价</t>
    <phoneticPr fontId="2" type="noConversion"/>
  </si>
  <si>
    <t>rb1810</t>
  </si>
  <si>
    <t>中金公司</t>
    <phoneticPr fontId="2" type="noConversion"/>
  </si>
  <si>
    <t>华泰长城</t>
    <phoneticPr fontId="2" type="noConversion"/>
  </si>
  <si>
    <t>成交回报1</t>
    <phoneticPr fontId="2" type="noConversion"/>
  </si>
  <si>
    <t>成交回报2</t>
    <phoneticPr fontId="2" type="noConversion"/>
  </si>
  <si>
    <t>看跌期权</t>
    <phoneticPr fontId="2" type="noConversion"/>
  </si>
  <si>
    <t>看涨期权</t>
    <phoneticPr fontId="2" type="noConversion"/>
  </si>
  <si>
    <t>i1805</t>
    <phoneticPr fontId="2" type="noConversion"/>
  </si>
  <si>
    <t>LME20180122-CICC-MRJH-NI-SWP-4</t>
    <phoneticPr fontId="19" type="noConversion"/>
  </si>
  <si>
    <t>rb1810</t>
    <phoneticPr fontId="2" type="noConversion"/>
  </si>
  <si>
    <t>天物国际</t>
    <phoneticPr fontId="2" type="noConversion"/>
  </si>
  <si>
    <t>rb1805</t>
    <phoneticPr fontId="2" type="noConversion"/>
  </si>
  <si>
    <t>看涨期权</t>
    <phoneticPr fontId="2" type="noConversion"/>
  </si>
  <si>
    <t>权利金（每吨）：</t>
    <phoneticPr fontId="2" type="noConversion"/>
  </si>
  <si>
    <t>标的:</t>
    <phoneticPr fontId="2" type="noConversion"/>
  </si>
  <si>
    <t>交易量（吨）：</t>
    <phoneticPr fontId="2" type="noConversion"/>
  </si>
  <si>
    <t>last_trd_date</t>
    <phoneticPr fontId="8" type="noConversion"/>
  </si>
  <si>
    <t>i1809</t>
    <phoneticPr fontId="2" type="noConversion"/>
  </si>
  <si>
    <t>al1808</t>
    <phoneticPr fontId="2" type="noConversion"/>
  </si>
  <si>
    <t>中金公司</t>
  </si>
  <si>
    <t>RMB</t>
    <phoneticPr fontId="2" type="noConversion"/>
  </si>
  <si>
    <t>成交回报(平仓交易)</t>
    <phoneticPr fontId="2" type="noConversion"/>
  </si>
  <si>
    <t>RMB</t>
  </si>
  <si>
    <t xml:space="preserve">    看跌期权 </t>
    <phoneticPr fontId="2" type="noConversion"/>
  </si>
  <si>
    <t>ni1809</t>
    <phoneticPr fontId="2" type="noConversion"/>
  </si>
  <si>
    <t>al1807</t>
    <phoneticPr fontId="2" type="noConversion"/>
  </si>
  <si>
    <t>rb1810</t>
    <phoneticPr fontId="2" type="noConversion"/>
  </si>
  <si>
    <t>i1809</t>
    <phoneticPr fontId="2" type="noConversion"/>
  </si>
  <si>
    <t>ru1809</t>
    <phoneticPr fontId="2" type="noConversion"/>
  </si>
  <si>
    <t>sc1809</t>
    <phoneticPr fontId="2" type="noConversion"/>
  </si>
  <si>
    <t>i</t>
    <phoneticPr fontId="2" type="noConversion"/>
  </si>
  <si>
    <t>ru</t>
    <phoneticPr fontId="2" type="noConversion"/>
  </si>
  <si>
    <t>sc</t>
    <phoneticPr fontId="2" type="noConversion"/>
  </si>
  <si>
    <t>中信寰球</t>
    <phoneticPr fontId="2" type="noConversion"/>
  </si>
  <si>
    <t>看跌期权</t>
    <phoneticPr fontId="2" type="noConversion"/>
  </si>
  <si>
    <t>al1807</t>
    <phoneticPr fontId="2" type="noConversion"/>
  </si>
  <si>
    <t xml:space="preserve">成交回报(平仓) </t>
    <phoneticPr fontId="2" type="noConversion"/>
  </si>
  <si>
    <t>江铜国贸</t>
    <phoneticPr fontId="2" type="noConversion"/>
  </si>
  <si>
    <t>p1809</t>
  </si>
  <si>
    <t>RB1810</t>
  </si>
  <si>
    <t>RB1810</t>
    <phoneticPr fontId="2" type="noConversion"/>
  </si>
  <si>
    <t>中金公司</t>
    <phoneticPr fontId="2" type="noConversion"/>
  </si>
  <si>
    <t>看涨期权</t>
    <phoneticPr fontId="2" type="noConversion"/>
  </si>
  <si>
    <t>RMB</t>
    <phoneticPr fontId="2" type="noConversion"/>
  </si>
  <si>
    <t>cu1807</t>
  </si>
  <si>
    <t>sc1809</t>
  </si>
  <si>
    <t>sc1809</t>
    <phoneticPr fontId="2" type="noConversion"/>
  </si>
  <si>
    <t>ta809</t>
  </si>
  <si>
    <t>ta809</t>
    <phoneticPr fontId="2" type="noConversion"/>
  </si>
  <si>
    <t>zc809</t>
  </si>
  <si>
    <t>zc809</t>
    <phoneticPr fontId="2" type="noConversion"/>
  </si>
  <si>
    <t>pp1809</t>
  </si>
  <si>
    <t>pp1809</t>
    <phoneticPr fontId="2" type="noConversion"/>
  </si>
  <si>
    <t>v1809</t>
  </si>
  <si>
    <t>cu1807</t>
    <phoneticPr fontId="2" type="noConversion"/>
  </si>
  <si>
    <t>i1809</t>
  </si>
  <si>
    <t>j1809</t>
  </si>
  <si>
    <t>j1809</t>
    <phoneticPr fontId="2" type="noConversion"/>
  </si>
  <si>
    <t>成交回报 l</t>
    <phoneticPr fontId="2" type="noConversion"/>
  </si>
  <si>
    <t>成交回报 2</t>
    <phoneticPr fontId="2" type="noConversion"/>
  </si>
  <si>
    <t>ru1809</t>
  </si>
  <si>
    <t>ru1901</t>
    <phoneticPr fontId="2" type="noConversion"/>
  </si>
  <si>
    <t>cf809</t>
  </si>
  <si>
    <t>cf809</t>
    <phoneticPr fontId="2" type="noConversion"/>
  </si>
  <si>
    <t>ap901</t>
    <phoneticPr fontId="2" type="noConversion"/>
  </si>
  <si>
    <t>m1809</t>
  </si>
  <si>
    <t>m1809</t>
    <phoneticPr fontId="2" type="noConversion"/>
  </si>
  <si>
    <t>m1901</t>
  </si>
  <si>
    <t>sc1809</t>
    <phoneticPr fontId="2" type="noConversion"/>
  </si>
  <si>
    <t>p</t>
    <phoneticPr fontId="2" type="noConversion"/>
  </si>
  <si>
    <t>3000|3280</t>
  </si>
  <si>
    <t>2950|3350</t>
  </si>
  <si>
    <t>al1808</t>
  </si>
  <si>
    <t>al1808</t>
    <phoneticPr fontId="2" type="noConversion"/>
  </si>
  <si>
    <t>zn1808</t>
  </si>
  <si>
    <t>zn1808</t>
    <phoneticPr fontId="2" type="noConversion"/>
  </si>
  <si>
    <t>cu1808</t>
  </si>
  <si>
    <t>cu1808</t>
    <phoneticPr fontId="2" type="noConversion"/>
  </si>
  <si>
    <t>m1809</t>
    <phoneticPr fontId="2" type="noConversion"/>
  </si>
  <si>
    <t>cf809</t>
    <phoneticPr fontId="2" type="noConversion"/>
  </si>
  <si>
    <t>cf901</t>
  </si>
  <si>
    <t>cf901</t>
    <phoneticPr fontId="2" type="noConversion"/>
  </si>
  <si>
    <t>al</t>
    <phoneticPr fontId="2" type="noConversion"/>
  </si>
  <si>
    <t>zn</t>
    <phoneticPr fontId="2" type="noConversion"/>
  </si>
  <si>
    <t>cu</t>
    <phoneticPr fontId="2" type="noConversion"/>
  </si>
  <si>
    <t>cf</t>
    <phoneticPr fontId="2" type="noConversion"/>
  </si>
  <si>
    <t>m 1m</t>
    <phoneticPr fontId="2" type="noConversion"/>
  </si>
  <si>
    <t>m 2m</t>
    <phoneticPr fontId="2" type="noConversion"/>
  </si>
  <si>
    <t>cicc</t>
    <phoneticPr fontId="2" type="noConversion"/>
  </si>
  <si>
    <t>ht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</si>
</sst>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###,###,##0.0000"/>
    <numFmt numFmtId="177" formatCode="0.0000"/>
    <numFmt numFmtId="178" formatCode="###,###,##0"/>
    <numFmt numFmtId="179" formatCode="###,###,##0.0"/>
    <numFmt numFmtId="180" formatCode="#,##0.0_ "/>
    <numFmt numFmtId="181" formatCode="0.000000000000000_ "/>
    <numFmt numFmtId="182" formatCode="#,##0_ "/>
  </numFmts>
  <fonts count="38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2"/>
      <scheme val="minor"/>
    </font>
    <font>
      <sz val="9"/>
      <color theme="6" tint="-0.499984740745262"/>
      <name val="宋体"/>
      <family val="2"/>
      <scheme val="minor"/>
    </font>
    <font>
      <sz val="11"/>
      <color rgb="FF000000"/>
      <name val="Inherit"/>
      <family val="1"/>
    </font>
    <font>
      <sz val="11"/>
      <color theme="1"/>
      <name val="宋体"/>
      <family val="2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7" fillId="0" borderId="0"/>
    <xf numFmtId="9" fontId="37" fillId="0" borderId="0" applyFont="0" applyFill="0" applyBorder="0" applyAlignment="0" applyProtection="0"/>
  </cellStyleXfs>
  <cellXfs count="150">
    <xf numFmtId="0" fontId="0" fillId="0" borderId="0" xfId="0"/>
    <xf numFmtId="0" fontId="4" fillId="0" borderId="0" xfId="0" applyFont="1"/>
    <xf numFmtId="0" fontId="4" fillId="2" borderId="0" xfId="0" applyFont="1" applyFill="1"/>
    <xf numFmtId="0" fontId="6" fillId="0" borderId="0" xfId="0" applyFont="1" applyBorder="1"/>
    <xf numFmtId="14" fontId="5" fillId="0" borderId="0" xfId="0" applyNumberFormat="1" applyFont="1" applyBorder="1"/>
    <xf numFmtId="0" fontId="6" fillId="0" borderId="1" xfId="0" applyFont="1" applyBorder="1"/>
    <xf numFmtId="0" fontId="6" fillId="6" borderId="0" xfId="0" applyFont="1" applyFill="1"/>
    <xf numFmtId="0" fontId="6" fillId="6" borderId="1" xfId="0" applyFont="1" applyFill="1" applyBorder="1"/>
    <xf numFmtId="14" fontId="6" fillId="5" borderId="2" xfId="0" applyNumberFormat="1" applyFont="1" applyFill="1" applyBorder="1"/>
    <xf numFmtId="0" fontId="6" fillId="4" borderId="2" xfId="0" applyFont="1" applyFill="1" applyBorder="1"/>
    <xf numFmtId="0" fontId="6" fillId="9" borderId="2" xfId="0" applyFont="1" applyFill="1" applyBorder="1"/>
    <xf numFmtId="178" fontId="6" fillId="9" borderId="2" xfId="0" applyNumberFormat="1" applyFont="1" applyFill="1" applyBorder="1"/>
    <xf numFmtId="177" fontId="6" fillId="9" borderId="2" xfId="0" applyNumberFormat="1" applyFont="1" applyFill="1" applyBorder="1"/>
    <xf numFmtId="2" fontId="6" fillId="9" borderId="2" xfId="0" applyNumberFormat="1" applyFont="1" applyFill="1" applyBorder="1"/>
    <xf numFmtId="10" fontId="6" fillId="9" borderId="2" xfId="1" applyNumberFormat="1" applyFont="1" applyFill="1" applyBorder="1" applyAlignment="1"/>
    <xf numFmtId="0" fontId="6" fillId="8" borderId="2" xfId="0" applyFont="1" applyFill="1" applyBorder="1"/>
    <xf numFmtId="0" fontId="8" fillId="11" borderId="0" xfId="0" applyFont="1" applyFill="1"/>
    <xf numFmtId="0" fontId="6" fillId="7" borderId="1" xfId="0" applyFont="1" applyFill="1" applyBorder="1"/>
    <xf numFmtId="0" fontId="6" fillId="3" borderId="1" xfId="0" applyFont="1" applyFill="1" applyBorder="1"/>
    <xf numFmtId="0" fontId="6" fillId="9" borderId="6" xfId="0" applyFont="1" applyFill="1" applyBorder="1"/>
    <xf numFmtId="176" fontId="6" fillId="9" borderId="6" xfId="0" applyNumberFormat="1" applyFont="1" applyFill="1" applyBorder="1"/>
    <xf numFmtId="14" fontId="6" fillId="5" borderId="6" xfId="0" applyNumberFormat="1" applyFont="1" applyFill="1" applyBorder="1"/>
    <xf numFmtId="177" fontId="6" fillId="9" borderId="6" xfId="0" applyNumberFormat="1" applyFont="1" applyFill="1" applyBorder="1"/>
    <xf numFmtId="0" fontId="6" fillId="4" borderId="6" xfId="0" applyFont="1" applyFill="1" applyBorder="1"/>
    <xf numFmtId="2" fontId="6" fillId="9" borderId="6" xfId="0" applyNumberFormat="1" applyFont="1" applyFill="1" applyBorder="1"/>
    <xf numFmtId="0" fontId="6" fillId="8" borderId="6" xfId="0" applyFont="1" applyFill="1" applyBorder="1"/>
    <xf numFmtId="10" fontId="6" fillId="9" borderId="6" xfId="1" applyNumberFormat="1" applyFont="1" applyFill="1" applyBorder="1" applyAlignment="1"/>
    <xf numFmtId="0" fontId="5" fillId="6" borderId="0" xfId="0" applyFont="1" applyFill="1"/>
    <xf numFmtId="0" fontId="6" fillId="6" borderId="2" xfId="0" applyFont="1" applyFill="1" applyBorder="1"/>
    <xf numFmtId="0" fontId="5" fillId="0" borderId="0" xfId="0" applyFont="1" applyBorder="1"/>
    <xf numFmtId="0" fontId="5" fillId="0" borderId="1" xfId="0" applyFont="1" applyBorder="1"/>
    <xf numFmtId="0" fontId="5" fillId="6" borderId="1" xfId="0" applyFont="1" applyFill="1" applyBorder="1"/>
    <xf numFmtId="0" fontId="0" fillId="5" borderId="0" xfId="0" applyFill="1"/>
    <xf numFmtId="0" fontId="6" fillId="7" borderId="2" xfId="0" applyFont="1" applyFill="1" applyBorder="1" applyAlignment="1">
      <alignment horizontal="center"/>
    </xf>
    <xf numFmtId="0" fontId="11" fillId="6" borderId="0" xfId="0" applyFont="1" applyFill="1"/>
    <xf numFmtId="0" fontId="12" fillId="6" borderId="0" xfId="0" applyFont="1" applyFill="1"/>
    <xf numFmtId="9" fontId="6" fillId="9" borderId="6" xfId="1" applyFont="1" applyFill="1" applyBorder="1" applyAlignment="1"/>
    <xf numFmtId="9" fontId="6" fillId="9" borderId="2" xfId="1" applyFont="1" applyFill="1" applyBorder="1" applyAlignment="1"/>
    <xf numFmtId="14" fontId="6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3" fillId="7" borderId="1" xfId="0" applyFont="1" applyFill="1" applyBorder="1"/>
    <xf numFmtId="0" fontId="14" fillId="6" borderId="0" xfId="0" applyFont="1" applyFill="1"/>
    <xf numFmtId="2" fontId="13" fillId="9" borderId="6" xfId="0" applyNumberFormat="1" applyFont="1" applyFill="1" applyBorder="1"/>
    <xf numFmtId="0" fontId="13" fillId="9" borderId="6" xfId="0" applyFont="1" applyFill="1" applyBorder="1"/>
    <xf numFmtId="176" fontId="13" fillId="9" borderId="6" xfId="0" applyNumberFormat="1" applyFont="1" applyFill="1" applyBorder="1"/>
    <xf numFmtId="14" fontId="13" fillId="5" borderId="6" xfId="0" applyNumberFormat="1" applyFont="1" applyFill="1" applyBorder="1"/>
    <xf numFmtId="177" fontId="13" fillId="9" borderId="6" xfId="0" applyNumberFormat="1" applyFont="1" applyFill="1" applyBorder="1"/>
    <xf numFmtId="0" fontId="13" fillId="4" borderId="6" xfId="0" applyFont="1" applyFill="1" applyBorder="1"/>
    <xf numFmtId="0" fontId="13" fillId="8" borderId="6" xfId="0" applyFont="1" applyFill="1" applyBorder="1"/>
    <xf numFmtId="10" fontId="13" fillId="9" borderId="6" xfId="1" applyNumberFormat="1" applyFont="1" applyFill="1" applyBorder="1" applyAlignment="1"/>
    <xf numFmtId="2" fontId="13" fillId="9" borderId="2" xfId="0" applyNumberFormat="1" applyFont="1" applyFill="1" applyBorder="1"/>
    <xf numFmtId="0" fontId="13" fillId="9" borderId="2" xfId="0" applyFont="1" applyFill="1" applyBorder="1"/>
    <xf numFmtId="178" fontId="13" fillId="9" borderId="2" xfId="0" applyNumberFormat="1" applyFont="1" applyFill="1" applyBorder="1"/>
    <xf numFmtId="14" fontId="13" fillId="5" borderId="2" xfId="0" applyNumberFormat="1" applyFont="1" applyFill="1" applyBorder="1"/>
    <xf numFmtId="177" fontId="13" fillId="9" borderId="2" xfId="0" applyNumberFormat="1" applyFont="1" applyFill="1" applyBorder="1"/>
    <xf numFmtId="0" fontId="13" fillId="4" borderId="2" xfId="0" applyFont="1" applyFill="1" applyBorder="1"/>
    <xf numFmtId="0" fontId="13" fillId="8" borderId="2" xfId="0" applyFont="1" applyFill="1" applyBorder="1"/>
    <xf numFmtId="10" fontId="13" fillId="9" borderId="2" xfId="1" applyNumberFormat="1" applyFont="1" applyFill="1" applyBorder="1" applyAlignment="1"/>
    <xf numFmtId="2" fontId="13" fillId="12" borderId="2" xfId="0" applyNumberFormat="1" applyFont="1" applyFill="1" applyBorder="1"/>
    <xf numFmtId="0" fontId="13" fillId="12" borderId="2" xfId="0" applyFont="1" applyFill="1" applyBorder="1"/>
    <xf numFmtId="178" fontId="13" fillId="12" borderId="2" xfId="0" applyNumberFormat="1" applyFont="1" applyFill="1" applyBorder="1"/>
    <xf numFmtId="14" fontId="13" fillId="12" borderId="2" xfId="0" applyNumberFormat="1" applyFont="1" applyFill="1" applyBorder="1"/>
    <xf numFmtId="177" fontId="13" fillId="12" borderId="2" xfId="0" applyNumberFormat="1" applyFont="1" applyFill="1" applyBorder="1"/>
    <xf numFmtId="10" fontId="13" fillId="12" borderId="2" xfId="1" applyNumberFormat="1" applyFont="1" applyFill="1" applyBorder="1" applyAlignment="1"/>
    <xf numFmtId="14" fontId="16" fillId="13" borderId="9" xfId="0" applyNumberFormat="1" applyFont="1" applyFill="1" applyBorder="1" applyAlignment="1">
      <alignment horizontal="right" vertical="center" wrapText="1"/>
    </xf>
    <xf numFmtId="0" fontId="17" fillId="13" borderId="9" xfId="0" applyFont="1" applyFill="1" applyBorder="1" applyAlignment="1">
      <alignment vertical="center" wrapText="1"/>
    </xf>
    <xf numFmtId="0" fontId="16" fillId="13" borderId="9" xfId="0" applyFont="1" applyFill="1" applyBorder="1" applyAlignment="1">
      <alignment vertical="center" wrapText="1"/>
    </xf>
    <xf numFmtId="0" fontId="17" fillId="13" borderId="10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9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18" fillId="0" borderId="11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10" fontId="18" fillId="0" borderId="11" xfId="0" applyNumberFormat="1" applyFont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10" fontId="18" fillId="0" borderId="12" xfId="0" applyNumberFormat="1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horizontal="right" vertical="center" wrapText="1"/>
    </xf>
    <xf numFmtId="0" fontId="20" fillId="14" borderId="12" xfId="0" applyFont="1" applyFill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10" fontId="18" fillId="14" borderId="11" xfId="0" applyNumberFormat="1" applyFont="1" applyFill="1" applyBorder="1" applyAlignment="1">
      <alignment horizontal="right" vertical="center" wrapText="1"/>
    </xf>
    <xf numFmtId="10" fontId="18" fillId="14" borderId="12" xfId="0" applyNumberFormat="1" applyFont="1" applyFill="1" applyBorder="1" applyAlignment="1">
      <alignment horizontal="right" vertical="center" wrapText="1"/>
    </xf>
    <xf numFmtId="0" fontId="20" fillId="0" borderId="11" xfId="0" applyFont="1" applyBorder="1" applyAlignment="1">
      <alignment horizontal="right" vertical="center" wrapText="1"/>
    </xf>
    <xf numFmtId="0" fontId="20" fillId="0" borderId="12" xfId="0" applyFont="1" applyBorder="1" applyAlignment="1">
      <alignment horizontal="right" vertical="center" wrapText="1"/>
    </xf>
    <xf numFmtId="0" fontId="21" fillId="14" borderId="11" xfId="0" applyFont="1" applyFill="1" applyBorder="1" applyAlignment="1">
      <alignment vertical="center" wrapText="1"/>
    </xf>
    <xf numFmtId="0" fontId="21" fillId="14" borderId="12" xfId="0" applyFont="1" applyFill="1" applyBorder="1" applyAlignment="1">
      <alignment vertical="center" wrapText="1"/>
    </xf>
    <xf numFmtId="0" fontId="21" fillId="0" borderId="11" xfId="0" applyFont="1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14" fontId="6" fillId="9" borderId="0" xfId="0" applyNumberFormat="1" applyFont="1" applyFill="1" applyAlignment="1">
      <alignment horizontal="center"/>
    </xf>
    <xf numFmtId="179" fontId="13" fillId="9" borderId="2" xfId="0" applyNumberFormat="1" applyFont="1" applyFill="1" applyBorder="1"/>
    <xf numFmtId="0" fontId="6" fillId="6" borderId="0" xfId="0" applyFont="1" applyFill="1" applyBorder="1"/>
    <xf numFmtId="0" fontId="15" fillId="6" borderId="15" xfId="0" applyFont="1" applyFill="1" applyBorder="1"/>
    <xf numFmtId="0" fontId="15" fillId="6" borderId="13" xfId="0" applyFont="1" applyFill="1" applyBorder="1"/>
    <xf numFmtId="0" fontId="6" fillId="6" borderId="14" xfId="0" applyFont="1" applyFill="1" applyBorder="1"/>
    <xf numFmtId="2" fontId="6" fillId="9" borderId="0" xfId="0" applyNumberFormat="1" applyFont="1" applyFill="1" applyAlignment="1">
      <alignment horizontal="center"/>
    </xf>
    <xf numFmtId="0" fontId="23" fillId="6" borderId="0" xfId="0" applyFont="1" applyFill="1"/>
    <xf numFmtId="0" fontId="27" fillId="10" borderId="0" xfId="0" applyFont="1" applyFill="1" applyBorder="1" applyAlignment="1">
      <alignment horizontal="left"/>
    </xf>
    <xf numFmtId="0" fontId="26" fillId="10" borderId="0" xfId="0" applyFont="1" applyFill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0" fontId="28" fillId="10" borderId="0" xfId="0" applyFont="1" applyFill="1" applyBorder="1" applyAlignment="1">
      <alignment horizontal="left" vertical="center"/>
    </xf>
    <xf numFmtId="0" fontId="29" fillId="10" borderId="3" xfId="0" applyFont="1" applyFill="1" applyBorder="1" applyAlignment="1">
      <alignment horizontal="right" vertical="center"/>
    </xf>
    <xf numFmtId="0" fontId="29" fillId="10" borderId="0" xfId="0" applyFont="1" applyFill="1" applyBorder="1" applyAlignment="1">
      <alignment horizontal="right" vertical="center"/>
    </xf>
    <xf numFmtId="0" fontId="30" fillId="6" borderId="0" xfId="0" applyFont="1" applyFill="1"/>
    <xf numFmtId="0" fontId="23" fillId="6" borderId="1" xfId="0" applyFont="1" applyFill="1" applyBorder="1"/>
    <xf numFmtId="179" fontId="13" fillId="9" borderId="6" xfId="0" applyNumberFormat="1" applyFont="1" applyFill="1" applyBorder="1"/>
    <xf numFmtId="179" fontId="13" fillId="12" borderId="2" xfId="0" applyNumberFormat="1" applyFont="1" applyFill="1" applyBorder="1"/>
    <xf numFmtId="0" fontId="7" fillId="6" borderId="0" xfId="0" applyFont="1" applyFill="1"/>
    <xf numFmtId="180" fontId="13" fillId="9" borderId="6" xfId="0" applyNumberFormat="1" applyFont="1" applyFill="1" applyBorder="1"/>
    <xf numFmtId="178" fontId="6" fillId="6" borderId="0" xfId="0" applyNumberFormat="1" applyFont="1" applyFill="1"/>
    <xf numFmtId="179" fontId="6" fillId="6" borderId="0" xfId="0" applyNumberFormat="1" applyFont="1" applyFill="1"/>
    <xf numFmtId="0" fontId="34" fillId="4" borderId="2" xfId="0" applyFont="1" applyFill="1" applyBorder="1"/>
    <xf numFmtId="0" fontId="35" fillId="4" borderId="2" xfId="0" applyFont="1" applyFill="1" applyBorder="1"/>
    <xf numFmtId="10" fontId="6" fillId="6" borderId="0" xfId="0" applyNumberFormat="1" applyFont="1" applyFill="1"/>
    <xf numFmtId="181" fontId="6" fillId="6" borderId="0" xfId="0" applyNumberFormat="1" applyFont="1" applyFill="1"/>
    <xf numFmtId="0" fontId="36" fillId="0" borderId="0" xfId="0" applyFont="1" applyAlignment="1">
      <alignment horizontal="left" vertical="center"/>
    </xf>
    <xf numFmtId="182" fontId="13" fillId="9" borderId="6" xfId="0" applyNumberFormat="1" applyFont="1" applyFill="1" applyBorder="1"/>
    <xf numFmtId="182" fontId="13" fillId="9" borderId="2" xfId="0" applyNumberFormat="1" applyFont="1" applyFill="1" applyBorder="1"/>
    <xf numFmtId="0" fontId="9" fillId="0" borderId="4" xfId="0" applyFont="1" applyBorder="1" applyAlignment="1">
      <alignment horizontal="center"/>
    </xf>
    <xf numFmtId="0" fontId="32" fillId="10" borderId="0" xfId="0" applyFont="1" applyFill="1" applyBorder="1" applyAlignment="1">
      <alignment horizontal="lef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0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left" vertical="center"/>
    </xf>
    <xf numFmtId="0" fontId="33" fillId="10" borderId="5" xfId="0" applyFont="1" applyFill="1" applyBorder="1" applyAlignment="1">
      <alignment horizontal="right" vertical="center"/>
    </xf>
    <xf numFmtId="0" fontId="33" fillId="10" borderId="1" xfId="0" applyFont="1" applyFill="1" applyBorder="1" applyAlignment="1">
      <alignment horizontal="right" vertical="center"/>
    </xf>
    <xf numFmtId="14" fontId="33" fillId="10" borderId="3" xfId="0" applyNumberFormat="1" applyFont="1" applyFill="1" applyBorder="1" applyAlignment="1">
      <alignment horizontal="right" vertical="center"/>
    </xf>
    <xf numFmtId="0" fontId="32" fillId="10" borderId="16" xfId="0" applyFont="1" applyFill="1" applyBorder="1" applyAlignment="1">
      <alignment horizontal="left" vertical="center"/>
    </xf>
    <xf numFmtId="0" fontId="31" fillId="10" borderId="1" xfId="0" applyFont="1" applyFill="1" applyBorder="1" applyAlignment="1">
      <alignment horizontal="center"/>
    </xf>
    <xf numFmtId="14" fontId="33" fillId="10" borderId="0" xfId="0" applyNumberFormat="1" applyFont="1" applyFill="1" applyBorder="1" applyAlignment="1">
      <alignment horizontal="right" vertical="center"/>
    </xf>
    <xf numFmtId="0" fontId="26" fillId="10" borderId="1" xfId="0" applyFont="1" applyFill="1" applyBorder="1" applyAlignment="1">
      <alignment horizontal="center"/>
    </xf>
    <xf numFmtId="0" fontId="28" fillId="10" borderId="1" xfId="0" applyFont="1" applyFill="1" applyBorder="1" applyAlignment="1">
      <alignment horizontal="left" vertical="center"/>
    </xf>
    <xf numFmtId="0" fontId="29" fillId="10" borderId="5" xfId="0" applyFont="1" applyFill="1" applyBorder="1" applyAlignment="1">
      <alignment horizontal="right" vertical="center"/>
    </xf>
    <xf numFmtId="0" fontId="29" fillId="10" borderId="1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left" vertical="center"/>
    </xf>
    <xf numFmtId="0" fontId="29" fillId="10" borderId="3" xfId="0" applyFont="1" applyFill="1" applyBorder="1" applyAlignment="1">
      <alignment horizontal="right" vertical="center"/>
    </xf>
    <xf numFmtId="0" fontId="29" fillId="10" borderId="0" xfId="0" applyFont="1" applyFill="1" applyBorder="1" applyAlignment="1">
      <alignment horizontal="right" vertical="center"/>
    </xf>
    <xf numFmtId="0" fontId="25" fillId="6" borderId="1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6" borderId="0" xfId="0" applyFont="1" applyFill="1" applyAlignment="1">
      <alignment horizontal="center"/>
    </xf>
  </cellXfs>
  <cellStyles count="5">
    <cellStyle name="百分比" xfId="1" builtinId="5"/>
    <cellStyle name="百分比 2" xfId="4"/>
    <cellStyle name="常规" xfId="0" builtinId="0"/>
    <cellStyle name="常规 2" xfId="3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11680</v>
        <stp/>
        <stp>ru1809</stp>
        <stp>LastPrice</stp>
        <tr r="P36" s="1"/>
        <tr r="P37" s="1"/>
      </tp>
      <tp>
        <v>13605</v>
        <stp/>
        <stp>ru1901</stp>
        <stp>LastPrice</stp>
        <tr r="P38" s="1"/>
      </tp>
      <tp>
        <v>471.2</v>
        <stp/>
        <stp>sc1809</stp>
        <stp>LastPrice</stp>
        <tr r="P60" s="1"/>
        <tr r="P61" s="1"/>
      </tp>
      <tp>
        <v>14735</v>
        <stp/>
        <stp>al1808</stp>
        <stp>LastPrice</stp>
        <tr r="P9" s="1"/>
        <tr r="P8" s="1"/>
      </tp>
      <tp>
        <v>482.5</v>
        <stp/>
        <stp>i1809</stp>
        <stp>LastPrice</stp>
        <tr r="P11" s="9"/>
        <tr r="P29" s="1"/>
        <tr r="P28" s="1"/>
      </tp>
      <tp>
        <v>8887</v>
        <stp/>
        <stp>ap901</stp>
        <stp>LastPrice</stp>
        <tr r="P47" s="1"/>
        <tr r="P44" s="1"/>
        <tr r="P45" s="1"/>
        <tr r="P46" s="1"/>
      </tp>
      <tp>
        <v>3074</v>
        <stp/>
        <stp>m1809</stp>
        <stp>LastPrice</stp>
        <tr r="P18" s="9"/>
        <tr r="P21" s="9"/>
        <tr r="P29" s="9"/>
        <tr r="P26" s="9"/>
      </tp>
      <tp>
        <v>3675</v>
        <stp/>
        <stp>rb1810</stp>
        <stp>LastPrice</stp>
        <tr r="P14" s="9"/>
        <tr r="P19" s="1"/>
        <tr r="P20" s="1"/>
        <tr r="P21" s="1"/>
      </tp>
      <tp>
        <v>3900</v>
        <stp/>
        <stp>RB1805</stp>
        <stp>LastPrice</stp>
        <tr r="H8" s="7"/>
        <tr r="H8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V104"/>
  <sheetViews>
    <sheetView topLeftCell="A68" zoomScaleNormal="100" workbookViewId="0">
      <selection activeCell="W96" sqref="W96"/>
    </sheetView>
  </sheetViews>
  <sheetFormatPr defaultColWidth="9" defaultRowHeight="11.2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8.875" style="6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.375" style="6" hidden="1" customWidth="1"/>
    <col min="14" max="14" width="9.75" style="6" bestFit="1" customWidth="1"/>
    <col min="15" max="15" width="6" style="6" bestFit="1" customWidth="1"/>
    <col min="16" max="16" width="3.75" style="6" bestFit="1" customWidth="1"/>
    <col min="17" max="17" width="3" style="6" hidden="1" customWidth="1"/>
    <col min="18" max="18" width="7.5" style="6" bestFit="1" customWidth="1"/>
    <col min="19" max="16384" width="9" style="6"/>
  </cols>
  <sheetData>
    <row r="1" spans="2:18" ht="14.25" customHeight="1" thickBot="1">
      <c r="B1" s="123" t="s">
        <v>158</v>
      </c>
      <c r="C1" s="123"/>
      <c r="D1" s="123"/>
    </row>
    <row r="2" spans="2:18" ht="12" thickTop="1"/>
    <row r="3" spans="2:18" ht="13.5">
      <c r="I3" s="112" t="s">
        <v>201</v>
      </c>
    </row>
    <row r="5" spans="2:18">
      <c r="B5" s="91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>
      <c r="B6" s="92" t="s">
        <v>160</v>
      </c>
      <c r="C6" s="92" t="s">
        <v>159</v>
      </c>
      <c r="D6" s="93">
        <v>43105</v>
      </c>
      <c r="E6" s="93">
        <v>43135</v>
      </c>
      <c r="F6" s="92">
        <v>3800</v>
      </c>
      <c r="G6" s="92">
        <v>30</v>
      </c>
      <c r="H6" s="92">
        <v>8.2191780821917804E-2</v>
      </c>
      <c r="I6" s="92">
        <v>0</v>
      </c>
      <c r="J6" s="92">
        <v>0.3</v>
      </c>
      <c r="K6" s="92" t="e">
        <v>#VALUE!</v>
      </c>
      <c r="L6" s="92">
        <v>80</v>
      </c>
      <c r="M6" s="92" t="e">
        <v>#N/A</v>
      </c>
      <c r="N6" s="92" t="e">
        <v>#VALUE!</v>
      </c>
      <c r="O6" s="92" t="e">
        <v>#N/A</v>
      </c>
      <c r="P6" s="92" t="s">
        <v>39</v>
      </c>
      <c r="Q6" s="92">
        <v>-1</v>
      </c>
      <c r="R6" s="92" t="s">
        <v>20</v>
      </c>
    </row>
    <row r="7" spans="2:18">
      <c r="B7" s="92" t="s">
        <v>160</v>
      </c>
      <c r="C7" s="92" t="s">
        <v>159</v>
      </c>
      <c r="D7" s="93">
        <v>43105</v>
      </c>
      <c r="E7" s="93">
        <v>43470</v>
      </c>
      <c r="F7" s="92">
        <v>100</v>
      </c>
      <c r="G7" s="92">
        <v>365</v>
      </c>
      <c r="H7" s="92">
        <v>1</v>
      </c>
      <c r="I7" s="92">
        <v>0</v>
      </c>
      <c r="J7" s="92">
        <v>0.18</v>
      </c>
      <c r="K7" s="92">
        <v>7.0292776883103798</v>
      </c>
      <c r="L7" s="92">
        <v>80</v>
      </c>
      <c r="M7" s="92">
        <v>0.8</v>
      </c>
      <c r="N7" s="92">
        <v>6.22927768831038</v>
      </c>
      <c r="O7" s="92">
        <v>100</v>
      </c>
      <c r="P7" s="92" t="s">
        <v>39</v>
      </c>
      <c r="Q7" s="92">
        <v>1</v>
      </c>
      <c r="R7" s="92" t="s">
        <v>151</v>
      </c>
    </row>
    <row r="8" spans="2:18">
      <c r="B8" s="91" t="s">
        <v>2</v>
      </c>
      <c r="C8" s="33" t="s">
        <v>181</v>
      </c>
      <c r="D8" s="33" t="s">
        <v>180</v>
      </c>
      <c r="E8" s="33" t="s">
        <v>10</v>
      </c>
      <c r="F8" s="33" t="s">
        <v>184</v>
      </c>
      <c r="G8" s="33" t="s">
        <v>11</v>
      </c>
      <c r="H8" s="33" t="s">
        <v>12</v>
      </c>
      <c r="I8" s="33" t="s">
        <v>47</v>
      </c>
      <c r="J8" s="33" t="s">
        <v>13</v>
      </c>
      <c r="K8" s="33" t="s">
        <v>14</v>
      </c>
      <c r="L8" s="33" t="s">
        <v>26</v>
      </c>
      <c r="M8" s="33" t="s">
        <v>28</v>
      </c>
      <c r="N8" s="33" t="s">
        <v>182</v>
      </c>
      <c r="O8" s="33" t="s">
        <v>8</v>
      </c>
      <c r="P8" s="33" t="s">
        <v>23</v>
      </c>
      <c r="Q8" s="33"/>
      <c r="R8" s="33" t="s">
        <v>30</v>
      </c>
    </row>
    <row r="9" spans="2:18">
      <c r="B9" s="92" t="s">
        <v>160</v>
      </c>
      <c r="C9" s="92" t="s">
        <v>185</v>
      </c>
      <c r="D9" s="93">
        <v>43215</v>
      </c>
      <c r="E9" s="93">
        <v>43245</v>
      </c>
      <c r="F9" s="92">
        <v>3400</v>
      </c>
      <c r="G9" s="92">
        <v>30</v>
      </c>
      <c r="H9" s="92">
        <v>7.6712328767123292E-2</v>
      </c>
      <c r="I9" s="92">
        <v>0</v>
      </c>
      <c r="J9" s="92">
        <v>0.20499999999999999</v>
      </c>
      <c r="K9" s="92">
        <v>24.313302977530157</v>
      </c>
      <c r="L9" s="92">
        <v>0</v>
      </c>
      <c r="M9" s="92">
        <v>0</v>
      </c>
      <c r="N9" s="99">
        <v>24.313302977530157</v>
      </c>
      <c r="O9" s="92">
        <v>3555</v>
      </c>
      <c r="P9" s="92" t="s">
        <v>85</v>
      </c>
      <c r="Q9" s="92">
        <v>1</v>
      </c>
      <c r="R9" s="92" t="s">
        <v>151</v>
      </c>
    </row>
    <row r="10" spans="2:18">
      <c r="B10" s="92" t="s">
        <v>160</v>
      </c>
      <c r="C10" s="92" t="s">
        <v>185</v>
      </c>
      <c r="D10" s="93">
        <v>43215</v>
      </c>
      <c r="E10" s="93">
        <v>43245</v>
      </c>
      <c r="F10" s="92">
        <v>3350</v>
      </c>
      <c r="G10" s="92">
        <v>30</v>
      </c>
      <c r="H10" s="92">
        <v>7.6712328767123292E-2</v>
      </c>
      <c r="I10" s="92">
        <v>0</v>
      </c>
      <c r="J10" s="92">
        <v>0.2</v>
      </c>
      <c r="K10" s="92">
        <v>13.829456332751647</v>
      </c>
      <c r="L10" s="92">
        <v>0</v>
      </c>
      <c r="M10" s="92">
        <v>0</v>
      </c>
      <c r="N10" s="99">
        <v>13.829456332751647</v>
      </c>
      <c r="O10" s="92">
        <v>3555</v>
      </c>
      <c r="P10" s="92" t="s">
        <v>85</v>
      </c>
      <c r="Q10" s="92">
        <v>1</v>
      </c>
      <c r="R10" s="92" t="s">
        <v>151</v>
      </c>
    </row>
    <row r="11" spans="2:18">
      <c r="B11" s="92" t="s">
        <v>160</v>
      </c>
      <c r="C11" s="92" t="s">
        <v>185</v>
      </c>
      <c r="D11" s="93">
        <v>43215</v>
      </c>
      <c r="E11" s="93">
        <v>43245</v>
      </c>
      <c r="F11" s="92">
        <v>3300</v>
      </c>
      <c r="G11" s="92">
        <v>30</v>
      </c>
      <c r="H11" s="92">
        <v>7.6712328767123292E-2</v>
      </c>
      <c r="I11" s="92">
        <v>0</v>
      </c>
      <c r="J11" s="92">
        <v>0.19</v>
      </c>
      <c r="K11" s="92">
        <v>6.390814376368553</v>
      </c>
      <c r="L11" s="92">
        <v>0</v>
      </c>
      <c r="M11" s="92">
        <v>0</v>
      </c>
      <c r="N11" s="99">
        <v>6.390814376368553</v>
      </c>
      <c r="O11" s="92">
        <v>3555</v>
      </c>
      <c r="P11" s="92" t="s">
        <v>85</v>
      </c>
      <c r="Q11" s="92">
        <v>1</v>
      </c>
      <c r="R11" s="92" t="s">
        <v>151</v>
      </c>
    </row>
    <row r="12" spans="2:18">
      <c r="B12" s="91" t="s">
        <v>2</v>
      </c>
      <c r="C12" s="33" t="s">
        <v>181</v>
      </c>
      <c r="D12" s="33" t="s">
        <v>180</v>
      </c>
      <c r="E12" s="33" t="s">
        <v>10</v>
      </c>
      <c r="F12" s="33" t="s">
        <v>184</v>
      </c>
      <c r="G12" s="33" t="s">
        <v>11</v>
      </c>
      <c r="H12" s="33" t="s">
        <v>12</v>
      </c>
      <c r="I12" s="33" t="s">
        <v>47</v>
      </c>
      <c r="J12" s="33" t="s">
        <v>13</v>
      </c>
      <c r="K12" s="33" t="s">
        <v>14</v>
      </c>
      <c r="L12" s="33" t="s">
        <v>26</v>
      </c>
      <c r="M12" s="33" t="s">
        <v>28</v>
      </c>
      <c r="N12" s="33" t="s">
        <v>182</v>
      </c>
      <c r="O12" s="33" t="s">
        <v>8</v>
      </c>
      <c r="P12" s="33" t="s">
        <v>23</v>
      </c>
      <c r="Q12" s="33"/>
      <c r="R12" s="33" t="s">
        <v>30</v>
      </c>
    </row>
    <row r="13" spans="2:18">
      <c r="B13" s="92" t="s">
        <v>160</v>
      </c>
      <c r="C13" s="92" t="s">
        <v>223</v>
      </c>
      <c r="D13" s="93">
        <v>43215</v>
      </c>
      <c r="E13" s="93">
        <v>43306</v>
      </c>
      <c r="F13" s="92">
        <v>4500</v>
      </c>
      <c r="G13" s="92">
        <v>91</v>
      </c>
      <c r="H13" s="92">
        <v>0.24383561643835616</v>
      </c>
      <c r="I13" s="92">
        <v>0</v>
      </c>
      <c r="J13" s="92">
        <v>0.1</v>
      </c>
      <c r="K13" s="92">
        <v>1.4038573266967802</v>
      </c>
      <c r="L13" s="92">
        <v>0</v>
      </c>
      <c r="M13" s="92">
        <v>0</v>
      </c>
      <c r="N13" s="99">
        <v>1.4038573266967802</v>
      </c>
      <c r="O13" s="92">
        <v>4998</v>
      </c>
      <c r="P13" s="92" t="s">
        <v>85</v>
      </c>
      <c r="Q13" s="92">
        <v>1</v>
      </c>
      <c r="R13" s="92" t="s">
        <v>151</v>
      </c>
    </row>
    <row r="14" spans="2:18">
      <c r="B14" s="92" t="s">
        <v>160</v>
      </c>
      <c r="C14" s="92" t="s">
        <v>223</v>
      </c>
      <c r="D14" s="93">
        <v>43215</v>
      </c>
      <c r="E14" s="93">
        <v>43306</v>
      </c>
      <c r="F14" s="92">
        <v>5300</v>
      </c>
      <c r="G14" s="92">
        <v>91</v>
      </c>
      <c r="H14" s="92">
        <v>0.24383561643835616</v>
      </c>
      <c r="I14" s="92">
        <v>0</v>
      </c>
      <c r="J14" s="92">
        <v>0.1</v>
      </c>
      <c r="K14" s="92">
        <v>14.535158539548092</v>
      </c>
      <c r="L14" s="92">
        <v>0</v>
      </c>
      <c r="M14" s="92">
        <v>0</v>
      </c>
      <c r="N14" s="99">
        <v>14.535158539548092</v>
      </c>
      <c r="O14" s="92">
        <v>4998</v>
      </c>
      <c r="P14" s="92" t="s">
        <v>39</v>
      </c>
      <c r="Q14" s="92">
        <v>1</v>
      </c>
      <c r="R14" s="92" t="s">
        <v>151</v>
      </c>
    </row>
    <row r="15" spans="2:18">
      <c r="B15" s="91" t="s">
        <v>2</v>
      </c>
      <c r="C15" s="33" t="s">
        <v>181</v>
      </c>
      <c r="D15" s="33" t="s">
        <v>180</v>
      </c>
      <c r="E15" s="33" t="s">
        <v>10</v>
      </c>
      <c r="F15" s="33" t="s">
        <v>184</v>
      </c>
      <c r="G15" s="33" t="s">
        <v>11</v>
      </c>
      <c r="H15" s="33" t="s">
        <v>12</v>
      </c>
      <c r="I15" s="33" t="s">
        <v>47</v>
      </c>
      <c r="J15" s="33" t="s">
        <v>13</v>
      </c>
      <c r="K15" s="33" t="s">
        <v>14</v>
      </c>
      <c r="L15" s="33" t="s">
        <v>26</v>
      </c>
      <c r="M15" s="33" t="s">
        <v>28</v>
      </c>
      <c r="N15" s="33" t="s">
        <v>182</v>
      </c>
      <c r="O15" s="33" t="s">
        <v>8</v>
      </c>
      <c r="P15" s="33" t="s">
        <v>23</v>
      </c>
      <c r="Q15" s="33"/>
      <c r="R15" s="33" t="s">
        <v>30</v>
      </c>
    </row>
    <row r="16" spans="2:18">
      <c r="B16" s="92" t="s">
        <v>160</v>
      </c>
      <c r="C16" s="92" t="s">
        <v>224</v>
      </c>
      <c r="D16" s="93">
        <v>43215</v>
      </c>
      <c r="E16" s="93">
        <v>43222</v>
      </c>
      <c r="F16" s="92">
        <v>3700</v>
      </c>
      <c r="G16" s="92">
        <v>7</v>
      </c>
      <c r="H16" s="92">
        <v>1.9178082191780823E-2</v>
      </c>
      <c r="I16" s="92">
        <v>0</v>
      </c>
      <c r="J16" s="92">
        <v>0.24</v>
      </c>
      <c r="K16" s="92">
        <v>-77.722369716806043</v>
      </c>
      <c r="L16" s="92"/>
      <c r="M16" s="92">
        <v>0</v>
      </c>
      <c r="N16" s="99">
        <v>80</v>
      </c>
      <c r="O16" s="92">
        <v>3650</v>
      </c>
      <c r="P16" s="92" t="s">
        <v>85</v>
      </c>
      <c r="Q16" s="92">
        <v>-1</v>
      </c>
      <c r="R16" s="92" t="s">
        <v>20</v>
      </c>
    </row>
    <row r="17" spans="2:18">
      <c r="B17" s="91" t="s">
        <v>2</v>
      </c>
      <c r="C17" s="33" t="s">
        <v>181</v>
      </c>
      <c r="D17" s="33" t="s">
        <v>180</v>
      </c>
      <c r="E17" s="33" t="s">
        <v>10</v>
      </c>
      <c r="F17" s="33" t="s">
        <v>184</v>
      </c>
      <c r="G17" s="33" t="s">
        <v>11</v>
      </c>
      <c r="H17" s="33" t="s">
        <v>12</v>
      </c>
      <c r="I17" s="33" t="s">
        <v>47</v>
      </c>
      <c r="J17" s="33" t="s">
        <v>13</v>
      </c>
      <c r="K17" s="33" t="s">
        <v>14</v>
      </c>
      <c r="L17" s="33" t="s">
        <v>26</v>
      </c>
      <c r="M17" s="33" t="s">
        <v>28</v>
      </c>
      <c r="N17" s="33" t="s">
        <v>182</v>
      </c>
      <c r="O17" s="33" t="s">
        <v>8</v>
      </c>
      <c r="P17" s="33" t="s">
        <v>23</v>
      </c>
      <c r="Q17" s="33"/>
      <c r="R17" s="33" t="s">
        <v>30</v>
      </c>
    </row>
    <row r="18" spans="2:18">
      <c r="B18" s="92" t="s">
        <v>160</v>
      </c>
      <c r="C18" s="92" t="s">
        <v>229</v>
      </c>
      <c r="D18" s="93">
        <v>43222</v>
      </c>
      <c r="E18" s="93">
        <v>43251</v>
      </c>
      <c r="F18" s="92">
        <v>53000</v>
      </c>
      <c r="G18" s="92">
        <v>29</v>
      </c>
      <c r="H18" s="92">
        <v>7.9452054794520555E-2</v>
      </c>
      <c r="I18" s="92">
        <v>0</v>
      </c>
      <c r="J18" s="92">
        <v>0.14499999999999999</v>
      </c>
      <c r="K18" s="92">
        <v>235.68111212474469</v>
      </c>
      <c r="L18" s="92">
        <v>30</v>
      </c>
      <c r="M18" s="92">
        <v>12.203835616438358</v>
      </c>
      <c r="N18" s="99">
        <v>223.47727650830632</v>
      </c>
      <c r="O18" s="92">
        <v>51200</v>
      </c>
      <c r="P18" s="92" t="s">
        <v>39</v>
      </c>
      <c r="Q18" s="92">
        <v>1</v>
      </c>
      <c r="R18" s="92" t="s">
        <v>151</v>
      </c>
    </row>
    <row r="19" spans="2:18">
      <c r="B19" s="91" t="s">
        <v>2</v>
      </c>
      <c r="C19" s="33" t="s">
        <v>181</v>
      </c>
      <c r="D19" s="33" t="s">
        <v>180</v>
      </c>
      <c r="E19" s="33" t="s">
        <v>10</v>
      </c>
      <c r="F19" s="33" t="s">
        <v>184</v>
      </c>
      <c r="G19" s="33" t="s">
        <v>11</v>
      </c>
      <c r="H19" s="33" t="s">
        <v>12</v>
      </c>
      <c r="I19" s="33" t="s">
        <v>47</v>
      </c>
      <c r="J19" s="33" t="s">
        <v>13</v>
      </c>
      <c r="K19" s="33" t="s">
        <v>14</v>
      </c>
      <c r="L19" s="33" t="s">
        <v>26</v>
      </c>
      <c r="M19" s="33" t="s">
        <v>28</v>
      </c>
      <c r="N19" s="33" t="s">
        <v>182</v>
      </c>
      <c r="O19" s="33" t="s">
        <v>8</v>
      </c>
      <c r="P19" s="33" t="s">
        <v>23</v>
      </c>
      <c r="Q19" s="33"/>
      <c r="R19" s="33" t="s">
        <v>30</v>
      </c>
    </row>
    <row r="20" spans="2:18">
      <c r="B20" s="92" t="s">
        <v>160</v>
      </c>
      <c r="C20" s="92" t="s">
        <v>229</v>
      </c>
      <c r="D20" s="93">
        <v>43222</v>
      </c>
      <c r="E20" s="93">
        <v>43251</v>
      </c>
      <c r="F20" s="92">
        <v>53000</v>
      </c>
      <c r="G20" s="92">
        <v>29</v>
      </c>
      <c r="H20" s="92">
        <v>7.9452054794520555E-2</v>
      </c>
      <c r="I20" s="92">
        <v>0</v>
      </c>
      <c r="J20" s="92">
        <v>0.14499999999999999</v>
      </c>
      <c r="K20" s="92">
        <v>267.88911782858668</v>
      </c>
      <c r="L20" s="92">
        <v>30</v>
      </c>
      <c r="M20" s="92">
        <v>12.239589041095892</v>
      </c>
      <c r="N20" s="99">
        <v>255.64952878749079</v>
      </c>
      <c r="O20" s="92">
        <v>51350</v>
      </c>
      <c r="P20" s="92" t="s">
        <v>39</v>
      </c>
      <c r="Q20" s="92">
        <v>1</v>
      </c>
      <c r="R20" s="92" t="s">
        <v>151</v>
      </c>
    </row>
    <row r="21" spans="2:18">
      <c r="B21" s="92" t="s">
        <v>160</v>
      </c>
      <c r="C21" s="92" t="s">
        <v>229</v>
      </c>
      <c r="D21" s="93">
        <v>43222</v>
      </c>
      <c r="E21" s="93">
        <v>43251</v>
      </c>
      <c r="F21" s="92">
        <v>53300</v>
      </c>
      <c r="G21" s="92">
        <v>29</v>
      </c>
      <c r="H21" s="92">
        <v>7.9452054794520555E-2</v>
      </c>
      <c r="I21" s="92">
        <v>0</v>
      </c>
      <c r="J21" s="92">
        <v>0.14199999999999999</v>
      </c>
      <c r="K21" s="92">
        <v>198.21203281188355</v>
      </c>
      <c r="L21" s="92">
        <v>30</v>
      </c>
      <c r="M21" s="92">
        <v>12.239589041095892</v>
      </c>
      <c r="N21" s="99">
        <v>185.97244377078766</v>
      </c>
      <c r="O21" s="92">
        <v>51350</v>
      </c>
      <c r="P21" s="92" t="s">
        <v>39</v>
      </c>
      <c r="Q21" s="92">
        <v>1</v>
      </c>
      <c r="R21" s="92" t="s">
        <v>151</v>
      </c>
    </row>
    <row r="22" spans="2:18">
      <c r="B22" s="91" t="s">
        <v>2</v>
      </c>
      <c r="C22" s="33" t="s">
        <v>181</v>
      </c>
      <c r="D22" s="33" t="s">
        <v>180</v>
      </c>
      <c r="E22" s="33" t="s">
        <v>10</v>
      </c>
      <c r="F22" s="33" t="s">
        <v>184</v>
      </c>
      <c r="G22" s="33" t="s">
        <v>11</v>
      </c>
      <c r="H22" s="33" t="s">
        <v>12</v>
      </c>
      <c r="I22" s="33" t="s">
        <v>47</v>
      </c>
      <c r="J22" s="33" t="s">
        <v>13</v>
      </c>
      <c r="K22" s="33" t="s">
        <v>14</v>
      </c>
      <c r="L22" s="33" t="s">
        <v>26</v>
      </c>
      <c r="M22" s="33" t="s">
        <v>28</v>
      </c>
      <c r="N22" s="33" t="s">
        <v>182</v>
      </c>
      <c r="O22" s="33" t="s">
        <v>8</v>
      </c>
      <c r="P22" s="33" t="s">
        <v>23</v>
      </c>
      <c r="Q22" s="33"/>
      <c r="R22" s="33" t="s">
        <v>30</v>
      </c>
    </row>
    <row r="23" spans="2:18">
      <c r="B23" s="92" t="s">
        <v>160</v>
      </c>
      <c r="C23" s="92" t="s">
        <v>229</v>
      </c>
      <c r="D23" s="93">
        <v>43223</v>
      </c>
      <c r="E23" s="93">
        <v>43251</v>
      </c>
      <c r="F23" s="92">
        <v>48000</v>
      </c>
      <c r="G23" s="92">
        <v>28</v>
      </c>
      <c r="H23" s="92">
        <v>7.6712328767123292E-2</v>
      </c>
      <c r="I23" s="92">
        <v>0</v>
      </c>
      <c r="J23" s="92">
        <v>0.14000000000000001</v>
      </c>
      <c r="K23" s="92">
        <v>40.620185749357461</v>
      </c>
      <c r="L23" s="92">
        <v>30</v>
      </c>
      <c r="M23" s="92">
        <v>11.771506849315069</v>
      </c>
      <c r="N23" s="99">
        <v>28.848678900042394</v>
      </c>
      <c r="O23" s="92">
        <v>51150</v>
      </c>
      <c r="P23" s="92" t="s">
        <v>85</v>
      </c>
      <c r="Q23" s="92">
        <v>1</v>
      </c>
      <c r="R23" s="92" t="s">
        <v>151</v>
      </c>
    </row>
    <row r="24" spans="2:18">
      <c r="B24" s="91" t="s">
        <v>2</v>
      </c>
      <c r="C24" s="33" t="s">
        <v>181</v>
      </c>
      <c r="D24" s="33" t="s">
        <v>180</v>
      </c>
      <c r="E24" s="33" t="s">
        <v>10</v>
      </c>
      <c r="F24" s="33" t="s">
        <v>184</v>
      </c>
      <c r="G24" s="33" t="s">
        <v>11</v>
      </c>
      <c r="H24" s="33" t="s">
        <v>12</v>
      </c>
      <c r="I24" s="33" t="s">
        <v>47</v>
      </c>
      <c r="J24" s="33" t="s">
        <v>13</v>
      </c>
      <c r="K24" s="33" t="s">
        <v>14</v>
      </c>
      <c r="L24" s="33" t="s">
        <v>26</v>
      </c>
      <c r="M24" s="33" t="s">
        <v>28</v>
      </c>
      <c r="N24" s="33" t="s">
        <v>182</v>
      </c>
      <c r="O24" s="33" t="s">
        <v>8</v>
      </c>
      <c r="P24" s="33" t="s">
        <v>23</v>
      </c>
      <c r="Q24" s="33"/>
      <c r="R24" s="33" t="s">
        <v>30</v>
      </c>
    </row>
    <row r="25" spans="2:18">
      <c r="B25" s="92" t="s">
        <v>160</v>
      </c>
      <c r="C25" s="92" t="s">
        <v>185</v>
      </c>
      <c r="D25" s="93">
        <v>43223</v>
      </c>
      <c r="E25" s="93">
        <v>43251</v>
      </c>
      <c r="F25" s="92">
        <v>3660</v>
      </c>
      <c r="G25" s="92">
        <v>28</v>
      </c>
      <c r="H25" s="92">
        <v>7.6712328767123292E-2</v>
      </c>
      <c r="I25" s="92">
        <v>0</v>
      </c>
      <c r="J25" s="92">
        <v>0.29499999999999998</v>
      </c>
      <c r="K25" s="92">
        <v>-119.08543433615614</v>
      </c>
      <c r="L25" s="92">
        <v>70</v>
      </c>
      <c r="M25" s="92">
        <v>1.9653698630136986</v>
      </c>
      <c r="N25" s="99">
        <v>121.05080419916985</v>
      </c>
      <c r="O25" s="92">
        <v>3660</v>
      </c>
      <c r="P25" s="92" t="s">
        <v>39</v>
      </c>
      <c r="Q25" s="92">
        <v>-1</v>
      </c>
      <c r="R25" s="92" t="s">
        <v>20</v>
      </c>
    </row>
    <row r="26" spans="2:18">
      <c r="B26" s="91" t="s">
        <v>2</v>
      </c>
      <c r="C26" s="33" t="s">
        <v>181</v>
      </c>
      <c r="D26" s="33" t="s">
        <v>180</v>
      </c>
      <c r="E26" s="33" t="s">
        <v>10</v>
      </c>
      <c r="F26" s="33" t="s">
        <v>184</v>
      </c>
      <c r="G26" s="33" t="s">
        <v>11</v>
      </c>
      <c r="H26" s="33" t="s">
        <v>12</v>
      </c>
      <c r="I26" s="33" t="s">
        <v>47</v>
      </c>
      <c r="J26" s="33" t="s">
        <v>13</v>
      </c>
      <c r="K26" s="33" t="s">
        <v>14</v>
      </c>
      <c r="L26" s="33" t="s">
        <v>26</v>
      </c>
      <c r="M26" s="33" t="s">
        <v>28</v>
      </c>
      <c r="N26" s="33" t="s">
        <v>182</v>
      </c>
      <c r="O26" s="33" t="s">
        <v>8</v>
      </c>
      <c r="P26" s="33" t="s">
        <v>23</v>
      </c>
      <c r="Q26" s="33"/>
      <c r="R26" s="33" t="s">
        <v>30</v>
      </c>
    </row>
    <row r="27" spans="2:18">
      <c r="B27" s="92" t="s">
        <v>160</v>
      </c>
      <c r="C27" s="92" t="s">
        <v>230</v>
      </c>
      <c r="D27" s="93">
        <v>43227</v>
      </c>
      <c r="E27" s="93">
        <v>43258</v>
      </c>
      <c r="F27" s="92">
        <v>100</v>
      </c>
      <c r="G27" s="92">
        <v>31</v>
      </c>
      <c r="H27" s="92">
        <v>8.4931506849315067E-2</v>
      </c>
      <c r="I27" s="92">
        <v>0</v>
      </c>
      <c r="J27" s="92">
        <v>0.21</v>
      </c>
      <c r="K27" s="92">
        <v>2.437015531752337</v>
      </c>
      <c r="L27" s="92"/>
      <c r="M27" s="92">
        <v>0</v>
      </c>
      <c r="N27" s="99">
        <v>2.437015531752337</v>
      </c>
      <c r="O27" s="92">
        <v>100</v>
      </c>
      <c r="P27" s="92"/>
      <c r="Q27" s="92">
        <v>1</v>
      </c>
      <c r="R27" s="92" t="s">
        <v>151</v>
      </c>
    </row>
    <row r="28" spans="2:18">
      <c r="B28" s="92" t="s">
        <v>160</v>
      </c>
      <c r="C28" s="92" t="s">
        <v>230</v>
      </c>
      <c r="D28" s="93">
        <v>43227</v>
      </c>
      <c r="E28" s="93">
        <v>43287</v>
      </c>
      <c r="F28" s="92">
        <v>100</v>
      </c>
      <c r="G28" s="92">
        <v>60</v>
      </c>
      <c r="H28" s="92">
        <v>0.16438356164383561</v>
      </c>
      <c r="I28" s="92">
        <v>0</v>
      </c>
      <c r="J28" s="92">
        <v>0.21</v>
      </c>
      <c r="K28" s="92">
        <v>3.384539376643886</v>
      </c>
      <c r="L28" s="92"/>
      <c r="M28" s="92">
        <v>0</v>
      </c>
      <c r="N28" s="99">
        <v>3.384539376643886</v>
      </c>
      <c r="O28" s="92">
        <v>100</v>
      </c>
      <c r="P28" s="92"/>
      <c r="Q28" s="92">
        <v>1</v>
      </c>
      <c r="R28" s="92" t="s">
        <v>151</v>
      </c>
    </row>
    <row r="29" spans="2:18">
      <c r="B29" s="92"/>
      <c r="C29" s="92"/>
      <c r="D29" s="93"/>
      <c r="E29" s="93"/>
      <c r="F29" s="92"/>
      <c r="G29" s="92"/>
      <c r="H29" s="92"/>
      <c r="I29" s="92"/>
      <c r="J29" s="92"/>
      <c r="K29" s="92"/>
      <c r="L29" s="92"/>
      <c r="M29" s="92"/>
      <c r="N29" s="99"/>
      <c r="O29" s="92"/>
      <c r="P29" s="92"/>
      <c r="Q29" s="92"/>
      <c r="R29" s="92"/>
    </row>
    <row r="30" spans="2:18">
      <c r="B30" s="92" t="s">
        <v>160</v>
      </c>
      <c r="C30" s="92" t="s">
        <v>232</v>
      </c>
      <c r="D30" s="93">
        <v>43227</v>
      </c>
      <c r="E30" s="93">
        <v>43258</v>
      </c>
      <c r="F30" s="92">
        <v>100</v>
      </c>
      <c r="G30" s="92">
        <v>31</v>
      </c>
      <c r="H30" s="92">
        <v>8.4931506849315067E-2</v>
      </c>
      <c r="I30" s="92">
        <v>0</v>
      </c>
      <c r="J30" s="92">
        <v>0.1075</v>
      </c>
      <c r="K30" s="92">
        <v>1.2476635246627694</v>
      </c>
      <c r="L30" s="92"/>
      <c r="M30" s="92">
        <v>0</v>
      </c>
      <c r="N30" s="99">
        <v>1.2476635246627694</v>
      </c>
      <c r="O30" s="92">
        <v>100</v>
      </c>
      <c r="P30" s="92"/>
      <c r="Q30" s="92">
        <v>1</v>
      </c>
      <c r="R30" s="92" t="s">
        <v>151</v>
      </c>
    </row>
    <row r="31" spans="2:18">
      <c r="B31" s="92"/>
      <c r="C31" s="92"/>
      <c r="D31" s="93"/>
      <c r="E31" s="93"/>
      <c r="F31" s="92"/>
      <c r="G31" s="92"/>
      <c r="H31" s="92"/>
      <c r="I31" s="92"/>
      <c r="J31" s="92"/>
      <c r="K31" s="92"/>
      <c r="L31" s="92"/>
      <c r="M31" s="92"/>
      <c r="N31" s="99"/>
      <c r="O31" s="92"/>
      <c r="P31" s="92"/>
      <c r="Q31" s="92"/>
      <c r="R31" s="92"/>
    </row>
    <row r="32" spans="2:18">
      <c r="B32" s="92" t="s">
        <v>160</v>
      </c>
      <c r="C32" s="92" t="s">
        <v>234</v>
      </c>
      <c r="D32" s="93">
        <v>43227</v>
      </c>
      <c r="E32" s="93">
        <v>43258</v>
      </c>
      <c r="F32" s="92">
        <v>100</v>
      </c>
      <c r="G32" s="92">
        <v>31</v>
      </c>
      <c r="H32" s="92">
        <v>8.4931506849315067E-2</v>
      </c>
      <c r="I32" s="92">
        <v>0</v>
      </c>
      <c r="J32" s="92">
        <v>0.16500000000000001</v>
      </c>
      <c r="K32" s="92">
        <v>1.9149122565538121</v>
      </c>
      <c r="L32" s="92"/>
      <c r="M32" s="92">
        <v>0</v>
      </c>
      <c r="N32" s="99">
        <v>1.9149122565538121</v>
      </c>
      <c r="O32" s="92">
        <v>100</v>
      </c>
      <c r="P32" s="92"/>
      <c r="Q32" s="92">
        <v>1</v>
      </c>
      <c r="R32" s="92" t="s">
        <v>151</v>
      </c>
    </row>
    <row r="33" spans="2:22">
      <c r="B33" s="92" t="s">
        <v>160</v>
      </c>
      <c r="C33" s="92" t="s">
        <v>234</v>
      </c>
      <c r="D33" s="93">
        <v>43227</v>
      </c>
      <c r="E33" s="93">
        <v>43258</v>
      </c>
      <c r="F33" s="92">
        <v>100</v>
      </c>
      <c r="G33" s="92">
        <v>31</v>
      </c>
      <c r="H33" s="92">
        <v>8.4931506849315067E-2</v>
      </c>
      <c r="I33" s="92">
        <v>0</v>
      </c>
      <c r="J33" s="92">
        <v>0.23499999999999999</v>
      </c>
      <c r="K33" s="92">
        <v>-2.7270290801658206</v>
      </c>
      <c r="L33" s="92"/>
      <c r="M33" s="92">
        <v>0</v>
      </c>
      <c r="N33" s="99">
        <v>2.7270290801658206</v>
      </c>
      <c r="O33" s="92">
        <v>100</v>
      </c>
      <c r="P33" s="92"/>
      <c r="Q33" s="92">
        <v>-1</v>
      </c>
      <c r="R33" s="92" t="s">
        <v>20</v>
      </c>
    </row>
    <row r="34" spans="2:22">
      <c r="B34" s="92" t="s">
        <v>160</v>
      </c>
      <c r="C34" s="92" t="s">
        <v>234</v>
      </c>
      <c r="D34" s="93">
        <v>43227</v>
      </c>
      <c r="E34" s="93">
        <v>43287</v>
      </c>
      <c r="F34" s="92">
        <v>100</v>
      </c>
      <c r="G34" s="92">
        <v>60</v>
      </c>
      <c r="H34" s="92">
        <v>0.16438356164383561</v>
      </c>
      <c r="I34" s="92">
        <v>0</v>
      </c>
      <c r="J34" s="92">
        <v>0.16500000000000001</v>
      </c>
      <c r="K34" s="92">
        <v>2.6595882620095068</v>
      </c>
      <c r="L34" s="92"/>
      <c r="M34" s="92">
        <v>0</v>
      </c>
      <c r="N34" s="99">
        <v>2.6595882620095068</v>
      </c>
      <c r="O34" s="92">
        <v>100</v>
      </c>
      <c r="P34" s="92"/>
      <c r="Q34" s="92">
        <v>1</v>
      </c>
      <c r="R34" s="92" t="s">
        <v>151</v>
      </c>
    </row>
    <row r="35" spans="2:22">
      <c r="B35" s="92" t="s">
        <v>160</v>
      </c>
      <c r="C35" s="92" t="s">
        <v>234</v>
      </c>
      <c r="D35" s="93">
        <v>43227</v>
      </c>
      <c r="E35" s="93">
        <v>43287</v>
      </c>
      <c r="F35" s="92">
        <v>100</v>
      </c>
      <c r="G35" s="92">
        <v>60</v>
      </c>
      <c r="H35" s="92">
        <v>0.16438356164383561</v>
      </c>
      <c r="I35" s="92">
        <v>0</v>
      </c>
      <c r="J35" s="92">
        <v>0.23499999999999999</v>
      </c>
      <c r="K35" s="92">
        <v>-3.7871722212029653</v>
      </c>
      <c r="L35" s="92"/>
      <c r="M35" s="92">
        <v>0</v>
      </c>
      <c r="N35" s="99">
        <v>3.7871722212029653</v>
      </c>
      <c r="O35" s="92">
        <v>100</v>
      </c>
      <c r="P35" s="92"/>
      <c r="Q35" s="92">
        <v>-1</v>
      </c>
      <c r="R35" s="92" t="s">
        <v>20</v>
      </c>
    </row>
    <row r="36" spans="2:22">
      <c r="B36" s="92"/>
      <c r="C36" s="92"/>
      <c r="D36" s="93"/>
      <c r="E36" s="93"/>
      <c r="F36" s="92"/>
      <c r="G36" s="92"/>
      <c r="H36" s="92"/>
      <c r="I36" s="92"/>
      <c r="J36" s="92"/>
      <c r="K36" s="92"/>
      <c r="L36" s="92"/>
      <c r="M36" s="92"/>
      <c r="N36" s="99"/>
      <c r="O36" s="92"/>
      <c r="P36" s="92"/>
      <c r="Q36" s="92"/>
      <c r="R36" s="92"/>
    </row>
    <row r="37" spans="2:22">
      <c r="B37" s="92" t="s">
        <v>160</v>
      </c>
      <c r="C37" s="92" t="s">
        <v>236</v>
      </c>
      <c r="D37" s="93">
        <v>43227</v>
      </c>
      <c r="E37" s="93">
        <v>43258</v>
      </c>
      <c r="F37" s="92">
        <v>100</v>
      </c>
      <c r="G37" s="92">
        <v>31</v>
      </c>
      <c r="H37" s="92">
        <v>8.4931506849315067E-2</v>
      </c>
      <c r="I37" s="92">
        <v>0</v>
      </c>
      <c r="J37" s="92">
        <v>0.14749999999999999</v>
      </c>
      <c r="K37" s="92">
        <v>1.7118486286586005</v>
      </c>
      <c r="L37" s="92"/>
      <c r="M37" s="92">
        <v>0</v>
      </c>
      <c r="N37" s="99">
        <v>1.7118486286586005</v>
      </c>
      <c r="O37" s="92">
        <v>100</v>
      </c>
      <c r="P37" s="92"/>
      <c r="Q37" s="92">
        <v>1</v>
      </c>
      <c r="R37" s="92" t="s">
        <v>151</v>
      </c>
    </row>
    <row r="38" spans="2:22">
      <c r="B38" s="92"/>
      <c r="C38" s="92"/>
      <c r="D38" s="93"/>
      <c r="E38" s="93"/>
      <c r="F38" s="92"/>
      <c r="G38" s="92"/>
      <c r="H38" s="92"/>
      <c r="I38" s="92"/>
      <c r="J38" s="92"/>
      <c r="K38" s="92"/>
      <c r="L38" s="92"/>
      <c r="M38" s="92"/>
      <c r="N38" s="99"/>
      <c r="O38" s="92"/>
      <c r="P38" s="92"/>
      <c r="Q38" s="92"/>
      <c r="R38" s="92"/>
    </row>
    <row r="39" spans="2:22">
      <c r="B39" s="92" t="s">
        <v>160</v>
      </c>
      <c r="C39" s="92" t="s">
        <v>238</v>
      </c>
      <c r="D39" s="93">
        <v>43227</v>
      </c>
      <c r="E39" s="93">
        <v>43258</v>
      </c>
      <c r="F39" s="92">
        <v>100</v>
      </c>
      <c r="G39" s="92">
        <v>31</v>
      </c>
      <c r="H39" s="92">
        <v>8.4931506849315067E-2</v>
      </c>
      <c r="I39" s="92">
        <v>0</v>
      </c>
      <c r="J39" s="92">
        <v>0.16</v>
      </c>
      <c r="K39" s="92">
        <v>1.8568952897944655</v>
      </c>
      <c r="L39" s="92"/>
      <c r="M39" s="92">
        <v>0</v>
      </c>
      <c r="N39" s="99">
        <v>1.8568952897944655</v>
      </c>
      <c r="O39" s="92">
        <v>100</v>
      </c>
      <c r="P39" s="92"/>
      <c r="Q39" s="92">
        <v>1</v>
      </c>
      <c r="R39" s="92" t="s">
        <v>151</v>
      </c>
    </row>
    <row r="40" spans="2:22">
      <c r="B40" s="91" t="s">
        <v>2</v>
      </c>
      <c r="C40" s="33" t="s">
        <v>181</v>
      </c>
      <c r="D40" s="33" t="s">
        <v>180</v>
      </c>
      <c r="E40" s="33" t="s">
        <v>10</v>
      </c>
      <c r="F40" s="33" t="s">
        <v>184</v>
      </c>
      <c r="G40" s="33" t="s">
        <v>11</v>
      </c>
      <c r="H40" s="33" t="s">
        <v>12</v>
      </c>
      <c r="I40" s="33" t="s">
        <v>47</v>
      </c>
      <c r="J40" s="33" t="s">
        <v>13</v>
      </c>
      <c r="K40" s="33" t="s">
        <v>14</v>
      </c>
      <c r="L40" s="33" t="s">
        <v>26</v>
      </c>
      <c r="M40" s="33" t="s">
        <v>28</v>
      </c>
      <c r="N40" s="33" t="s">
        <v>182</v>
      </c>
      <c r="O40" s="33" t="s">
        <v>8</v>
      </c>
      <c r="P40" s="33" t="s">
        <v>23</v>
      </c>
      <c r="Q40" s="33"/>
      <c r="R40" s="33" t="s">
        <v>30</v>
      </c>
    </row>
    <row r="41" spans="2:22">
      <c r="B41" s="92" t="s">
        <v>160</v>
      </c>
      <c r="C41" s="92" t="s">
        <v>185</v>
      </c>
      <c r="D41" s="93">
        <v>43229</v>
      </c>
      <c r="E41" s="93">
        <v>43259</v>
      </c>
      <c r="F41" s="92">
        <v>3300</v>
      </c>
      <c r="G41" s="92">
        <v>30</v>
      </c>
      <c r="H41" s="92">
        <v>8.2191780821917804E-2</v>
      </c>
      <c r="I41" s="92">
        <v>0</v>
      </c>
      <c r="J41" s="92">
        <v>0.22</v>
      </c>
      <c r="K41" s="92">
        <v>10.035493930643156</v>
      </c>
      <c r="L41" s="92"/>
      <c r="M41" s="92">
        <v>0</v>
      </c>
      <c r="N41" s="99">
        <v>10.035493930643156</v>
      </c>
      <c r="O41" s="92">
        <v>3580</v>
      </c>
      <c r="P41" s="92" t="s">
        <v>85</v>
      </c>
      <c r="Q41" s="92">
        <v>1</v>
      </c>
      <c r="R41" s="92" t="s">
        <v>151</v>
      </c>
    </row>
    <row r="42" spans="2:22">
      <c r="B42" s="92" t="s">
        <v>160</v>
      </c>
      <c r="C42" s="92" t="s">
        <v>185</v>
      </c>
      <c r="D42" s="93">
        <v>43229</v>
      </c>
      <c r="E42" s="93">
        <v>43259</v>
      </c>
      <c r="F42" s="92">
        <v>3350</v>
      </c>
      <c r="G42" s="92">
        <v>30</v>
      </c>
      <c r="H42" s="92">
        <v>8.2191780821917804E-2</v>
      </c>
      <c r="I42" s="92">
        <v>0</v>
      </c>
      <c r="J42" s="92">
        <v>0.2225</v>
      </c>
      <c r="K42" s="92">
        <v>16.979613720046018</v>
      </c>
      <c r="L42" s="92"/>
      <c r="M42" s="92">
        <v>0</v>
      </c>
      <c r="N42" s="99">
        <v>16.979613720046018</v>
      </c>
      <c r="O42" s="92">
        <v>3580</v>
      </c>
      <c r="P42" s="92" t="s">
        <v>85</v>
      </c>
      <c r="Q42" s="92">
        <v>1</v>
      </c>
      <c r="R42" s="92" t="s">
        <v>151</v>
      </c>
    </row>
    <row r="43" spans="2:22">
      <c r="B43" s="92" t="s">
        <v>160</v>
      </c>
      <c r="C43" s="92" t="s">
        <v>185</v>
      </c>
      <c r="D43" s="93">
        <v>43229</v>
      </c>
      <c r="E43" s="93">
        <v>43259</v>
      </c>
      <c r="F43" s="92">
        <v>3400</v>
      </c>
      <c r="G43" s="92">
        <v>30</v>
      </c>
      <c r="H43" s="92">
        <v>8.2191780821917804E-2</v>
      </c>
      <c r="I43" s="92">
        <v>0</v>
      </c>
      <c r="J43" s="92">
        <v>0.22500000000000001</v>
      </c>
      <c r="K43" s="92">
        <v>27.012399400940012</v>
      </c>
      <c r="L43" s="92"/>
      <c r="M43" s="92">
        <v>0</v>
      </c>
      <c r="N43" s="99">
        <v>27.012399400940012</v>
      </c>
      <c r="O43" s="92">
        <v>3580</v>
      </c>
      <c r="P43" s="92" t="s">
        <v>85</v>
      </c>
      <c r="Q43" s="92">
        <v>1</v>
      </c>
      <c r="R43" s="92" t="s">
        <v>151</v>
      </c>
    </row>
    <row r="44" spans="2:22">
      <c r="B44" s="91" t="s">
        <v>2</v>
      </c>
      <c r="C44" s="33" t="s">
        <v>181</v>
      </c>
      <c r="D44" s="33" t="s">
        <v>180</v>
      </c>
      <c r="E44" s="33" t="s">
        <v>10</v>
      </c>
      <c r="F44" s="33" t="s">
        <v>184</v>
      </c>
      <c r="G44" s="33" t="s">
        <v>11</v>
      </c>
      <c r="H44" s="33" t="s">
        <v>12</v>
      </c>
      <c r="I44" s="33" t="s">
        <v>47</v>
      </c>
      <c r="J44" s="33" t="s">
        <v>13</v>
      </c>
      <c r="K44" s="33" t="s">
        <v>14</v>
      </c>
      <c r="L44" s="33" t="s">
        <v>26</v>
      </c>
      <c r="M44" s="33" t="s">
        <v>28</v>
      </c>
      <c r="N44" s="33" t="s">
        <v>182</v>
      </c>
      <c r="O44" s="33" t="s">
        <v>8</v>
      </c>
      <c r="P44" s="33" t="s">
        <v>23</v>
      </c>
      <c r="Q44" s="33"/>
      <c r="R44" s="33" t="s">
        <v>30</v>
      </c>
    </row>
    <row r="45" spans="2:22">
      <c r="B45" s="92" t="s">
        <v>160</v>
      </c>
      <c r="C45" s="92" t="s">
        <v>229</v>
      </c>
      <c r="D45" s="93">
        <v>43229</v>
      </c>
      <c r="E45" s="93">
        <v>43259</v>
      </c>
      <c r="F45" s="92">
        <v>49000</v>
      </c>
      <c r="G45" s="92">
        <v>30</v>
      </c>
      <c r="H45" s="92">
        <v>8.2191780821917804E-2</v>
      </c>
      <c r="I45" s="92">
        <v>0</v>
      </c>
      <c r="J45" s="92">
        <v>0.13500000000000001</v>
      </c>
      <c r="K45" s="92">
        <v>143.71277212501172</v>
      </c>
      <c r="L45" s="92">
        <v>30</v>
      </c>
      <c r="M45" s="92">
        <v>12.587671232876712</v>
      </c>
      <c r="N45" s="99">
        <v>131.12510089213501</v>
      </c>
      <c r="O45" s="92">
        <v>51050</v>
      </c>
      <c r="P45" s="92" t="s">
        <v>85</v>
      </c>
      <c r="Q45" s="92">
        <v>1</v>
      </c>
      <c r="R45" s="92" t="s">
        <v>151</v>
      </c>
      <c r="S45" s="6">
        <v>2.5685622114032325E-3</v>
      </c>
    </row>
    <row r="46" spans="2:22">
      <c r="B46" s="91" t="s">
        <v>2</v>
      </c>
      <c r="C46" s="33" t="s">
        <v>181</v>
      </c>
      <c r="D46" s="33" t="s">
        <v>180</v>
      </c>
      <c r="E46" s="33" t="s">
        <v>10</v>
      </c>
      <c r="F46" s="33" t="s">
        <v>184</v>
      </c>
      <c r="G46" s="33" t="s">
        <v>11</v>
      </c>
      <c r="H46" s="33" t="s">
        <v>12</v>
      </c>
      <c r="I46" s="33" t="s">
        <v>47</v>
      </c>
      <c r="J46" s="33" t="s">
        <v>13</v>
      </c>
      <c r="K46" s="33" t="s">
        <v>14</v>
      </c>
      <c r="L46" s="33" t="s">
        <v>26</v>
      </c>
      <c r="M46" s="33" t="s">
        <v>28</v>
      </c>
      <c r="N46" s="33" t="s">
        <v>182</v>
      </c>
      <c r="O46" s="33" t="s">
        <v>8</v>
      </c>
      <c r="P46" s="33" t="s">
        <v>23</v>
      </c>
      <c r="Q46" s="33"/>
      <c r="R46" s="33" t="s">
        <v>30</v>
      </c>
    </row>
    <row r="47" spans="2:22">
      <c r="B47" s="92" t="s">
        <v>160</v>
      </c>
      <c r="C47" s="92" t="s">
        <v>240</v>
      </c>
      <c r="D47" s="93">
        <v>43229</v>
      </c>
      <c r="E47" s="93">
        <v>43327</v>
      </c>
      <c r="F47" s="92">
        <v>100</v>
      </c>
      <c r="G47" s="92">
        <v>98</v>
      </c>
      <c r="H47" s="92">
        <v>0.26849315068493151</v>
      </c>
      <c r="I47" s="92">
        <v>0</v>
      </c>
      <c r="J47" s="92">
        <v>0.28000000000000003</v>
      </c>
      <c r="K47" s="92">
        <v>5.7520390338440848</v>
      </c>
      <c r="L47" s="92"/>
      <c r="M47" s="92">
        <v>0</v>
      </c>
      <c r="N47" s="99">
        <v>5.7520390338440848</v>
      </c>
      <c r="O47" s="92">
        <v>100</v>
      </c>
      <c r="P47" s="92" t="s">
        <v>85</v>
      </c>
      <c r="Q47" s="92">
        <v>1</v>
      </c>
      <c r="R47" s="92" t="s">
        <v>151</v>
      </c>
      <c r="V47" s="6">
        <v>50000000</v>
      </c>
    </row>
    <row r="48" spans="2:22">
      <c r="B48" s="92" t="s">
        <v>160</v>
      </c>
      <c r="C48" s="92" t="s">
        <v>240</v>
      </c>
      <c r="D48" s="93">
        <v>43229</v>
      </c>
      <c r="E48" s="93">
        <v>43327</v>
      </c>
      <c r="F48" s="92">
        <v>100</v>
      </c>
      <c r="G48" s="92">
        <v>98</v>
      </c>
      <c r="H48" s="92">
        <v>0.26849315068493151</v>
      </c>
      <c r="I48" s="92">
        <v>0</v>
      </c>
      <c r="J48" s="92">
        <v>0.34</v>
      </c>
      <c r="K48" s="92">
        <v>-6.9817152035699195</v>
      </c>
      <c r="L48" s="92"/>
      <c r="M48" s="92">
        <v>0</v>
      </c>
      <c r="N48" s="99">
        <v>6.9817152035699195</v>
      </c>
      <c r="O48" s="92">
        <v>100</v>
      </c>
      <c r="P48" s="92" t="s">
        <v>85</v>
      </c>
      <c r="Q48" s="92">
        <v>-1</v>
      </c>
      <c r="R48" s="92" t="s">
        <v>20</v>
      </c>
      <c r="V48" s="6">
        <v>15660</v>
      </c>
    </row>
    <row r="49" spans="2:22">
      <c r="B49" s="92"/>
      <c r="C49" s="92"/>
      <c r="D49" s="93"/>
      <c r="E49" s="93"/>
      <c r="F49" s="92"/>
      <c r="G49" s="92"/>
      <c r="H49" s="92"/>
      <c r="I49" s="92"/>
      <c r="J49" s="92"/>
      <c r="K49" s="92"/>
      <c r="L49" s="92"/>
      <c r="M49" s="92"/>
      <c r="N49" s="99"/>
      <c r="O49" s="92"/>
      <c r="P49" s="92"/>
      <c r="Q49" s="92"/>
      <c r="R49" s="92"/>
      <c r="V49" s="6">
        <f>V47/V48</f>
        <v>3192.8480204342272</v>
      </c>
    </row>
    <row r="50" spans="2:22">
      <c r="B50" s="92" t="s">
        <v>160</v>
      </c>
      <c r="C50" s="92" t="s">
        <v>185</v>
      </c>
      <c r="D50" s="93">
        <v>43229</v>
      </c>
      <c r="E50" s="93">
        <v>43259</v>
      </c>
      <c r="F50" s="92">
        <v>100</v>
      </c>
      <c r="G50" s="92">
        <v>30</v>
      </c>
      <c r="H50" s="92">
        <v>8.2191780821917804E-2</v>
      </c>
      <c r="I50" s="92">
        <v>0</v>
      </c>
      <c r="J50" s="92">
        <v>0.215</v>
      </c>
      <c r="K50" s="92">
        <v>2.4545962454477035</v>
      </c>
      <c r="L50" s="92"/>
      <c r="M50" s="92">
        <v>0</v>
      </c>
      <c r="N50" s="99">
        <v>2.4545962454477035</v>
      </c>
      <c r="O50" s="92">
        <v>100</v>
      </c>
      <c r="P50" s="92" t="s">
        <v>85</v>
      </c>
      <c r="Q50" s="92">
        <v>1</v>
      </c>
      <c r="R50" s="92" t="s">
        <v>151</v>
      </c>
      <c r="V50" s="6">
        <f>V49/5</f>
        <v>638.5696040868454</v>
      </c>
    </row>
    <row r="51" spans="2:22">
      <c r="B51" s="92" t="s">
        <v>160</v>
      </c>
      <c r="C51" s="92" t="s">
        <v>185</v>
      </c>
      <c r="D51" s="93">
        <v>43229</v>
      </c>
      <c r="E51" s="93">
        <v>43259</v>
      </c>
      <c r="F51" s="92">
        <v>100</v>
      </c>
      <c r="G51" s="92">
        <v>30</v>
      </c>
      <c r="H51" s="92">
        <v>8.2191780821917804E-2</v>
      </c>
      <c r="I51" s="92">
        <v>0</v>
      </c>
      <c r="J51" s="92">
        <v>0.28499999999999998</v>
      </c>
      <c r="K51" s="92">
        <v>-3.2533772011772371</v>
      </c>
      <c r="L51" s="92"/>
      <c r="M51" s="92">
        <v>0</v>
      </c>
      <c r="N51" s="99">
        <v>3.2533772011772371</v>
      </c>
      <c r="O51" s="92">
        <v>100</v>
      </c>
      <c r="P51" s="92" t="s">
        <v>85</v>
      </c>
      <c r="Q51" s="92">
        <v>-1</v>
      </c>
      <c r="R51" s="92" t="s">
        <v>20</v>
      </c>
    </row>
    <row r="52" spans="2:22">
      <c r="B52" s="92"/>
      <c r="C52" s="92"/>
      <c r="D52" s="93"/>
      <c r="E52" s="93"/>
      <c r="F52" s="92"/>
      <c r="G52" s="92"/>
      <c r="H52" s="92"/>
      <c r="I52" s="92"/>
      <c r="J52" s="92"/>
      <c r="K52" s="92"/>
      <c r="L52" s="92"/>
      <c r="M52" s="92"/>
      <c r="N52" s="99"/>
      <c r="O52" s="92"/>
      <c r="P52" s="92"/>
      <c r="Q52" s="92"/>
      <c r="R52" s="92"/>
    </row>
    <row r="53" spans="2:22">
      <c r="B53" s="92" t="s">
        <v>160</v>
      </c>
      <c r="C53" s="92" t="s">
        <v>241</v>
      </c>
      <c r="D53" s="93">
        <v>43229</v>
      </c>
      <c r="E53" s="93">
        <v>43259</v>
      </c>
      <c r="F53" s="92">
        <v>100</v>
      </c>
      <c r="G53" s="92">
        <v>30</v>
      </c>
      <c r="H53" s="92">
        <v>8.2191780821917804E-2</v>
      </c>
      <c r="I53" s="92">
        <v>0</v>
      </c>
      <c r="J53" s="92">
        <v>0.36</v>
      </c>
      <c r="K53" s="92">
        <v>-4.1088485325048723</v>
      </c>
      <c r="L53" s="92"/>
      <c r="M53" s="92">
        <v>0</v>
      </c>
      <c r="N53" s="99">
        <v>4.1088485325048723</v>
      </c>
      <c r="O53" s="92">
        <v>100</v>
      </c>
      <c r="P53" s="92" t="s">
        <v>85</v>
      </c>
      <c r="Q53" s="92">
        <v>-1</v>
      </c>
      <c r="R53" s="92" t="s">
        <v>20</v>
      </c>
    </row>
    <row r="54" spans="2:22">
      <c r="B54" s="91" t="s">
        <v>2</v>
      </c>
      <c r="C54" s="33" t="s">
        <v>181</v>
      </c>
      <c r="D54" s="33" t="s">
        <v>180</v>
      </c>
      <c r="E54" s="33" t="s">
        <v>10</v>
      </c>
      <c r="F54" s="33" t="s">
        <v>184</v>
      </c>
      <c r="G54" s="33" t="s">
        <v>11</v>
      </c>
      <c r="H54" s="33" t="s">
        <v>12</v>
      </c>
      <c r="I54" s="33" t="s">
        <v>47</v>
      </c>
      <c r="J54" s="33" t="s">
        <v>13</v>
      </c>
      <c r="K54" s="33" t="s">
        <v>14</v>
      </c>
      <c r="L54" s="33" t="s">
        <v>26</v>
      </c>
      <c r="M54" s="33" t="s">
        <v>28</v>
      </c>
      <c r="N54" s="33" t="s">
        <v>182</v>
      </c>
      <c r="O54" s="33" t="s">
        <v>8</v>
      </c>
      <c r="P54" s="33" t="s">
        <v>23</v>
      </c>
      <c r="Q54" s="33"/>
      <c r="R54" s="33" t="s">
        <v>30</v>
      </c>
    </row>
    <row r="55" spans="2:22">
      <c r="B55" s="92" t="s">
        <v>160</v>
      </c>
      <c r="C55" s="92" t="s">
        <v>245</v>
      </c>
      <c r="D55" s="93">
        <v>43229</v>
      </c>
      <c r="E55" s="93">
        <v>43319</v>
      </c>
      <c r="F55" s="92">
        <v>12105</v>
      </c>
      <c r="G55" s="92">
        <v>90</v>
      </c>
      <c r="H55" s="92">
        <v>0.24657534246575341</v>
      </c>
      <c r="I55" s="92">
        <v>0</v>
      </c>
      <c r="J55" s="92">
        <v>0.31</v>
      </c>
      <c r="K55" s="92">
        <v>-538.37994450441693</v>
      </c>
      <c r="L55" s="92">
        <v>70</v>
      </c>
      <c r="M55" s="92">
        <v>20.177260273972603</v>
      </c>
      <c r="N55" s="99">
        <v>558.55720477838952</v>
      </c>
      <c r="O55" s="92">
        <v>11690</v>
      </c>
      <c r="P55" s="92" t="s">
        <v>39</v>
      </c>
      <c r="Q55" s="92">
        <v>-1</v>
      </c>
      <c r="R55" s="92" t="s">
        <v>20</v>
      </c>
    </row>
    <row r="56" spans="2:22">
      <c r="B56" s="92" t="s">
        <v>160</v>
      </c>
      <c r="C56" s="92" t="s">
        <v>245</v>
      </c>
      <c r="D56" s="93">
        <v>43229</v>
      </c>
      <c r="E56" s="93">
        <v>43290</v>
      </c>
      <c r="F56" s="92">
        <v>12105</v>
      </c>
      <c r="G56" s="92">
        <v>61</v>
      </c>
      <c r="H56" s="92">
        <v>0.16712328767123288</v>
      </c>
      <c r="I56" s="92">
        <v>0</v>
      </c>
      <c r="J56" s="92">
        <v>0.3</v>
      </c>
      <c r="K56" s="92">
        <v>-396.26370370638506</v>
      </c>
      <c r="L56" s="92">
        <v>70</v>
      </c>
      <c r="M56" s="92">
        <v>13.675698630136988</v>
      </c>
      <c r="N56" s="99">
        <v>409.93940233652205</v>
      </c>
      <c r="O56" s="92">
        <v>11690</v>
      </c>
      <c r="P56" s="92" t="s">
        <v>39</v>
      </c>
      <c r="Q56" s="92">
        <v>-1</v>
      </c>
      <c r="R56" s="92" t="s">
        <v>20</v>
      </c>
    </row>
    <row r="57" spans="2:22">
      <c r="B57" s="92" t="s">
        <v>160</v>
      </c>
      <c r="C57" s="92" t="s">
        <v>245</v>
      </c>
      <c r="D57" s="93">
        <v>43229</v>
      </c>
      <c r="E57" s="93">
        <v>43319</v>
      </c>
      <c r="F57" s="92">
        <v>12105</v>
      </c>
      <c r="G57" s="92">
        <v>90</v>
      </c>
      <c r="H57" s="92">
        <v>0.24657534246575341</v>
      </c>
      <c r="I57" s="92">
        <v>0</v>
      </c>
      <c r="J57" s="92">
        <v>0.31</v>
      </c>
      <c r="K57" s="92">
        <v>-538.37994450441693</v>
      </c>
      <c r="L57" s="92">
        <v>70</v>
      </c>
      <c r="M57" s="92">
        <v>20.177260273972603</v>
      </c>
      <c r="N57" s="99">
        <v>558.55720477838952</v>
      </c>
      <c r="O57" s="92">
        <v>11690</v>
      </c>
      <c r="P57" s="92" t="s">
        <v>39</v>
      </c>
      <c r="Q57" s="92">
        <v>-1</v>
      </c>
      <c r="R57" s="92" t="s">
        <v>20</v>
      </c>
    </row>
    <row r="58" spans="2:22">
      <c r="B58" s="91" t="s">
        <v>2</v>
      </c>
      <c r="C58" s="33" t="s">
        <v>181</v>
      </c>
      <c r="D58" s="33" t="s">
        <v>180</v>
      </c>
      <c r="E58" s="33" t="s">
        <v>10</v>
      </c>
      <c r="F58" s="33" t="s">
        <v>184</v>
      </c>
      <c r="G58" s="33" t="s">
        <v>11</v>
      </c>
      <c r="H58" s="33" t="s">
        <v>12</v>
      </c>
      <c r="I58" s="33" t="s">
        <v>47</v>
      </c>
      <c r="J58" s="33" t="s">
        <v>13</v>
      </c>
      <c r="K58" s="33" t="s">
        <v>14</v>
      </c>
      <c r="L58" s="33" t="s">
        <v>26</v>
      </c>
      <c r="M58" s="33" t="s">
        <v>28</v>
      </c>
      <c r="N58" s="33" t="s">
        <v>182</v>
      </c>
      <c r="O58" s="33" t="s">
        <v>8</v>
      </c>
      <c r="P58" s="33" t="s">
        <v>23</v>
      </c>
      <c r="Q58" s="33"/>
      <c r="R58" s="33" t="s">
        <v>30</v>
      </c>
    </row>
    <row r="59" spans="2:22">
      <c r="B59" s="92" t="s">
        <v>160</v>
      </c>
      <c r="C59" s="92" t="s">
        <v>247</v>
      </c>
      <c r="D59" s="93">
        <v>43230</v>
      </c>
      <c r="E59" s="93">
        <v>43262</v>
      </c>
      <c r="F59" s="92">
        <v>15800</v>
      </c>
      <c r="G59" s="92">
        <v>32</v>
      </c>
      <c r="H59" s="92">
        <v>8.7671232876712329E-2</v>
      </c>
      <c r="I59" s="92">
        <v>0</v>
      </c>
      <c r="J59" s="92">
        <v>7.4999999999999997E-2</v>
      </c>
      <c r="K59" s="92">
        <v>80.25741457624008</v>
      </c>
      <c r="L59" s="92"/>
      <c r="M59" s="92">
        <v>0</v>
      </c>
      <c r="N59" s="99">
        <v>80.25741457624008</v>
      </c>
      <c r="O59" s="92">
        <v>15660</v>
      </c>
      <c r="P59" s="92" t="s">
        <v>39</v>
      </c>
      <c r="Q59" s="92">
        <v>1</v>
      </c>
      <c r="R59" s="92" t="s">
        <v>151</v>
      </c>
    </row>
    <row r="60" spans="2:22">
      <c r="B60" s="92" t="s">
        <v>160</v>
      </c>
      <c r="C60" s="92" t="s">
        <v>247</v>
      </c>
      <c r="D60" s="93">
        <v>43230</v>
      </c>
      <c r="E60" s="93">
        <v>43262</v>
      </c>
      <c r="F60" s="92">
        <v>15900</v>
      </c>
      <c r="G60" s="92">
        <v>32</v>
      </c>
      <c r="H60" s="92">
        <v>8.7671232876712329E-2</v>
      </c>
      <c r="I60" s="92">
        <v>0</v>
      </c>
      <c r="J60" s="92">
        <v>7.1999999999999995E-2</v>
      </c>
      <c r="K60" s="92">
        <v>46.897010797428266</v>
      </c>
      <c r="L60" s="92"/>
      <c r="M60" s="92">
        <v>0</v>
      </c>
      <c r="N60" s="99">
        <v>46.897010797428266</v>
      </c>
      <c r="O60" s="92">
        <v>15660</v>
      </c>
      <c r="P60" s="92" t="s">
        <v>39</v>
      </c>
      <c r="Q60" s="92">
        <v>1</v>
      </c>
      <c r="R60" s="92" t="s">
        <v>151</v>
      </c>
    </row>
    <row r="61" spans="2:22">
      <c r="B61" s="91" t="s">
        <v>2</v>
      </c>
      <c r="C61" s="33" t="s">
        <v>181</v>
      </c>
      <c r="D61" s="33" t="s">
        <v>180</v>
      </c>
      <c r="E61" s="33" t="s">
        <v>10</v>
      </c>
      <c r="F61" s="33" t="s">
        <v>184</v>
      </c>
      <c r="G61" s="33" t="s">
        <v>11</v>
      </c>
      <c r="H61" s="33" t="s">
        <v>12</v>
      </c>
      <c r="I61" s="33" t="s">
        <v>47</v>
      </c>
      <c r="J61" s="33" t="s">
        <v>13</v>
      </c>
      <c r="K61" s="33" t="s">
        <v>14</v>
      </c>
      <c r="L61" s="33" t="s">
        <v>26</v>
      </c>
      <c r="M61" s="33" t="s">
        <v>28</v>
      </c>
      <c r="N61" s="33" t="s">
        <v>182</v>
      </c>
      <c r="O61" s="33" t="s">
        <v>8</v>
      </c>
      <c r="P61" s="33" t="s">
        <v>23</v>
      </c>
      <c r="Q61" s="33"/>
      <c r="R61" s="33" t="s">
        <v>30</v>
      </c>
    </row>
    <row r="62" spans="2:22">
      <c r="B62" s="92" t="s">
        <v>160</v>
      </c>
      <c r="C62" s="92" t="s">
        <v>250</v>
      </c>
      <c r="D62" s="93">
        <v>43230</v>
      </c>
      <c r="E62" s="93">
        <v>43322</v>
      </c>
      <c r="F62" s="92">
        <v>2900</v>
      </c>
      <c r="G62" s="92">
        <v>92</v>
      </c>
      <c r="H62" s="92">
        <v>0.25205479452054796</v>
      </c>
      <c r="I62" s="92">
        <v>0</v>
      </c>
      <c r="J62" s="92">
        <v>0.16300000000000001</v>
      </c>
      <c r="K62" s="92">
        <v>28.17866709777104</v>
      </c>
      <c r="L62" s="92"/>
      <c r="M62" s="92">
        <v>0</v>
      </c>
      <c r="N62" s="99">
        <v>28.17866709777104</v>
      </c>
      <c r="O62" s="92">
        <v>3102</v>
      </c>
      <c r="P62" s="92" t="s">
        <v>85</v>
      </c>
      <c r="Q62" s="92">
        <v>1</v>
      </c>
      <c r="R62" s="92" t="s">
        <v>151</v>
      </c>
    </row>
    <row r="63" spans="2:22">
      <c r="B63" s="92" t="s">
        <v>160</v>
      </c>
      <c r="C63" s="92" t="s">
        <v>250</v>
      </c>
      <c r="D63" s="93">
        <v>43230</v>
      </c>
      <c r="E63" s="93">
        <v>43322</v>
      </c>
      <c r="F63" s="92">
        <v>2800</v>
      </c>
      <c r="G63" s="92">
        <v>92</v>
      </c>
      <c r="H63" s="92">
        <v>0.25205479452054796</v>
      </c>
      <c r="I63" s="92">
        <v>0</v>
      </c>
      <c r="J63" s="92">
        <v>0.16300000000000001</v>
      </c>
      <c r="K63" s="92">
        <v>12.090387645166686</v>
      </c>
      <c r="L63" s="92"/>
      <c r="M63" s="92">
        <v>0</v>
      </c>
      <c r="N63" s="99">
        <v>12.090387645166686</v>
      </c>
      <c r="O63" s="92">
        <v>3102</v>
      </c>
      <c r="P63" s="92" t="s">
        <v>85</v>
      </c>
      <c r="Q63" s="92">
        <v>1</v>
      </c>
      <c r="R63" s="92" t="s">
        <v>151</v>
      </c>
    </row>
    <row r="64" spans="2:22">
      <c r="B64" s="92" t="s">
        <v>160</v>
      </c>
      <c r="C64" s="92" t="s">
        <v>250</v>
      </c>
      <c r="D64" s="93">
        <v>43230</v>
      </c>
      <c r="E64" s="93">
        <v>43322</v>
      </c>
      <c r="F64" s="92">
        <v>2700</v>
      </c>
      <c r="G64" s="92">
        <v>92</v>
      </c>
      <c r="H64" s="92">
        <v>0.25205479452054796</v>
      </c>
      <c r="I64" s="92">
        <v>0</v>
      </c>
      <c r="J64" s="92">
        <v>0.16300000000000001</v>
      </c>
      <c r="K64" s="92">
        <v>4.3482107089132853</v>
      </c>
      <c r="L64" s="92"/>
      <c r="M64" s="92">
        <v>0</v>
      </c>
      <c r="N64" s="99">
        <v>4.3482107089132853</v>
      </c>
      <c r="O64" s="92">
        <v>3102</v>
      </c>
      <c r="P64" s="92" t="s">
        <v>85</v>
      </c>
      <c r="Q64" s="92">
        <v>1</v>
      </c>
      <c r="R64" s="92" t="s">
        <v>151</v>
      </c>
    </row>
    <row r="65" spans="2:18">
      <c r="B65" s="92" t="s">
        <v>160</v>
      </c>
      <c r="C65" s="92" t="s">
        <v>252</v>
      </c>
      <c r="D65" s="93">
        <v>43230</v>
      </c>
      <c r="E65" s="93">
        <v>43413</v>
      </c>
      <c r="F65" s="92">
        <v>2900</v>
      </c>
      <c r="G65" s="92">
        <v>183</v>
      </c>
      <c r="H65" s="92">
        <v>0.50136986301369868</v>
      </c>
      <c r="I65" s="92">
        <v>0</v>
      </c>
      <c r="J65" s="92">
        <v>0.15</v>
      </c>
      <c r="K65" s="92">
        <v>39.235574564926651</v>
      </c>
      <c r="L65" s="92"/>
      <c r="M65" s="92">
        <v>0</v>
      </c>
      <c r="N65" s="99">
        <v>39.235574564926651</v>
      </c>
      <c r="O65" s="92">
        <v>3152</v>
      </c>
      <c r="P65" s="92" t="s">
        <v>85</v>
      </c>
      <c r="Q65" s="92">
        <v>1</v>
      </c>
      <c r="R65" s="92" t="s">
        <v>151</v>
      </c>
    </row>
    <row r="66" spans="2:18">
      <c r="B66" s="92" t="s">
        <v>160</v>
      </c>
      <c r="C66" s="92" t="s">
        <v>252</v>
      </c>
      <c r="D66" s="93">
        <v>43230</v>
      </c>
      <c r="E66" s="93">
        <v>43413</v>
      </c>
      <c r="F66" s="92">
        <v>2800</v>
      </c>
      <c r="G66" s="92">
        <v>183</v>
      </c>
      <c r="H66" s="92">
        <v>0.50136986301369868</v>
      </c>
      <c r="I66" s="92">
        <v>0</v>
      </c>
      <c r="J66" s="92">
        <v>0.15</v>
      </c>
      <c r="K66" s="92">
        <v>20.791222297735487</v>
      </c>
      <c r="L66" s="92"/>
      <c r="M66" s="92">
        <v>0</v>
      </c>
      <c r="N66" s="99">
        <v>20.791222297735487</v>
      </c>
      <c r="O66" s="92">
        <v>3152</v>
      </c>
      <c r="P66" s="92" t="s">
        <v>85</v>
      </c>
      <c r="Q66" s="92">
        <v>1</v>
      </c>
      <c r="R66" s="92" t="s">
        <v>151</v>
      </c>
    </row>
    <row r="67" spans="2:18">
      <c r="B67" s="92" t="s">
        <v>160</v>
      </c>
      <c r="C67" s="92" t="s">
        <v>252</v>
      </c>
      <c r="D67" s="93">
        <v>43230</v>
      </c>
      <c r="E67" s="93">
        <v>43413</v>
      </c>
      <c r="F67" s="92">
        <v>2700</v>
      </c>
      <c r="G67" s="92">
        <v>183</v>
      </c>
      <c r="H67" s="92">
        <v>0.50136986301369868</v>
      </c>
      <c r="I67" s="92">
        <v>0</v>
      </c>
      <c r="J67" s="92">
        <v>0.15</v>
      </c>
      <c r="K67" s="92">
        <v>9.8912533182519837</v>
      </c>
      <c r="L67" s="92"/>
      <c r="M67" s="92">
        <v>0</v>
      </c>
      <c r="N67" s="99">
        <v>9.8912533182519837</v>
      </c>
      <c r="O67" s="92">
        <v>3152</v>
      </c>
      <c r="P67" s="92" t="s">
        <v>85</v>
      </c>
      <c r="Q67" s="92">
        <v>1</v>
      </c>
      <c r="R67" s="92" t="s">
        <v>151</v>
      </c>
    </row>
    <row r="68" spans="2:18">
      <c r="B68" s="91" t="s">
        <v>2</v>
      </c>
      <c r="C68" s="33" t="s">
        <v>181</v>
      </c>
      <c r="D68" s="33" t="s">
        <v>180</v>
      </c>
      <c r="E68" s="33" t="s">
        <v>10</v>
      </c>
      <c r="F68" s="33" t="s">
        <v>184</v>
      </c>
      <c r="G68" s="33" t="s">
        <v>11</v>
      </c>
      <c r="H68" s="33" t="s">
        <v>12</v>
      </c>
      <c r="I68" s="33" t="s">
        <v>47</v>
      </c>
      <c r="J68" s="33" t="s">
        <v>13</v>
      </c>
      <c r="K68" s="33" t="s">
        <v>14</v>
      </c>
      <c r="L68" s="33" t="s">
        <v>26</v>
      </c>
      <c r="M68" s="33" t="s">
        <v>28</v>
      </c>
      <c r="N68" s="33" t="s">
        <v>182</v>
      </c>
      <c r="O68" s="33" t="s">
        <v>8</v>
      </c>
      <c r="P68" s="33" t="s">
        <v>23</v>
      </c>
      <c r="Q68" s="33"/>
      <c r="R68" s="33" t="s">
        <v>30</v>
      </c>
    </row>
    <row r="69" spans="2:18">
      <c r="B69" s="92" t="s">
        <v>160</v>
      </c>
      <c r="C69" s="92" t="s">
        <v>230</v>
      </c>
      <c r="D69" s="93">
        <v>43230</v>
      </c>
      <c r="E69" s="93">
        <v>43261</v>
      </c>
      <c r="F69" s="92">
        <v>490</v>
      </c>
      <c r="G69" s="92">
        <v>31</v>
      </c>
      <c r="H69" s="92">
        <v>8.4931506849315067E-2</v>
      </c>
      <c r="I69" s="92">
        <v>0</v>
      </c>
      <c r="J69" s="92">
        <v>0.28499999999999998</v>
      </c>
      <c r="K69" s="92">
        <v>-9.4993774006077274</v>
      </c>
      <c r="L69" s="92"/>
      <c r="M69" s="92">
        <v>0</v>
      </c>
      <c r="N69" s="99">
        <v>9.4993774006077274</v>
      </c>
      <c r="O69" s="92">
        <v>474.8</v>
      </c>
      <c r="P69" s="92" t="s">
        <v>39</v>
      </c>
      <c r="Q69" s="92">
        <v>-1</v>
      </c>
      <c r="R69" s="92" t="s">
        <v>20</v>
      </c>
    </row>
    <row r="70" spans="2:18">
      <c r="B70" s="92" t="s">
        <v>160</v>
      </c>
      <c r="C70" s="92" t="s">
        <v>230</v>
      </c>
      <c r="D70" s="93">
        <v>43230</v>
      </c>
      <c r="E70" s="93">
        <v>43322</v>
      </c>
      <c r="F70" s="92">
        <v>490</v>
      </c>
      <c r="G70" s="92">
        <v>92</v>
      </c>
      <c r="H70" s="92">
        <v>0.25205479452054796</v>
      </c>
      <c r="I70" s="92">
        <v>0</v>
      </c>
      <c r="J70" s="92">
        <v>0.28499999999999998</v>
      </c>
      <c r="K70" s="92">
        <v>-20.47295742202445</v>
      </c>
      <c r="L70" s="92"/>
      <c r="M70" s="92">
        <v>0</v>
      </c>
      <c r="N70" s="99">
        <v>20.47295742202445</v>
      </c>
      <c r="O70" s="92">
        <v>474.8</v>
      </c>
      <c r="P70" s="92" t="s">
        <v>39</v>
      </c>
      <c r="Q70" s="92">
        <v>-1</v>
      </c>
      <c r="R70" s="92" t="s">
        <v>20</v>
      </c>
    </row>
    <row r="71" spans="2:18">
      <c r="B71" s="91" t="s">
        <v>2</v>
      </c>
      <c r="C71" s="33" t="s">
        <v>181</v>
      </c>
      <c r="D71" s="33" t="s">
        <v>180</v>
      </c>
      <c r="E71" s="33" t="s">
        <v>10</v>
      </c>
      <c r="F71" s="33" t="s">
        <v>184</v>
      </c>
      <c r="G71" s="33" t="s">
        <v>11</v>
      </c>
      <c r="H71" s="33" t="s">
        <v>12</v>
      </c>
      <c r="I71" s="33" t="s">
        <v>47</v>
      </c>
      <c r="J71" s="33" t="s">
        <v>13</v>
      </c>
      <c r="K71" s="33" t="s">
        <v>14</v>
      </c>
      <c r="L71" s="33" t="s">
        <v>26</v>
      </c>
      <c r="M71" s="33" t="s">
        <v>28</v>
      </c>
      <c r="N71" s="33" t="s">
        <v>182</v>
      </c>
      <c r="O71" s="33" t="s">
        <v>8</v>
      </c>
      <c r="P71" s="33" t="s">
        <v>23</v>
      </c>
      <c r="Q71" s="33"/>
      <c r="R71" s="33" t="s">
        <v>30</v>
      </c>
    </row>
    <row r="72" spans="2:18">
      <c r="B72" s="92" t="s">
        <v>160</v>
      </c>
      <c r="C72" s="92" t="s">
        <v>250</v>
      </c>
      <c r="D72" s="93">
        <v>43230</v>
      </c>
      <c r="E72" s="93">
        <v>43261</v>
      </c>
      <c r="F72" s="92">
        <v>3000</v>
      </c>
      <c r="G72" s="92">
        <v>31</v>
      </c>
      <c r="H72" s="92">
        <v>8.4931506849315067E-2</v>
      </c>
      <c r="I72" s="92">
        <v>0</v>
      </c>
      <c r="J72" s="92">
        <v>0.16</v>
      </c>
      <c r="K72" s="92">
        <v>16.90087173661982</v>
      </c>
      <c r="L72" s="92"/>
      <c r="M72" s="92"/>
      <c r="N72" s="99">
        <v>16.90087173661982</v>
      </c>
      <c r="O72" s="92">
        <v>3115</v>
      </c>
      <c r="P72" s="92" t="s">
        <v>85</v>
      </c>
      <c r="Q72" s="92">
        <v>1</v>
      </c>
      <c r="R72" s="92" t="s">
        <v>151</v>
      </c>
    </row>
    <row r="73" spans="2:18">
      <c r="B73" s="92" t="s">
        <v>160</v>
      </c>
      <c r="C73" s="92" t="s">
        <v>250</v>
      </c>
      <c r="D73" s="93">
        <v>43230</v>
      </c>
      <c r="E73" s="93">
        <v>43261</v>
      </c>
      <c r="F73" s="92">
        <v>3280</v>
      </c>
      <c r="G73" s="92">
        <v>31</v>
      </c>
      <c r="H73" s="92">
        <v>8.4931506849315067E-2</v>
      </c>
      <c r="I73" s="92">
        <v>0</v>
      </c>
      <c r="J73" s="92">
        <v>0.18</v>
      </c>
      <c r="K73" s="92">
        <v>-14.375357310664299</v>
      </c>
      <c r="L73" s="92"/>
      <c r="M73" s="92"/>
      <c r="N73" s="99">
        <v>14.375357310664299</v>
      </c>
      <c r="O73" s="92">
        <v>3115</v>
      </c>
      <c r="P73" s="92" t="s">
        <v>39</v>
      </c>
      <c r="Q73" s="92">
        <v>-1</v>
      </c>
      <c r="R73" s="92" t="s">
        <v>20</v>
      </c>
    </row>
    <row r="74" spans="2:18">
      <c r="B74" s="92" t="s">
        <v>160</v>
      </c>
      <c r="C74" s="92" t="s">
        <v>250</v>
      </c>
      <c r="D74" s="93">
        <v>43230</v>
      </c>
      <c r="E74" s="93">
        <v>43261</v>
      </c>
      <c r="F74" s="92" t="s">
        <v>255</v>
      </c>
      <c r="G74" s="92">
        <v>31</v>
      </c>
      <c r="H74" s="92">
        <v>8.4931506849315067E-2</v>
      </c>
      <c r="I74" s="92"/>
      <c r="J74" s="92"/>
      <c r="K74" s="92">
        <v>2.5255144259555209</v>
      </c>
      <c r="L74" s="92">
        <v>0</v>
      </c>
      <c r="M74" s="92">
        <v>0</v>
      </c>
      <c r="N74" s="99">
        <v>2.5255144259555209</v>
      </c>
      <c r="O74" s="92">
        <v>3115</v>
      </c>
      <c r="P74" s="92"/>
      <c r="Q74" s="92"/>
      <c r="R74" s="92"/>
    </row>
    <row r="75" spans="2:18">
      <c r="B75" s="92" t="s">
        <v>160</v>
      </c>
      <c r="C75" s="92" t="s">
        <v>250</v>
      </c>
      <c r="D75" s="93">
        <v>43230</v>
      </c>
      <c r="E75" s="93">
        <v>43322</v>
      </c>
      <c r="F75" s="92">
        <v>3000</v>
      </c>
      <c r="G75" s="92">
        <v>92</v>
      </c>
      <c r="H75" s="92">
        <v>0.25205479452054796</v>
      </c>
      <c r="I75" s="92">
        <v>0</v>
      </c>
      <c r="J75" s="92">
        <v>0.16</v>
      </c>
      <c r="K75" s="92">
        <v>50.740006104727286</v>
      </c>
      <c r="L75" s="92"/>
      <c r="M75" s="92"/>
      <c r="N75" s="99">
        <v>50.740006104727286</v>
      </c>
      <c r="O75" s="92">
        <v>3115</v>
      </c>
      <c r="P75" s="92" t="s">
        <v>85</v>
      </c>
      <c r="Q75" s="92">
        <v>1</v>
      </c>
      <c r="R75" s="92" t="s">
        <v>151</v>
      </c>
    </row>
    <row r="76" spans="2:18">
      <c r="B76" s="92" t="s">
        <v>160</v>
      </c>
      <c r="C76" s="92" t="s">
        <v>250</v>
      </c>
      <c r="D76" s="93">
        <v>43230</v>
      </c>
      <c r="E76" s="93">
        <v>43322</v>
      </c>
      <c r="F76" s="92">
        <v>3280</v>
      </c>
      <c r="G76" s="92">
        <v>92</v>
      </c>
      <c r="H76" s="92">
        <v>0.25205479452054796</v>
      </c>
      <c r="I76" s="92">
        <v>0</v>
      </c>
      <c r="J76" s="92">
        <v>0.18</v>
      </c>
      <c r="K76" s="92">
        <v>-50.764289681136802</v>
      </c>
      <c r="L76" s="92"/>
      <c r="M76" s="92"/>
      <c r="N76" s="99">
        <v>50.764289681136802</v>
      </c>
      <c r="O76" s="92">
        <v>3115</v>
      </c>
      <c r="P76" s="92" t="s">
        <v>39</v>
      </c>
      <c r="Q76" s="92">
        <v>-1</v>
      </c>
      <c r="R76" s="92" t="s">
        <v>20</v>
      </c>
    </row>
    <row r="77" spans="2:18">
      <c r="B77" s="92" t="s">
        <v>160</v>
      </c>
      <c r="C77" s="92" t="s">
        <v>250</v>
      </c>
      <c r="D77" s="93">
        <v>43230</v>
      </c>
      <c r="E77" s="93">
        <v>43322</v>
      </c>
      <c r="F77" s="92" t="s">
        <v>255</v>
      </c>
      <c r="G77" s="92">
        <v>92</v>
      </c>
      <c r="H77" s="92">
        <v>0.25205479452054796</v>
      </c>
      <c r="I77" s="92"/>
      <c r="J77" s="92"/>
      <c r="K77" s="92">
        <v>-2.4283576409516172E-2</v>
      </c>
      <c r="L77" s="92">
        <v>0</v>
      </c>
      <c r="M77" s="92">
        <v>0</v>
      </c>
      <c r="N77" s="99">
        <v>2.4283576409516172E-2</v>
      </c>
      <c r="O77" s="92">
        <v>3115</v>
      </c>
      <c r="P77" s="92"/>
      <c r="Q77" s="92"/>
      <c r="R77" s="92"/>
    </row>
    <row r="78" spans="2:18">
      <c r="B78" s="92"/>
      <c r="C78" s="92"/>
      <c r="D78" s="93"/>
      <c r="E78" s="93"/>
      <c r="F78" s="92"/>
      <c r="G78" s="92"/>
      <c r="H78" s="92"/>
      <c r="I78" s="92"/>
      <c r="J78" s="92"/>
      <c r="K78" s="92"/>
      <c r="L78" s="92"/>
      <c r="M78" s="92"/>
      <c r="N78" s="99"/>
      <c r="O78" s="92"/>
      <c r="P78" s="92"/>
      <c r="Q78" s="92"/>
      <c r="R78" s="92"/>
    </row>
    <row r="79" spans="2:18">
      <c r="B79" s="92"/>
      <c r="C79" s="92"/>
      <c r="D79" s="93"/>
      <c r="E79" s="93"/>
      <c r="F79" s="92"/>
      <c r="G79" s="92"/>
      <c r="H79" s="92"/>
      <c r="I79" s="92"/>
      <c r="J79" s="92"/>
      <c r="K79" s="92"/>
      <c r="L79" s="92"/>
      <c r="M79" s="92"/>
      <c r="N79" s="99"/>
      <c r="O79" s="92"/>
      <c r="P79" s="92"/>
      <c r="Q79" s="92"/>
      <c r="R79" s="92"/>
    </row>
    <row r="80" spans="2:18">
      <c r="B80" s="92" t="s">
        <v>160</v>
      </c>
      <c r="C80" s="92" t="s">
        <v>250</v>
      </c>
      <c r="D80" s="93">
        <v>43230</v>
      </c>
      <c r="E80" s="93">
        <v>43261</v>
      </c>
      <c r="F80" s="92">
        <v>2950</v>
      </c>
      <c r="G80" s="92">
        <v>31</v>
      </c>
      <c r="H80" s="92">
        <v>8.4931506849315067E-2</v>
      </c>
      <c r="I80" s="92">
        <v>0</v>
      </c>
      <c r="J80" s="92">
        <v>0.16</v>
      </c>
      <c r="K80" s="92">
        <v>8.4630149485711286</v>
      </c>
      <c r="L80" s="92"/>
      <c r="M80" s="92"/>
      <c r="N80" s="99">
        <v>8.4630149485711286</v>
      </c>
      <c r="O80" s="92">
        <v>3115</v>
      </c>
      <c r="P80" s="92" t="s">
        <v>85</v>
      </c>
      <c r="Q80" s="92">
        <v>1</v>
      </c>
      <c r="R80" s="92" t="s">
        <v>151</v>
      </c>
    </row>
    <row r="81" spans="2:18">
      <c r="B81" s="92" t="s">
        <v>160</v>
      </c>
      <c r="C81" s="92" t="s">
        <v>250</v>
      </c>
      <c r="D81" s="93">
        <v>43230</v>
      </c>
      <c r="E81" s="93">
        <v>43261</v>
      </c>
      <c r="F81" s="92">
        <v>3350</v>
      </c>
      <c r="G81" s="92">
        <v>31</v>
      </c>
      <c r="H81" s="92">
        <v>8.4931506849315067E-2</v>
      </c>
      <c r="I81" s="92">
        <v>0</v>
      </c>
      <c r="J81" s="92">
        <v>0.18</v>
      </c>
      <c r="K81" s="92">
        <v>-6.3885853251831008</v>
      </c>
      <c r="L81" s="92"/>
      <c r="M81" s="92"/>
      <c r="N81" s="99">
        <v>6.3885853251831008</v>
      </c>
      <c r="O81" s="92">
        <v>3115</v>
      </c>
      <c r="P81" s="92" t="s">
        <v>39</v>
      </c>
      <c r="Q81" s="92">
        <v>-1</v>
      </c>
      <c r="R81" s="92" t="s">
        <v>20</v>
      </c>
    </row>
    <row r="82" spans="2:18">
      <c r="B82" s="92" t="s">
        <v>160</v>
      </c>
      <c r="C82" s="92" t="s">
        <v>250</v>
      </c>
      <c r="D82" s="93">
        <v>43230</v>
      </c>
      <c r="E82" s="93">
        <v>43261</v>
      </c>
      <c r="F82" s="92" t="s">
        <v>256</v>
      </c>
      <c r="G82" s="92">
        <v>31</v>
      </c>
      <c r="H82" s="92">
        <v>8.4931506849315067E-2</v>
      </c>
      <c r="I82" s="92"/>
      <c r="J82" s="92"/>
      <c r="K82" s="92">
        <v>2.0744296233880277</v>
      </c>
      <c r="L82" s="92">
        <v>0</v>
      </c>
      <c r="M82" s="92">
        <v>0</v>
      </c>
      <c r="N82" s="99">
        <v>2.0744296233880277</v>
      </c>
      <c r="O82" s="92">
        <v>3115</v>
      </c>
      <c r="P82" s="92"/>
      <c r="Q82" s="92"/>
      <c r="R82" s="92"/>
    </row>
    <row r="83" spans="2:18">
      <c r="B83" s="92" t="s">
        <v>160</v>
      </c>
      <c r="C83" s="92" t="s">
        <v>250</v>
      </c>
      <c r="D83" s="93">
        <v>43230</v>
      </c>
      <c r="E83" s="93">
        <v>43322</v>
      </c>
      <c r="F83" s="92">
        <v>2950</v>
      </c>
      <c r="G83" s="92">
        <v>92</v>
      </c>
      <c r="H83" s="92">
        <v>0.25205479452054796</v>
      </c>
      <c r="I83" s="92">
        <v>0</v>
      </c>
      <c r="J83" s="92">
        <v>0.16</v>
      </c>
      <c r="K83" s="92">
        <v>35.937641258264421</v>
      </c>
      <c r="L83" s="92"/>
      <c r="M83" s="92"/>
      <c r="N83" s="99">
        <v>35.937641258264421</v>
      </c>
      <c r="O83" s="92">
        <v>3115</v>
      </c>
      <c r="P83" s="92" t="s">
        <v>85</v>
      </c>
      <c r="Q83" s="92">
        <v>1</v>
      </c>
      <c r="R83" s="92" t="s">
        <v>151</v>
      </c>
    </row>
    <row r="84" spans="2:18">
      <c r="B84" s="92" t="s">
        <v>160</v>
      </c>
      <c r="C84" s="92" t="s">
        <v>250</v>
      </c>
      <c r="D84" s="93">
        <v>43230</v>
      </c>
      <c r="E84" s="93">
        <v>43322</v>
      </c>
      <c r="F84" s="92">
        <v>3350</v>
      </c>
      <c r="G84" s="92">
        <v>92</v>
      </c>
      <c r="H84" s="92">
        <v>0.25205479452054796</v>
      </c>
      <c r="I84" s="92">
        <v>0</v>
      </c>
      <c r="J84" s="92">
        <v>0.18</v>
      </c>
      <c r="K84" s="92">
        <v>-34.598324061392418</v>
      </c>
      <c r="L84" s="92"/>
      <c r="M84" s="92"/>
      <c r="N84" s="99">
        <v>34.598324061392418</v>
      </c>
      <c r="O84" s="92">
        <v>3115</v>
      </c>
      <c r="P84" s="92" t="s">
        <v>39</v>
      </c>
      <c r="Q84" s="92">
        <v>-1</v>
      </c>
      <c r="R84" s="92" t="s">
        <v>20</v>
      </c>
    </row>
    <row r="85" spans="2:18">
      <c r="B85" s="92" t="s">
        <v>160</v>
      </c>
      <c r="C85" s="92" t="s">
        <v>250</v>
      </c>
      <c r="D85" s="93">
        <v>43230</v>
      </c>
      <c r="E85" s="93">
        <v>43322</v>
      </c>
      <c r="F85" s="92" t="s">
        <v>256</v>
      </c>
      <c r="G85" s="92">
        <v>92</v>
      </c>
      <c r="H85" s="92">
        <v>0.25205479452054796</v>
      </c>
      <c r="I85" s="92"/>
      <c r="J85" s="92"/>
      <c r="K85" s="92">
        <v>1.3393171968720026</v>
      </c>
      <c r="L85" s="92">
        <v>0</v>
      </c>
      <c r="M85" s="92">
        <v>0</v>
      </c>
      <c r="N85" s="99">
        <v>1.3393171968720026</v>
      </c>
      <c r="O85" s="92">
        <v>3115</v>
      </c>
      <c r="P85" s="92"/>
      <c r="Q85" s="92"/>
      <c r="R85" s="92"/>
    </row>
    <row r="86" spans="2:18">
      <c r="B86" s="91" t="s">
        <v>2</v>
      </c>
      <c r="C86" s="33" t="s">
        <v>181</v>
      </c>
      <c r="D86" s="33" t="s">
        <v>180</v>
      </c>
      <c r="E86" s="33" t="s">
        <v>10</v>
      </c>
      <c r="F86" s="33" t="s">
        <v>184</v>
      </c>
      <c r="G86" s="33" t="s">
        <v>11</v>
      </c>
      <c r="H86" s="33" t="s">
        <v>12</v>
      </c>
      <c r="I86" s="33" t="s">
        <v>47</v>
      </c>
      <c r="J86" s="33" t="s">
        <v>13</v>
      </c>
      <c r="K86" s="33" t="s">
        <v>14</v>
      </c>
      <c r="L86" s="33" t="s">
        <v>26</v>
      </c>
      <c r="M86" s="33" t="s">
        <v>28</v>
      </c>
      <c r="N86" s="33" t="s">
        <v>182</v>
      </c>
      <c r="O86" s="33" t="s">
        <v>8</v>
      </c>
      <c r="P86" s="33" t="s">
        <v>23</v>
      </c>
      <c r="Q86" s="33"/>
      <c r="R86" s="33" t="s">
        <v>30</v>
      </c>
    </row>
    <row r="87" spans="2:18">
      <c r="B87" s="92" t="s">
        <v>160</v>
      </c>
      <c r="C87" s="92" t="s">
        <v>185</v>
      </c>
      <c r="D87" s="93">
        <v>43231</v>
      </c>
      <c r="E87" s="93">
        <v>43259</v>
      </c>
      <c r="F87" s="92">
        <v>3300</v>
      </c>
      <c r="G87" s="92">
        <v>28</v>
      </c>
      <c r="H87" s="92">
        <v>7.6712328767123292E-2</v>
      </c>
      <c r="I87" s="92">
        <v>0</v>
      </c>
      <c r="J87" s="92">
        <v>0.22</v>
      </c>
      <c r="K87" s="92">
        <v>4.4506546422274198</v>
      </c>
      <c r="L87" s="92"/>
      <c r="M87" s="92">
        <v>0</v>
      </c>
      <c r="N87" s="99">
        <v>4.4506546422274198</v>
      </c>
      <c r="O87" s="92">
        <v>3647</v>
      </c>
      <c r="P87" s="92" t="s">
        <v>85</v>
      </c>
      <c r="Q87" s="92">
        <v>1</v>
      </c>
      <c r="R87" s="92" t="s">
        <v>151</v>
      </c>
    </row>
    <row r="88" spans="2:18">
      <c r="B88" s="92" t="s">
        <v>160</v>
      </c>
      <c r="C88" s="92" t="s">
        <v>185</v>
      </c>
      <c r="D88" s="93">
        <v>43231</v>
      </c>
      <c r="E88" s="93">
        <v>43259</v>
      </c>
      <c r="F88" s="92">
        <v>3350</v>
      </c>
      <c r="G88" s="92">
        <v>28</v>
      </c>
      <c r="H88" s="92">
        <v>7.6712328767123292E-2</v>
      </c>
      <c r="I88" s="92">
        <v>0</v>
      </c>
      <c r="J88" s="92">
        <v>0.2225</v>
      </c>
      <c r="K88" s="92">
        <v>8.2664551688841357</v>
      </c>
      <c r="L88" s="92"/>
      <c r="M88" s="92">
        <v>0</v>
      </c>
      <c r="N88" s="99">
        <v>8.2664551688841357</v>
      </c>
      <c r="O88" s="92">
        <v>3647</v>
      </c>
      <c r="P88" s="92" t="s">
        <v>85</v>
      </c>
      <c r="Q88" s="92">
        <v>1</v>
      </c>
      <c r="R88" s="92" t="s">
        <v>151</v>
      </c>
    </row>
    <row r="89" spans="2:18">
      <c r="B89" s="92" t="s">
        <v>160</v>
      </c>
      <c r="C89" s="92" t="s">
        <v>185</v>
      </c>
      <c r="D89" s="93">
        <v>43231</v>
      </c>
      <c r="E89" s="93">
        <v>43259</v>
      </c>
      <c r="F89" s="92">
        <v>3400</v>
      </c>
      <c r="G89" s="92">
        <v>28</v>
      </c>
      <c r="H89" s="92">
        <v>7.6712328767123292E-2</v>
      </c>
      <c r="I89" s="92">
        <v>0</v>
      </c>
      <c r="J89" s="92">
        <v>0.22500000000000001</v>
      </c>
      <c r="K89" s="92">
        <v>14.292243567169294</v>
      </c>
      <c r="L89" s="92"/>
      <c r="M89" s="92">
        <v>0</v>
      </c>
      <c r="N89" s="99">
        <v>14.292243567169294</v>
      </c>
      <c r="O89" s="92">
        <v>3647</v>
      </c>
      <c r="P89" s="92" t="s">
        <v>85</v>
      </c>
      <c r="Q89" s="92">
        <v>1</v>
      </c>
      <c r="R89" s="92" t="s">
        <v>151</v>
      </c>
    </row>
    <row r="90" spans="2:18">
      <c r="B90" s="91" t="s">
        <v>2</v>
      </c>
      <c r="C90" s="33" t="s">
        <v>181</v>
      </c>
      <c r="D90" s="33" t="s">
        <v>180</v>
      </c>
      <c r="E90" s="33" t="s">
        <v>10</v>
      </c>
      <c r="F90" s="33" t="s">
        <v>184</v>
      </c>
      <c r="G90" s="33" t="s">
        <v>11</v>
      </c>
      <c r="H90" s="33" t="s">
        <v>12</v>
      </c>
      <c r="I90" s="33" t="s">
        <v>47</v>
      </c>
      <c r="J90" s="33" t="s">
        <v>13</v>
      </c>
      <c r="K90" s="33" t="s">
        <v>14</v>
      </c>
      <c r="L90" s="33" t="s">
        <v>26</v>
      </c>
      <c r="M90" s="33" t="s">
        <v>28</v>
      </c>
      <c r="N90" s="33" t="s">
        <v>182</v>
      </c>
      <c r="O90" s="33" t="s">
        <v>8</v>
      </c>
      <c r="P90" s="33" t="s">
        <v>23</v>
      </c>
      <c r="Q90" s="33"/>
      <c r="R90" s="33" t="s">
        <v>30</v>
      </c>
    </row>
    <row r="91" spans="2:18">
      <c r="B91" s="92" t="s">
        <v>160</v>
      </c>
      <c r="C91" s="92" t="s">
        <v>257</v>
      </c>
      <c r="D91" s="93">
        <v>43231</v>
      </c>
      <c r="E91" s="93">
        <v>43262</v>
      </c>
      <c r="F91" s="92">
        <v>100</v>
      </c>
      <c r="G91" s="92">
        <v>31</v>
      </c>
      <c r="H91" s="92">
        <v>8.4931506849315067E-2</v>
      </c>
      <c r="I91" s="92">
        <v>0</v>
      </c>
      <c r="J91" s="92">
        <v>0.16500000000000001</v>
      </c>
      <c r="K91" s="92">
        <v>1.9149122565538121</v>
      </c>
      <c r="L91" s="92"/>
      <c r="M91" s="92">
        <v>0</v>
      </c>
      <c r="N91" s="99">
        <v>1.9149122565538121</v>
      </c>
      <c r="O91" s="92">
        <v>100</v>
      </c>
      <c r="P91" s="92"/>
      <c r="Q91" s="92">
        <v>1</v>
      </c>
      <c r="R91" s="92" t="s">
        <v>151</v>
      </c>
    </row>
    <row r="92" spans="2:18">
      <c r="B92" s="92"/>
      <c r="C92" s="92"/>
      <c r="D92" s="93"/>
      <c r="E92" s="93"/>
      <c r="F92" s="92"/>
      <c r="G92" s="92"/>
      <c r="H92" s="92"/>
      <c r="I92" s="92"/>
      <c r="J92" s="92"/>
      <c r="K92" s="92"/>
      <c r="L92" s="92"/>
      <c r="M92" s="92"/>
      <c r="N92" s="99"/>
      <c r="O92" s="92"/>
      <c r="P92" s="92"/>
      <c r="Q92" s="92"/>
      <c r="R92" s="92"/>
    </row>
    <row r="93" spans="2:18">
      <c r="B93" s="92" t="s">
        <v>160</v>
      </c>
      <c r="C93" s="92" t="s">
        <v>259</v>
      </c>
      <c r="D93" s="93">
        <v>43231</v>
      </c>
      <c r="E93" s="93">
        <v>43262</v>
      </c>
      <c r="F93" s="92">
        <v>100</v>
      </c>
      <c r="G93" s="92">
        <v>31</v>
      </c>
      <c r="H93" s="92">
        <v>8.4931506849315067E-2</v>
      </c>
      <c r="I93" s="92">
        <v>0</v>
      </c>
      <c r="J93" s="92">
        <v>0.16250000000000001</v>
      </c>
      <c r="K93" s="92">
        <v>1.8859038982856404</v>
      </c>
      <c r="L93" s="92"/>
      <c r="M93" s="92">
        <v>0</v>
      </c>
      <c r="N93" s="99">
        <v>1.8859038982856404</v>
      </c>
      <c r="O93" s="92">
        <v>100</v>
      </c>
      <c r="P93" s="92"/>
      <c r="Q93" s="92">
        <v>1</v>
      </c>
      <c r="R93" s="92" t="s">
        <v>151</v>
      </c>
    </row>
    <row r="94" spans="2:18">
      <c r="B94" s="92"/>
      <c r="C94" s="92"/>
      <c r="D94" s="93"/>
      <c r="E94" s="93"/>
      <c r="F94" s="92"/>
      <c r="G94" s="92"/>
      <c r="H94" s="92"/>
      <c r="I94" s="92"/>
      <c r="J94" s="92"/>
      <c r="K94" s="92"/>
      <c r="L94" s="92"/>
      <c r="M94" s="92"/>
      <c r="N94" s="99"/>
      <c r="O94" s="92"/>
      <c r="P94" s="92"/>
      <c r="Q94" s="92"/>
      <c r="R94" s="92"/>
    </row>
    <row r="95" spans="2:18">
      <c r="B95" s="92" t="s">
        <v>160</v>
      </c>
      <c r="C95" s="92" t="s">
        <v>261</v>
      </c>
      <c r="D95" s="93">
        <v>43231</v>
      </c>
      <c r="E95" s="93">
        <v>43262</v>
      </c>
      <c r="F95" s="92">
        <v>100</v>
      </c>
      <c r="G95" s="92">
        <v>31</v>
      </c>
      <c r="H95" s="92">
        <v>8.4931506849315067E-2</v>
      </c>
      <c r="I95" s="92">
        <v>0</v>
      </c>
      <c r="J95" s="92">
        <v>0.13750000000000001</v>
      </c>
      <c r="K95" s="92">
        <v>1.595807188203942</v>
      </c>
      <c r="L95" s="92"/>
      <c r="M95" s="92">
        <v>0</v>
      </c>
      <c r="N95" s="99">
        <v>1.595807188203942</v>
      </c>
      <c r="O95" s="92">
        <v>100</v>
      </c>
      <c r="P95" s="92"/>
      <c r="Q95" s="92">
        <v>1</v>
      </c>
      <c r="R95" s="92" t="s">
        <v>151</v>
      </c>
    </row>
    <row r="96" spans="2:18">
      <c r="B96" s="92" t="s">
        <v>160</v>
      </c>
      <c r="C96" s="92" t="s">
        <v>261</v>
      </c>
      <c r="D96" s="93">
        <v>43231</v>
      </c>
      <c r="E96" s="93">
        <v>43262</v>
      </c>
      <c r="F96" s="92">
        <v>100</v>
      </c>
      <c r="G96" s="92">
        <v>31</v>
      </c>
      <c r="H96" s="92">
        <v>8.4931506849315067E-2</v>
      </c>
      <c r="I96" s="92">
        <v>0</v>
      </c>
      <c r="J96" s="92">
        <v>0.1875</v>
      </c>
      <c r="K96" s="92">
        <v>-2.1759755861492565</v>
      </c>
      <c r="L96" s="92"/>
      <c r="M96" s="92">
        <v>0</v>
      </c>
      <c r="N96" s="99">
        <v>2.1759755861492565</v>
      </c>
      <c r="O96" s="92">
        <v>100</v>
      </c>
      <c r="P96" s="92"/>
      <c r="Q96" s="92">
        <v>-1</v>
      </c>
      <c r="R96" s="92" t="s">
        <v>20</v>
      </c>
    </row>
    <row r="97" spans="2:18">
      <c r="B97" s="92"/>
      <c r="C97" s="92"/>
      <c r="D97" s="93"/>
      <c r="E97" s="93"/>
      <c r="F97" s="92"/>
      <c r="G97" s="92"/>
      <c r="H97" s="92"/>
      <c r="I97" s="92"/>
      <c r="J97" s="92"/>
      <c r="K97" s="92"/>
      <c r="L97" s="92"/>
      <c r="M97" s="92"/>
      <c r="N97" s="99"/>
      <c r="O97" s="92"/>
      <c r="P97" s="92"/>
      <c r="Q97" s="92"/>
      <c r="R97" s="92"/>
    </row>
    <row r="98" spans="2:18">
      <c r="B98" s="92" t="s">
        <v>160</v>
      </c>
      <c r="C98" s="92" t="s">
        <v>250</v>
      </c>
      <c r="D98" s="93">
        <v>43231</v>
      </c>
      <c r="E98" s="93">
        <v>43251</v>
      </c>
      <c r="F98" s="92">
        <v>100</v>
      </c>
      <c r="G98" s="92">
        <v>20</v>
      </c>
      <c r="H98" s="92">
        <v>5.4794520547945202E-2</v>
      </c>
      <c r="I98" s="92">
        <v>0</v>
      </c>
      <c r="J98" s="92">
        <v>0.18</v>
      </c>
      <c r="K98" s="92">
        <v>1.6789705266844948</v>
      </c>
      <c r="L98" s="92"/>
      <c r="M98" s="92">
        <v>0</v>
      </c>
      <c r="N98" s="99">
        <v>1.6789705266844948</v>
      </c>
      <c r="O98" s="92">
        <v>100</v>
      </c>
      <c r="P98" s="92"/>
      <c r="Q98" s="92">
        <v>1</v>
      </c>
      <c r="R98" s="92" t="s">
        <v>151</v>
      </c>
    </row>
    <row r="99" spans="2:18">
      <c r="B99" s="92" t="s">
        <v>160</v>
      </c>
      <c r="C99" s="92" t="s">
        <v>250</v>
      </c>
      <c r="D99" s="93">
        <v>43231</v>
      </c>
      <c r="E99" s="93">
        <v>43281</v>
      </c>
      <c r="F99" s="92">
        <v>100</v>
      </c>
      <c r="G99" s="92">
        <v>50</v>
      </c>
      <c r="H99" s="92">
        <v>0.13698630136986301</v>
      </c>
      <c r="I99" s="92">
        <v>0</v>
      </c>
      <c r="J99" s="92">
        <v>0.24</v>
      </c>
      <c r="K99" s="92">
        <v>-3.5328668252653728</v>
      </c>
      <c r="L99" s="92"/>
      <c r="M99" s="92">
        <v>0</v>
      </c>
      <c r="N99" s="99">
        <v>3.5328668252653728</v>
      </c>
      <c r="O99" s="92">
        <v>100</v>
      </c>
      <c r="P99" s="92"/>
      <c r="Q99" s="92">
        <v>-1</v>
      </c>
      <c r="R99" s="92" t="s">
        <v>20</v>
      </c>
    </row>
    <row r="100" spans="2:18">
      <c r="B100" s="92"/>
      <c r="C100" s="92"/>
      <c r="D100" s="93"/>
      <c r="E100" s="93"/>
      <c r="F100" s="92"/>
      <c r="G100" s="92"/>
      <c r="H100" s="92"/>
      <c r="I100" s="92"/>
      <c r="J100" s="92"/>
      <c r="K100" s="92"/>
      <c r="L100" s="92"/>
      <c r="M100" s="92"/>
      <c r="N100" s="99"/>
      <c r="O100" s="92"/>
      <c r="P100" s="92"/>
      <c r="Q100" s="92"/>
      <c r="R100" s="92"/>
    </row>
    <row r="101" spans="2:18">
      <c r="B101" s="92" t="s">
        <v>160</v>
      </c>
      <c r="C101" s="92" t="s">
        <v>247</v>
      </c>
      <c r="D101" s="93">
        <v>43231</v>
      </c>
      <c r="E101" s="93">
        <v>43262</v>
      </c>
      <c r="F101" s="92">
        <v>100</v>
      </c>
      <c r="G101" s="92">
        <v>31</v>
      </c>
      <c r="H101" s="92">
        <v>8.4931506849315067E-2</v>
      </c>
      <c r="I101" s="92">
        <v>0</v>
      </c>
      <c r="J101" s="92">
        <v>8.5000000000000006E-2</v>
      </c>
      <c r="K101" s="92">
        <v>0.98653976806129151</v>
      </c>
      <c r="L101" s="92"/>
      <c r="M101" s="92">
        <v>0</v>
      </c>
      <c r="N101" s="99">
        <v>0.98653976806129151</v>
      </c>
      <c r="O101" s="92">
        <v>100</v>
      </c>
      <c r="P101" s="92"/>
      <c r="Q101" s="92">
        <v>1</v>
      </c>
      <c r="R101" s="92" t="s">
        <v>151</v>
      </c>
    </row>
    <row r="102" spans="2:18">
      <c r="B102" s="92" t="s">
        <v>160</v>
      </c>
      <c r="C102" s="92" t="s">
        <v>265</v>
      </c>
      <c r="D102" s="93">
        <v>43231</v>
      </c>
      <c r="E102" s="93">
        <v>43262</v>
      </c>
      <c r="F102" s="92">
        <v>100</v>
      </c>
      <c r="G102" s="92">
        <v>31</v>
      </c>
      <c r="H102" s="92">
        <v>8.4931506849315067E-2</v>
      </c>
      <c r="I102" s="92">
        <v>0</v>
      </c>
      <c r="J102" s="92">
        <v>0.14499999999999999</v>
      </c>
      <c r="K102" s="92">
        <v>-1.6828385996297825</v>
      </c>
      <c r="L102" s="92"/>
      <c r="M102" s="92">
        <v>0</v>
      </c>
      <c r="N102" s="99">
        <v>1.6828385996297825</v>
      </c>
      <c r="O102" s="92">
        <v>100</v>
      </c>
      <c r="P102" s="92"/>
      <c r="Q102" s="92">
        <v>-1</v>
      </c>
      <c r="R102" s="92" t="s">
        <v>20</v>
      </c>
    </row>
    <row r="103" spans="2:18">
      <c r="B103" s="92"/>
      <c r="C103" s="92"/>
      <c r="D103" s="93"/>
      <c r="E103" s="93"/>
      <c r="F103" s="92"/>
      <c r="G103" s="92"/>
      <c r="H103" s="92"/>
      <c r="I103" s="92"/>
      <c r="J103" s="92"/>
      <c r="K103" s="92"/>
      <c r="L103" s="92"/>
      <c r="M103" s="92"/>
      <c r="N103" s="99"/>
      <c r="O103" s="92"/>
      <c r="P103" s="92"/>
      <c r="Q103" s="92"/>
      <c r="R103" s="92"/>
    </row>
    <row r="104" spans="2:18">
      <c r="B104" s="92"/>
      <c r="C104" s="92"/>
      <c r="D104" s="93"/>
      <c r="E104" s="93"/>
      <c r="F104" s="92"/>
      <c r="G104" s="92"/>
      <c r="H104" s="92"/>
      <c r="I104" s="92"/>
      <c r="J104" s="92"/>
      <c r="K104" s="92"/>
      <c r="L104" s="92"/>
      <c r="M104" s="92"/>
      <c r="N104" s="99"/>
      <c r="O104" s="92"/>
      <c r="P104" s="92"/>
      <c r="Q104" s="92"/>
      <c r="R104" s="92"/>
    </row>
  </sheetData>
  <mergeCells count="1">
    <mergeCell ref="B1:D1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>
      <c r="B1" s="148" t="s">
        <v>37</v>
      </c>
      <c r="C1" s="148"/>
    </row>
    <row r="2" spans="1:21" ht="12" thickTop="1">
      <c r="B2" s="3" t="s">
        <v>0</v>
      </c>
      <c r="C2" s="4">
        <v>43061</v>
      </c>
    </row>
    <row r="3" spans="1:21">
      <c r="B3" s="3" t="s">
        <v>1</v>
      </c>
      <c r="C3" s="3">
        <v>0.02</v>
      </c>
    </row>
    <row r="4" spans="1:21" ht="12" thickBot="1">
      <c r="B4" s="5" t="s">
        <v>18</v>
      </c>
      <c r="C4" s="5">
        <v>0.01</v>
      </c>
    </row>
    <row r="5" spans="1:21" ht="12" thickTop="1"/>
    <row r="6" spans="1:21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3900</v>
      </c>
      <c r="I8" s="19">
        <v>3800</v>
      </c>
      <c r="J8" s="21">
        <f ca="1">TODAY()</f>
        <v>43231</v>
      </c>
      <c r="K8" s="21">
        <f ca="1">J8+L8</f>
        <v>43261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189.76341985366889</v>
      </c>
      <c r="P8" s="25">
        <v>80</v>
      </c>
      <c r="Q8" s="24">
        <f>P8/10000*M8*H8*(-E8)</f>
        <v>2.5643835616438357</v>
      </c>
      <c r="R8" s="24">
        <f>O8+Q8</f>
        <v>192.32780341531273</v>
      </c>
      <c r="S8" s="26">
        <f>R8/H8</f>
        <v>4.9314821388541728E-2</v>
      </c>
      <c r="T8" s="24">
        <f>_xll.dnetGBlackScholesNGreeks("delta",$G8,$H8,$I8,$M8,$C$3,$C$4,$N8,$C$4)</f>
        <v>0.63802132026467007</v>
      </c>
      <c r="U8" s="24">
        <f>_xll.dnetGBlackScholesNGreeks("vega",$G8,$H8,$I8,$M8,$C$3,$C$4,$N8)</f>
        <v>4.1851263761293467</v>
      </c>
    </row>
    <row r="9" spans="1:21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43231</v>
      </c>
      <c r="K9" s="8">
        <f ca="1">J9+L9</f>
        <v>43261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43231</v>
      </c>
      <c r="K10" s="8">
        <f ca="1">J10+L10</f>
        <v>43261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62"/>
  <sheetViews>
    <sheetView zoomScale="115" zoomScaleNormal="115" workbookViewId="0">
      <pane ySplit="17" topLeftCell="A28" activePane="bottomLeft" state="frozen"/>
      <selection pane="bottomLeft" activeCell="G55" sqref="G55"/>
    </sheetView>
  </sheetViews>
  <sheetFormatPr defaultColWidth="9" defaultRowHeight="10.5"/>
  <cols>
    <col min="1" max="3" width="9" style="100"/>
    <col min="4" max="4" width="9" style="100" customWidth="1"/>
    <col min="5" max="7" width="9" style="100"/>
    <col min="8" max="8" width="9.625" style="100" customWidth="1"/>
    <col min="9" max="9" width="9" style="100"/>
    <col min="10" max="10" width="9.25" style="100" customWidth="1"/>
    <col min="11" max="16384" width="9" style="100"/>
  </cols>
  <sheetData>
    <row r="1" spans="2:20" ht="11.25" thickBot="1">
      <c r="B1" s="143" t="s">
        <v>118</v>
      </c>
      <c r="C1" s="143"/>
    </row>
    <row r="2" spans="2:20" ht="11.25" thickTop="1"/>
    <row r="3" spans="2:20" ht="11.25" thickBot="1">
      <c r="B3" s="142" t="s">
        <v>119</v>
      </c>
      <c r="C3" s="142"/>
      <c r="D3" s="142"/>
      <c r="E3" s="142"/>
      <c r="G3" s="141" t="s">
        <v>120</v>
      </c>
      <c r="H3" s="141"/>
      <c r="I3" s="141"/>
      <c r="J3" s="141"/>
      <c r="L3" s="142" t="s">
        <v>165</v>
      </c>
      <c r="M3" s="142"/>
      <c r="N3" s="142"/>
      <c r="O3" s="142"/>
      <c r="Q3" s="141" t="s">
        <v>166</v>
      </c>
      <c r="R3" s="141"/>
      <c r="S3" s="141"/>
      <c r="T3" s="141"/>
    </row>
    <row r="4" spans="2:20" ht="12" thickTop="1" thickBot="1">
      <c r="B4" s="134" t="s">
        <v>121</v>
      </c>
      <c r="C4" s="134"/>
      <c r="D4" s="134"/>
      <c r="E4" s="134"/>
      <c r="G4" s="134" t="s">
        <v>34</v>
      </c>
      <c r="H4" s="134"/>
      <c r="I4" s="134"/>
      <c r="J4" s="134"/>
      <c r="L4" s="134" t="s">
        <v>121</v>
      </c>
      <c r="M4" s="134"/>
      <c r="N4" s="134"/>
      <c r="O4" s="134"/>
      <c r="Q4" s="134" t="s">
        <v>34</v>
      </c>
      <c r="R4" s="134"/>
      <c r="S4" s="134"/>
      <c r="T4" s="134"/>
    </row>
    <row r="5" spans="2:20" ht="15" customHeight="1" thickTop="1">
      <c r="B5" s="138" t="s">
        <v>122</v>
      </c>
      <c r="C5" s="138"/>
      <c r="D5" s="144"/>
      <c r="E5" s="145"/>
      <c r="G5" s="138" t="s">
        <v>123</v>
      </c>
      <c r="H5" s="138"/>
      <c r="I5" s="103"/>
      <c r="J5" s="104"/>
      <c r="L5" s="101" t="s">
        <v>122</v>
      </c>
      <c r="M5" s="102"/>
      <c r="N5" s="103"/>
      <c r="O5" s="104"/>
      <c r="Q5" s="138" t="s">
        <v>123</v>
      </c>
      <c r="R5" s="138"/>
      <c r="S5" s="103"/>
      <c r="T5" s="104"/>
    </row>
    <row r="6" spans="2:20">
      <c r="B6" s="138" t="s">
        <v>124</v>
      </c>
      <c r="C6" s="138"/>
      <c r="D6" s="139" t="s">
        <v>125</v>
      </c>
      <c r="E6" s="140"/>
      <c r="G6" s="138" t="s">
        <v>126</v>
      </c>
      <c r="H6" s="138"/>
      <c r="I6" s="139"/>
      <c r="J6" s="140"/>
      <c r="L6" s="138" t="s">
        <v>124</v>
      </c>
      <c r="M6" s="138"/>
      <c r="N6" s="139" t="s">
        <v>125</v>
      </c>
      <c r="O6" s="140"/>
      <c r="Q6" s="138" t="s">
        <v>126</v>
      </c>
      <c r="R6" s="138"/>
      <c r="S6" s="139"/>
      <c r="T6" s="140"/>
    </row>
    <row r="7" spans="2:20" ht="2.25" customHeight="1">
      <c r="B7" s="138" t="s">
        <v>127</v>
      </c>
      <c r="C7" s="138"/>
      <c r="D7" s="139" t="s">
        <v>125</v>
      </c>
      <c r="E7" s="140"/>
      <c r="G7" s="138" t="s">
        <v>128</v>
      </c>
      <c r="H7" s="138"/>
      <c r="I7" s="139"/>
      <c r="J7" s="140"/>
      <c r="L7" s="138" t="s">
        <v>127</v>
      </c>
      <c r="M7" s="138"/>
      <c r="N7" s="139" t="s">
        <v>125</v>
      </c>
      <c r="O7" s="140"/>
      <c r="Q7" s="138" t="s">
        <v>128</v>
      </c>
      <c r="R7" s="138"/>
      <c r="S7" s="139"/>
      <c r="T7" s="140"/>
    </row>
    <row r="8" spans="2:20" hidden="1">
      <c r="B8" s="138" t="s">
        <v>129</v>
      </c>
      <c r="C8" s="138"/>
      <c r="D8" s="139">
        <f>D13*D15</f>
        <v>305000</v>
      </c>
      <c r="E8" s="140"/>
      <c r="G8" s="138" t="s">
        <v>130</v>
      </c>
      <c r="H8" s="138"/>
      <c r="I8" s="139"/>
      <c r="J8" s="140"/>
      <c r="L8" s="138" t="s">
        <v>129</v>
      </c>
      <c r="M8" s="138"/>
      <c r="N8" s="139">
        <f>N14*N16</f>
        <v>305000</v>
      </c>
      <c r="O8" s="140"/>
      <c r="Q8" s="138" t="s">
        <v>130</v>
      </c>
      <c r="R8" s="138"/>
      <c r="S8" s="139"/>
      <c r="T8" s="140"/>
    </row>
    <row r="9" spans="2:20" hidden="1">
      <c r="B9" s="138" t="s">
        <v>131</v>
      </c>
      <c r="C9" s="138"/>
      <c r="D9" s="139" t="s">
        <v>132</v>
      </c>
      <c r="E9" s="140"/>
      <c r="G9" s="138" t="s">
        <v>133</v>
      </c>
      <c r="H9" s="138"/>
      <c r="I9" s="139"/>
      <c r="J9" s="140"/>
      <c r="L9" s="138" t="s">
        <v>131</v>
      </c>
      <c r="M9" s="138"/>
      <c r="N9" s="139" t="s">
        <v>132</v>
      </c>
      <c r="O9" s="140"/>
      <c r="Q9" s="138" t="s">
        <v>133</v>
      </c>
      <c r="R9" s="138"/>
      <c r="S9" s="139"/>
      <c r="T9" s="140"/>
    </row>
    <row r="10" spans="2:20" hidden="1">
      <c r="B10" s="138" t="s">
        <v>134</v>
      </c>
      <c r="C10" s="138"/>
      <c r="D10" s="139">
        <v>43084</v>
      </c>
      <c r="E10" s="140"/>
      <c r="G10" s="105" t="s">
        <v>135</v>
      </c>
      <c r="H10" s="105"/>
      <c r="I10" s="139"/>
      <c r="J10" s="140"/>
      <c r="L10" s="138" t="s">
        <v>134</v>
      </c>
      <c r="M10" s="138"/>
      <c r="N10" s="139">
        <v>43084</v>
      </c>
      <c r="O10" s="140"/>
      <c r="Q10" s="105" t="s">
        <v>135</v>
      </c>
      <c r="R10" s="105"/>
      <c r="S10" s="139"/>
      <c r="T10" s="140"/>
    </row>
    <row r="11" spans="2:20" hidden="1">
      <c r="B11" s="138" t="s">
        <v>136</v>
      </c>
      <c r="C11" s="138"/>
      <c r="D11" s="139">
        <v>3935</v>
      </c>
      <c r="E11" s="140"/>
      <c r="G11" s="138" t="s">
        <v>137</v>
      </c>
      <c r="H11" s="138"/>
      <c r="I11" s="139"/>
      <c r="J11" s="140"/>
      <c r="L11" s="138" t="s">
        <v>136</v>
      </c>
      <c r="M11" s="138"/>
      <c r="N11" s="139">
        <v>3935</v>
      </c>
      <c r="O11" s="140"/>
      <c r="Q11" s="138" t="s">
        <v>137</v>
      </c>
      <c r="R11" s="138"/>
      <c r="S11" s="139"/>
      <c r="T11" s="140"/>
    </row>
    <row r="12" spans="2:20" hidden="1">
      <c r="B12" s="138" t="s">
        <v>138</v>
      </c>
      <c r="C12" s="138"/>
      <c r="D12" s="139">
        <v>3800</v>
      </c>
      <c r="E12" s="140"/>
      <c r="G12" s="138" t="s">
        <v>139</v>
      </c>
      <c r="H12" s="138"/>
      <c r="I12" s="139"/>
      <c r="J12" s="140"/>
      <c r="L12" s="138" t="s">
        <v>163</v>
      </c>
      <c r="M12" s="138"/>
      <c r="N12" s="139">
        <v>3800</v>
      </c>
      <c r="O12" s="140"/>
      <c r="Q12" s="138" t="s">
        <v>167</v>
      </c>
      <c r="R12" s="138"/>
      <c r="S12" s="139"/>
      <c r="T12" s="140"/>
    </row>
    <row r="13" spans="2:20" hidden="1">
      <c r="B13" s="138" t="s">
        <v>140</v>
      </c>
      <c r="C13" s="138"/>
      <c r="D13" s="139">
        <v>61</v>
      </c>
      <c r="E13" s="140"/>
      <c r="G13" s="138" t="s">
        <v>141</v>
      </c>
      <c r="H13" s="138"/>
      <c r="I13" s="139"/>
      <c r="J13" s="140"/>
      <c r="L13" s="138" t="s">
        <v>164</v>
      </c>
      <c r="M13" s="138"/>
      <c r="N13" s="139">
        <v>3800</v>
      </c>
      <c r="O13" s="140"/>
      <c r="Q13" s="138" t="s">
        <v>168</v>
      </c>
      <c r="R13" s="138"/>
      <c r="S13" s="139"/>
      <c r="T13" s="140"/>
    </row>
    <row r="14" spans="2:20" hidden="1">
      <c r="B14" s="138" t="s">
        <v>142</v>
      </c>
      <c r="C14" s="138"/>
      <c r="D14" s="139" t="s">
        <v>143</v>
      </c>
      <c r="E14" s="140"/>
      <c r="G14" s="138" t="s">
        <v>144</v>
      </c>
      <c r="H14" s="138"/>
      <c r="I14" s="106"/>
      <c r="J14" s="107"/>
      <c r="L14" s="138" t="s">
        <v>140</v>
      </c>
      <c r="M14" s="138"/>
      <c r="N14" s="139">
        <v>61</v>
      </c>
      <c r="O14" s="140"/>
      <c r="Q14" s="138" t="s">
        <v>141</v>
      </c>
      <c r="R14" s="138"/>
      <c r="S14" s="139"/>
      <c r="T14" s="140"/>
    </row>
    <row r="15" spans="2:20" hidden="1">
      <c r="B15" s="138" t="s">
        <v>145</v>
      </c>
      <c r="C15" s="138"/>
      <c r="D15" s="139">
        <v>5000</v>
      </c>
      <c r="E15" s="140"/>
      <c r="G15" s="138" t="s">
        <v>146</v>
      </c>
      <c r="H15" s="138"/>
      <c r="I15" s="139"/>
      <c r="J15" s="140"/>
      <c r="L15" s="138" t="s">
        <v>142</v>
      </c>
      <c r="M15" s="138"/>
      <c r="N15" s="139" t="s">
        <v>143</v>
      </c>
      <c r="O15" s="140"/>
      <c r="Q15" s="138" t="s">
        <v>144</v>
      </c>
      <c r="R15" s="138"/>
      <c r="S15" s="106"/>
      <c r="T15" s="107"/>
    </row>
    <row r="16" spans="2:20" ht="11.25" hidden="1" thickBot="1">
      <c r="B16" s="135" t="s">
        <v>147</v>
      </c>
      <c r="C16" s="135"/>
      <c r="D16" s="136" t="s">
        <v>148</v>
      </c>
      <c r="E16" s="137"/>
      <c r="G16" s="135" t="s">
        <v>149</v>
      </c>
      <c r="H16" s="135"/>
      <c r="I16" s="136"/>
      <c r="J16" s="137"/>
      <c r="L16" s="138" t="s">
        <v>145</v>
      </c>
      <c r="M16" s="138"/>
      <c r="N16" s="139">
        <v>5000</v>
      </c>
      <c r="O16" s="140"/>
      <c r="Q16" s="138" t="s">
        <v>146</v>
      </c>
      <c r="R16" s="138"/>
      <c r="S16" s="139"/>
      <c r="T16" s="140"/>
    </row>
    <row r="17" spans="2:25" ht="12" hidden="1" thickTop="1" thickBot="1">
      <c r="L17" s="135" t="s">
        <v>147</v>
      </c>
      <c r="M17" s="135"/>
      <c r="N17" s="136" t="s">
        <v>148</v>
      </c>
      <c r="O17" s="137"/>
      <c r="Q17" s="135" t="s">
        <v>149</v>
      </c>
      <c r="R17" s="135"/>
      <c r="S17" s="136"/>
      <c r="T17" s="137"/>
    </row>
    <row r="19" spans="2:25">
      <c r="B19" s="108" t="s">
        <v>150</v>
      </c>
    </row>
    <row r="21" spans="2:25" ht="11.25" thickBot="1">
      <c r="B21" s="109"/>
      <c r="C21" s="109"/>
      <c r="D21" s="109"/>
      <c r="E21" s="109"/>
      <c r="G21" s="109"/>
      <c r="H21" s="109"/>
      <c r="I21" s="109"/>
      <c r="J21" s="109"/>
      <c r="L21" s="109"/>
      <c r="M21" s="109"/>
      <c r="N21" s="109"/>
      <c r="O21" s="109"/>
      <c r="Q21" s="109"/>
      <c r="R21" s="109"/>
      <c r="S21" s="109"/>
      <c r="T21" s="109"/>
      <c r="V21" s="109"/>
      <c r="W21" s="109"/>
      <c r="X21" s="109"/>
      <c r="Y21" s="109"/>
    </row>
    <row r="22" spans="2:25" ht="12.75" thickTop="1" thickBot="1">
      <c r="B22" s="132" t="s">
        <v>221</v>
      </c>
      <c r="C22" s="132"/>
      <c r="D22" s="132"/>
      <c r="E22" s="132"/>
      <c r="G22" s="132" t="s">
        <v>189</v>
      </c>
      <c r="H22" s="132"/>
      <c r="I22" s="132"/>
      <c r="J22" s="132"/>
      <c r="L22" s="134" t="s">
        <v>189</v>
      </c>
      <c r="M22" s="134"/>
      <c r="N22" s="134"/>
      <c r="O22" s="134"/>
      <c r="Q22" s="132" t="s">
        <v>188</v>
      </c>
      <c r="R22" s="132"/>
      <c r="S22" s="132"/>
      <c r="T22" s="132"/>
      <c r="V22" s="134" t="s">
        <v>189</v>
      </c>
      <c r="W22" s="134"/>
      <c r="X22" s="134"/>
      <c r="Y22" s="134"/>
    </row>
    <row r="23" spans="2:25" ht="12" thickTop="1">
      <c r="B23" s="124" t="s">
        <v>122</v>
      </c>
      <c r="C23" s="124"/>
      <c r="D23" s="130">
        <v>43209</v>
      </c>
      <c r="E23" s="133"/>
      <c r="G23" s="124" t="s">
        <v>122</v>
      </c>
      <c r="H23" s="124"/>
      <c r="I23" s="130">
        <f ca="1">TODAY()</f>
        <v>43231</v>
      </c>
      <c r="J23" s="133"/>
      <c r="L23" s="124" t="s">
        <v>122</v>
      </c>
      <c r="M23" s="124"/>
      <c r="N23" s="130">
        <f ca="1">TODAY()</f>
        <v>43231</v>
      </c>
      <c r="O23" s="133"/>
      <c r="Q23" s="124" t="s">
        <v>122</v>
      </c>
      <c r="R23" s="124"/>
      <c r="S23" s="130">
        <f ca="1">TODAY()-1</f>
        <v>43230</v>
      </c>
      <c r="T23" s="133"/>
      <c r="V23" s="124" t="s">
        <v>122</v>
      </c>
      <c r="W23" s="124"/>
      <c r="X23" s="130">
        <f ca="1">TODAY()-1</f>
        <v>43230</v>
      </c>
      <c r="Y23" s="133"/>
    </row>
    <row r="24" spans="2:25" ht="11.25">
      <c r="B24" s="124" t="s">
        <v>124</v>
      </c>
      <c r="C24" s="124"/>
      <c r="D24" s="125" t="s">
        <v>186</v>
      </c>
      <c r="E24" s="126"/>
      <c r="G24" s="124" t="s">
        <v>124</v>
      </c>
      <c r="H24" s="124"/>
      <c r="I24" s="125" t="s">
        <v>186</v>
      </c>
      <c r="J24" s="126"/>
      <c r="L24" s="124" t="s">
        <v>124</v>
      </c>
      <c r="M24" s="124"/>
      <c r="N24" s="125" t="s">
        <v>36</v>
      </c>
      <c r="O24" s="126"/>
      <c r="Q24" s="124" t="s">
        <v>124</v>
      </c>
      <c r="R24" s="124"/>
      <c r="S24" s="125" t="s">
        <v>36</v>
      </c>
      <c r="T24" s="126"/>
      <c r="V24" s="124" t="s">
        <v>124</v>
      </c>
      <c r="W24" s="124"/>
      <c r="X24" s="125" t="s">
        <v>36</v>
      </c>
      <c r="Y24" s="126"/>
    </row>
    <row r="25" spans="2:25" ht="11.25">
      <c r="B25" s="124" t="s">
        <v>127</v>
      </c>
      <c r="C25" s="124"/>
      <c r="D25" s="125" t="s">
        <v>222</v>
      </c>
      <c r="E25" s="126"/>
      <c r="G25" s="124" t="s">
        <v>127</v>
      </c>
      <c r="H25" s="124"/>
      <c r="I25" s="125" t="s">
        <v>5</v>
      </c>
      <c r="J25" s="126"/>
      <c r="L25" s="124" t="s">
        <v>127</v>
      </c>
      <c r="M25" s="124"/>
      <c r="N25" s="125" t="s">
        <v>195</v>
      </c>
      <c r="O25" s="126"/>
      <c r="Q25" s="124" t="s">
        <v>127</v>
      </c>
      <c r="R25" s="124"/>
      <c r="S25" s="125" t="s">
        <v>187</v>
      </c>
      <c r="T25" s="126"/>
      <c r="V25" s="124" t="s">
        <v>127</v>
      </c>
      <c r="W25" s="124"/>
      <c r="X25" s="125" t="s">
        <v>187</v>
      </c>
      <c r="Y25" s="126"/>
    </row>
    <row r="26" spans="2:25" ht="11.25">
      <c r="B26" s="124" t="s">
        <v>129</v>
      </c>
      <c r="C26" s="124"/>
      <c r="D26" s="125">
        <f>D31*D33</f>
        <v>290000</v>
      </c>
      <c r="E26" s="126"/>
      <c r="G26" s="124" t="s">
        <v>179</v>
      </c>
      <c r="H26" s="124"/>
      <c r="I26" s="125">
        <f>I31*I33</f>
        <v>271800</v>
      </c>
      <c r="J26" s="126"/>
      <c r="L26" s="124" t="s">
        <v>129</v>
      </c>
      <c r="M26" s="124"/>
      <c r="N26" s="125">
        <f>N31*N33</f>
        <v>275000</v>
      </c>
      <c r="O26" s="126"/>
      <c r="Q26" s="124" t="s">
        <v>129</v>
      </c>
      <c r="R26" s="124"/>
      <c r="S26" s="125">
        <f>S31*S33</f>
        <v>235799.99999999997</v>
      </c>
      <c r="T26" s="126"/>
      <c r="V26" s="124" t="s">
        <v>129</v>
      </c>
      <c r="W26" s="124"/>
      <c r="X26" s="125">
        <f>X31*X33</f>
        <v>235799.99999999997</v>
      </c>
      <c r="Y26" s="126"/>
    </row>
    <row r="27" spans="2:25" ht="11.25">
      <c r="B27" s="124" t="s">
        <v>131</v>
      </c>
      <c r="C27" s="124"/>
      <c r="D27" s="125" t="s">
        <v>191</v>
      </c>
      <c r="E27" s="126"/>
      <c r="F27" s="100">
        <f>1160*250</f>
        <v>290000</v>
      </c>
      <c r="G27" s="124" t="s">
        <v>131</v>
      </c>
      <c r="H27" s="124"/>
      <c r="I27" s="125" t="s">
        <v>197</v>
      </c>
      <c r="J27" s="126"/>
      <c r="L27" s="124" t="s">
        <v>131</v>
      </c>
      <c r="M27" s="124"/>
      <c r="N27" s="125" t="s">
        <v>190</v>
      </c>
      <c r="O27" s="126"/>
      <c r="Q27" s="124" t="s">
        <v>131</v>
      </c>
      <c r="R27" s="124"/>
      <c r="S27" s="125" t="s">
        <v>191</v>
      </c>
      <c r="T27" s="126"/>
      <c r="V27" s="124" t="s">
        <v>131</v>
      </c>
      <c r="W27" s="124"/>
      <c r="X27" s="125" t="s">
        <v>190</v>
      </c>
      <c r="Y27" s="126"/>
    </row>
    <row r="28" spans="2:25" ht="11.25">
      <c r="B28" s="124" t="s">
        <v>134</v>
      </c>
      <c r="C28" s="124"/>
      <c r="D28" s="130">
        <v>43222</v>
      </c>
      <c r="E28" s="126"/>
      <c r="G28" s="124" t="s">
        <v>134</v>
      </c>
      <c r="H28" s="124"/>
      <c r="I28" s="130">
        <v>43182</v>
      </c>
      <c r="J28" s="126"/>
      <c r="L28" s="124" t="s">
        <v>134</v>
      </c>
      <c r="M28" s="124"/>
      <c r="N28" s="130">
        <v>43219</v>
      </c>
      <c r="O28" s="126"/>
      <c r="Q28" s="124" t="s">
        <v>134</v>
      </c>
      <c r="R28" s="124"/>
      <c r="S28" s="130">
        <v>43201</v>
      </c>
      <c r="T28" s="126"/>
      <c r="V28" s="124" t="s">
        <v>134</v>
      </c>
      <c r="W28" s="124"/>
      <c r="X28" s="130">
        <v>43201</v>
      </c>
      <c r="Y28" s="126"/>
    </row>
    <row r="29" spans="2:25" ht="11.25">
      <c r="B29" s="124" t="s">
        <v>136</v>
      </c>
      <c r="C29" s="124"/>
      <c r="D29" s="125">
        <v>108500</v>
      </c>
      <c r="E29" s="126"/>
      <c r="G29" s="124" t="s">
        <v>136</v>
      </c>
      <c r="H29" s="124"/>
      <c r="I29" s="125">
        <v>3856</v>
      </c>
      <c r="J29" s="126"/>
      <c r="L29" s="124" t="s">
        <v>136</v>
      </c>
      <c r="M29" s="124"/>
      <c r="N29" s="125">
        <v>3760</v>
      </c>
      <c r="O29" s="126"/>
      <c r="Q29" s="124" t="s">
        <v>136</v>
      </c>
      <c r="R29" s="124"/>
      <c r="S29" s="125">
        <v>524</v>
      </c>
      <c r="T29" s="126"/>
      <c r="V29" s="124" t="s">
        <v>136</v>
      </c>
      <c r="W29" s="124"/>
      <c r="X29" s="125">
        <v>524</v>
      </c>
      <c r="Y29" s="126"/>
    </row>
    <row r="30" spans="2:25" ht="11.25">
      <c r="B30" s="124" t="s">
        <v>138</v>
      </c>
      <c r="C30" s="124"/>
      <c r="D30" s="125">
        <v>110000</v>
      </c>
      <c r="E30" s="126"/>
      <c r="G30" s="124" t="s">
        <v>138</v>
      </c>
      <c r="H30" s="124"/>
      <c r="I30" s="125">
        <v>3930</v>
      </c>
      <c r="J30" s="126"/>
      <c r="L30" s="124" t="s">
        <v>138</v>
      </c>
      <c r="M30" s="124"/>
      <c r="N30" s="125">
        <v>3700</v>
      </c>
      <c r="O30" s="126"/>
      <c r="Q30" s="124" t="s">
        <v>138</v>
      </c>
      <c r="R30" s="124"/>
      <c r="S30" s="125">
        <v>524</v>
      </c>
      <c r="T30" s="126"/>
      <c r="V30" s="124" t="s">
        <v>138</v>
      </c>
      <c r="W30" s="124"/>
      <c r="X30" s="125">
        <v>524</v>
      </c>
      <c r="Y30" s="126"/>
    </row>
    <row r="31" spans="2:25" ht="11.25">
      <c r="B31" s="124" t="s">
        <v>140</v>
      </c>
      <c r="C31" s="124"/>
      <c r="D31" s="125">
        <v>1160</v>
      </c>
      <c r="E31" s="126"/>
      <c r="G31" s="124" t="s">
        <v>198</v>
      </c>
      <c r="H31" s="124"/>
      <c r="I31" s="125">
        <v>27.18</v>
      </c>
      <c r="J31" s="126"/>
      <c r="L31" s="124" t="s">
        <v>140</v>
      </c>
      <c r="M31" s="124"/>
      <c r="N31" s="125">
        <v>55</v>
      </c>
      <c r="O31" s="126"/>
      <c r="Q31" s="124" t="s">
        <v>140</v>
      </c>
      <c r="R31" s="124"/>
      <c r="S31" s="125">
        <v>23.58</v>
      </c>
      <c r="T31" s="126"/>
      <c r="V31" s="124" t="s">
        <v>140</v>
      </c>
      <c r="W31" s="124"/>
      <c r="X31" s="125">
        <v>23.58</v>
      </c>
      <c r="Y31" s="126"/>
    </row>
    <row r="32" spans="2:25" ht="11.25">
      <c r="B32" s="124" t="s">
        <v>142</v>
      </c>
      <c r="C32" s="124"/>
      <c r="D32" s="125" t="s">
        <v>209</v>
      </c>
      <c r="E32" s="126"/>
      <c r="G32" s="124" t="s">
        <v>199</v>
      </c>
      <c r="H32" s="124"/>
      <c r="I32" s="125" t="s">
        <v>196</v>
      </c>
      <c r="J32" s="126"/>
      <c r="L32" s="124" t="s">
        <v>142</v>
      </c>
      <c r="M32" s="124"/>
      <c r="N32" s="125" t="s">
        <v>194</v>
      </c>
      <c r="O32" s="126"/>
      <c r="Q32" s="124" t="s">
        <v>142</v>
      </c>
      <c r="R32" s="124"/>
      <c r="S32" s="125" t="s">
        <v>192</v>
      </c>
      <c r="T32" s="126"/>
      <c r="V32" s="124" t="s">
        <v>142</v>
      </c>
      <c r="W32" s="124"/>
      <c r="X32" s="125" t="s">
        <v>192</v>
      </c>
      <c r="Y32" s="126"/>
    </row>
    <row r="33" spans="2:25" ht="11.25">
      <c r="B33" s="124" t="s">
        <v>145</v>
      </c>
      <c r="C33" s="124"/>
      <c r="D33" s="125">
        <v>250</v>
      </c>
      <c r="E33" s="126"/>
      <c r="G33" s="124" t="s">
        <v>200</v>
      </c>
      <c r="H33" s="124"/>
      <c r="I33" s="125">
        <v>10000</v>
      </c>
      <c r="J33" s="126"/>
      <c r="L33" s="124" t="s">
        <v>145</v>
      </c>
      <c r="M33" s="124"/>
      <c r="N33" s="125">
        <v>5000</v>
      </c>
      <c r="O33" s="126"/>
      <c r="Q33" s="124" t="s">
        <v>145</v>
      </c>
      <c r="R33" s="124"/>
      <c r="S33" s="125">
        <v>10000</v>
      </c>
      <c r="T33" s="126"/>
      <c r="V33" s="124" t="s">
        <v>145</v>
      </c>
      <c r="W33" s="124"/>
      <c r="X33" s="125">
        <v>10000</v>
      </c>
      <c r="Y33" s="126"/>
    </row>
    <row r="34" spans="2:25" ht="12" thickBot="1">
      <c r="B34" s="127" t="s">
        <v>147</v>
      </c>
      <c r="C34" s="127"/>
      <c r="D34" s="128" t="s">
        <v>148</v>
      </c>
      <c r="E34" s="129"/>
      <c r="G34" s="127" t="s">
        <v>147</v>
      </c>
      <c r="H34" s="127"/>
      <c r="I34" s="128" t="s">
        <v>148</v>
      </c>
      <c r="J34" s="129"/>
      <c r="L34" s="127" t="s">
        <v>147</v>
      </c>
      <c r="M34" s="127"/>
      <c r="N34" s="128" t="s">
        <v>148</v>
      </c>
      <c r="O34" s="129"/>
      <c r="Q34" s="127" t="s">
        <v>147</v>
      </c>
      <c r="R34" s="127"/>
      <c r="S34" s="128" t="s">
        <v>148</v>
      </c>
      <c r="T34" s="129"/>
      <c r="V34" s="127" t="s">
        <v>147</v>
      </c>
      <c r="W34" s="127"/>
      <c r="X34" s="128" t="s">
        <v>148</v>
      </c>
      <c r="Y34" s="129"/>
    </row>
    <row r="35" spans="2:25" ht="11.25" thickTop="1"/>
    <row r="36" spans="2:25" ht="12" thickBot="1">
      <c r="B36" s="132" t="s">
        <v>243</v>
      </c>
      <c r="C36" s="132"/>
      <c r="D36" s="132"/>
      <c r="E36" s="132"/>
      <c r="G36" s="132" t="s">
        <v>244</v>
      </c>
      <c r="H36" s="132"/>
      <c r="I36" s="132"/>
      <c r="J36" s="132"/>
      <c r="L36" s="132" t="s">
        <v>206</v>
      </c>
      <c r="M36" s="132"/>
      <c r="N36" s="132"/>
      <c r="O36" s="132"/>
      <c r="Q36" s="132" t="s">
        <v>121</v>
      </c>
      <c r="R36" s="132"/>
      <c r="S36" s="132"/>
      <c r="T36" s="132"/>
    </row>
    <row r="37" spans="2:25" ht="12" thickTop="1">
      <c r="B37" s="124" t="s">
        <v>122</v>
      </c>
      <c r="C37" s="124"/>
      <c r="D37" s="130">
        <v>43229</v>
      </c>
      <c r="E37" s="133"/>
      <c r="G37" s="124" t="s">
        <v>122</v>
      </c>
      <c r="H37" s="124"/>
      <c r="I37" s="130">
        <v>43229</v>
      </c>
      <c r="J37" s="133"/>
      <c r="L37" s="124" t="s">
        <v>122</v>
      </c>
      <c r="M37" s="124"/>
      <c r="N37" s="130">
        <v>43214</v>
      </c>
      <c r="O37" s="133"/>
      <c r="Q37" s="124" t="s">
        <v>122</v>
      </c>
      <c r="R37" s="124"/>
      <c r="S37" s="130">
        <v>43209</v>
      </c>
      <c r="T37" s="133"/>
    </row>
    <row r="38" spans="2:25" ht="11.25">
      <c r="B38" s="124" t="s">
        <v>124</v>
      </c>
      <c r="C38" s="124"/>
      <c r="D38" s="125" t="s">
        <v>187</v>
      </c>
      <c r="E38" s="126"/>
      <c r="G38" s="124" t="s">
        <v>124</v>
      </c>
      <c r="H38" s="124"/>
      <c r="I38" s="125" t="s">
        <v>187</v>
      </c>
      <c r="J38" s="126"/>
      <c r="L38" s="124" t="s">
        <v>124</v>
      </c>
      <c r="M38" s="124"/>
      <c r="N38" s="125" t="s">
        <v>204</v>
      </c>
      <c r="O38" s="126"/>
      <c r="Q38" s="124" t="s">
        <v>124</v>
      </c>
      <c r="R38" s="124"/>
      <c r="S38" s="125" t="s">
        <v>218</v>
      </c>
      <c r="T38" s="126"/>
    </row>
    <row r="39" spans="2:25" ht="11.25">
      <c r="B39" s="124" t="s">
        <v>127</v>
      </c>
      <c r="C39" s="124"/>
      <c r="D39" s="125" t="s">
        <v>226</v>
      </c>
      <c r="E39" s="126"/>
      <c r="G39" s="124" t="s">
        <v>127</v>
      </c>
      <c r="H39" s="124"/>
      <c r="I39" s="125" t="s">
        <v>204</v>
      </c>
      <c r="J39" s="126"/>
      <c r="L39" s="124" t="s">
        <v>127</v>
      </c>
      <c r="M39" s="124"/>
      <c r="N39" s="125" t="s">
        <v>4</v>
      </c>
      <c r="O39" s="126"/>
      <c r="Q39" s="124" t="s">
        <v>127</v>
      </c>
      <c r="R39" s="124"/>
      <c r="S39" s="125" t="s">
        <v>204</v>
      </c>
      <c r="T39" s="126"/>
    </row>
    <row r="40" spans="2:25" ht="11.25">
      <c r="B40" s="124" t="s">
        <v>179</v>
      </c>
      <c r="C40" s="124"/>
      <c r="D40" s="125">
        <f>D47*D45</f>
        <v>410500.00000000006</v>
      </c>
      <c r="E40" s="126"/>
      <c r="G40" s="124" t="s">
        <v>179</v>
      </c>
      <c r="H40" s="124"/>
      <c r="I40" s="125">
        <f>I45*I47</f>
        <v>410500.00000000006</v>
      </c>
      <c r="J40" s="126"/>
      <c r="L40" s="124" t="s">
        <v>129</v>
      </c>
      <c r="M40" s="124"/>
      <c r="N40" s="125">
        <f>N45*N47</f>
        <v>2117500</v>
      </c>
      <c r="O40" s="126"/>
      <c r="Q40" s="124" t="s">
        <v>179</v>
      </c>
      <c r="R40" s="124"/>
      <c r="S40" s="125">
        <f>S45*S47</f>
        <v>1045200</v>
      </c>
      <c r="T40" s="126"/>
    </row>
    <row r="41" spans="2:25" ht="11.25">
      <c r="B41" s="124" t="s">
        <v>131</v>
      </c>
      <c r="C41" s="124"/>
      <c r="D41" s="125" t="s">
        <v>227</v>
      </c>
      <c r="E41" s="126"/>
      <c r="G41" s="124" t="s">
        <v>131</v>
      </c>
      <c r="H41" s="124"/>
      <c r="I41" s="125" t="s">
        <v>219</v>
      </c>
      <c r="J41" s="126"/>
      <c r="L41" s="124" t="s">
        <v>131</v>
      </c>
      <c r="M41" s="124"/>
      <c r="N41" s="125" t="s">
        <v>208</v>
      </c>
      <c r="O41" s="126"/>
      <c r="Q41" s="124" t="s">
        <v>131</v>
      </c>
      <c r="R41" s="124"/>
      <c r="S41" s="125" t="s">
        <v>219</v>
      </c>
      <c r="T41" s="126"/>
    </row>
    <row r="42" spans="2:25" ht="11.25">
      <c r="B42" s="124" t="s">
        <v>134</v>
      </c>
      <c r="C42" s="124"/>
      <c r="D42" s="130">
        <f>D37+98</f>
        <v>43327</v>
      </c>
      <c r="E42" s="126"/>
      <c r="G42" s="124" t="s">
        <v>134</v>
      </c>
      <c r="H42" s="124"/>
      <c r="I42" s="130">
        <f>I37+98</f>
        <v>43327</v>
      </c>
      <c r="J42" s="126"/>
      <c r="L42" s="124" t="s">
        <v>134</v>
      </c>
      <c r="M42" s="124"/>
      <c r="N42" s="130">
        <v>43266</v>
      </c>
      <c r="O42" s="126"/>
      <c r="Q42" s="124" t="s">
        <v>134</v>
      </c>
      <c r="R42" s="124"/>
      <c r="S42" s="130">
        <v>43266</v>
      </c>
      <c r="T42" s="126"/>
    </row>
    <row r="43" spans="2:25" ht="11.25">
      <c r="B43" s="124" t="s">
        <v>136</v>
      </c>
      <c r="C43" s="124"/>
      <c r="D43" s="125">
        <v>470.5</v>
      </c>
      <c r="E43" s="126"/>
      <c r="G43" s="124" t="s">
        <v>136</v>
      </c>
      <c r="H43" s="124"/>
      <c r="I43" s="125">
        <v>470.5</v>
      </c>
      <c r="J43" s="126"/>
      <c r="L43" s="124" t="s">
        <v>136</v>
      </c>
      <c r="M43" s="131"/>
      <c r="N43" s="125">
        <v>14535</v>
      </c>
      <c r="O43" s="126"/>
      <c r="Q43" s="124" t="s">
        <v>136</v>
      </c>
      <c r="R43" s="124"/>
      <c r="S43" s="125">
        <v>15250</v>
      </c>
      <c r="T43" s="126"/>
    </row>
    <row r="44" spans="2:25" ht="11.25">
      <c r="B44" s="124" t="s">
        <v>138</v>
      </c>
      <c r="C44" s="124"/>
      <c r="D44" s="125">
        <v>470.5</v>
      </c>
      <c r="E44" s="126"/>
      <c r="F44" s="100">
        <f>D44*1.55/100</f>
        <v>7.2927499999999998</v>
      </c>
      <c r="G44" s="124" t="s">
        <v>138</v>
      </c>
      <c r="H44" s="124"/>
      <c r="I44" s="125">
        <v>470.5</v>
      </c>
      <c r="J44" s="126"/>
      <c r="L44" s="124" t="s">
        <v>138</v>
      </c>
      <c r="M44" s="124"/>
      <c r="N44" s="125">
        <v>14500</v>
      </c>
      <c r="O44" s="126"/>
      <c r="Q44" s="124" t="s">
        <v>138</v>
      </c>
      <c r="R44" s="124"/>
      <c r="S44" s="125">
        <v>14500</v>
      </c>
      <c r="T44" s="126"/>
    </row>
    <row r="45" spans="2:25" ht="11.25">
      <c r="B45" s="124" t="s">
        <v>140</v>
      </c>
      <c r="C45" s="124"/>
      <c r="D45" s="125">
        <v>32.840000000000003</v>
      </c>
      <c r="E45" s="126"/>
      <c r="G45" s="124" t="s">
        <v>140</v>
      </c>
      <c r="H45" s="124"/>
      <c r="I45" s="125">
        <v>32.840000000000003</v>
      </c>
      <c r="J45" s="126"/>
      <c r="L45" s="124" t="s">
        <v>140</v>
      </c>
      <c r="M45" s="124"/>
      <c r="N45" s="125">
        <v>423.5</v>
      </c>
      <c r="O45" s="126"/>
      <c r="Q45" s="124" t="s">
        <v>198</v>
      </c>
      <c r="R45" s="124"/>
      <c r="S45" s="125">
        <v>209.04</v>
      </c>
      <c r="T45" s="126"/>
    </row>
    <row r="46" spans="2:25" ht="11.25">
      <c r="B46" s="124" t="s">
        <v>199</v>
      </c>
      <c r="C46" s="124"/>
      <c r="D46" s="125" t="s">
        <v>202</v>
      </c>
      <c r="E46" s="126"/>
      <c r="G46" s="124" t="s">
        <v>142</v>
      </c>
      <c r="H46" s="124"/>
      <c r="I46" s="125" t="s">
        <v>202</v>
      </c>
      <c r="J46" s="126"/>
      <c r="L46" s="124" t="s">
        <v>142</v>
      </c>
      <c r="M46" s="124"/>
      <c r="N46" s="125" t="s">
        <v>210</v>
      </c>
      <c r="O46" s="126"/>
      <c r="Q46" s="124" t="s">
        <v>142</v>
      </c>
      <c r="R46" s="124"/>
      <c r="S46" s="125" t="s">
        <v>220</v>
      </c>
      <c r="T46" s="126"/>
    </row>
    <row r="47" spans="2:25" ht="11.25">
      <c r="B47" s="124" t="s">
        <v>145</v>
      </c>
      <c r="C47" s="124"/>
      <c r="D47" s="125">
        <v>12500</v>
      </c>
      <c r="E47" s="126"/>
      <c r="G47" s="124" t="s">
        <v>145</v>
      </c>
      <c r="H47" s="124"/>
      <c r="I47" s="125">
        <v>12500</v>
      </c>
      <c r="J47" s="126"/>
      <c r="L47" s="124" t="s">
        <v>145</v>
      </c>
      <c r="M47" s="124"/>
      <c r="N47" s="125">
        <v>5000</v>
      </c>
      <c r="O47" s="126"/>
      <c r="Q47" s="124" t="s">
        <v>145</v>
      </c>
      <c r="R47" s="124"/>
      <c r="S47" s="125">
        <v>5000</v>
      </c>
      <c r="T47" s="126"/>
    </row>
    <row r="48" spans="2:25" ht="12" thickBot="1">
      <c r="B48" s="127" t="s">
        <v>147</v>
      </c>
      <c r="C48" s="127"/>
      <c r="D48" s="128" t="s">
        <v>228</v>
      </c>
      <c r="E48" s="129"/>
      <c r="G48" s="127" t="s">
        <v>147</v>
      </c>
      <c r="H48" s="127"/>
      <c r="I48" s="128" t="s">
        <v>207</v>
      </c>
      <c r="J48" s="129"/>
      <c r="L48" s="127" t="s">
        <v>147</v>
      </c>
      <c r="M48" s="127"/>
      <c r="N48" s="128" t="s">
        <v>205</v>
      </c>
      <c r="O48" s="129"/>
      <c r="Q48" s="127" t="s">
        <v>147</v>
      </c>
      <c r="R48" s="127"/>
      <c r="S48" s="128" t="s">
        <v>207</v>
      </c>
      <c r="T48" s="129"/>
    </row>
    <row r="49" spans="2:5" ht="12.75" thickTop="1" thickBot="1">
      <c r="B49" s="132" t="s">
        <v>244</v>
      </c>
      <c r="C49" s="132"/>
      <c r="D49" s="132"/>
      <c r="E49" s="132"/>
    </row>
    <row r="50" spans="2:5" ht="12" thickTop="1">
      <c r="B50" s="124" t="s">
        <v>122</v>
      </c>
      <c r="C50" s="124"/>
      <c r="D50" s="130">
        <v>43229</v>
      </c>
      <c r="E50" s="133"/>
    </row>
    <row r="51" spans="2:5" ht="11.25">
      <c r="B51" s="124" t="s">
        <v>124</v>
      </c>
      <c r="C51" s="124"/>
      <c r="D51" s="125" t="s">
        <v>187</v>
      </c>
      <c r="E51" s="126"/>
    </row>
    <row r="52" spans="2:5" ht="11.25">
      <c r="B52" s="124" t="s">
        <v>127</v>
      </c>
      <c r="C52" s="124"/>
      <c r="D52" s="125" t="s">
        <v>204</v>
      </c>
      <c r="E52" s="126"/>
    </row>
    <row r="53" spans="2:5" ht="11.25">
      <c r="B53" s="124" t="s">
        <v>179</v>
      </c>
      <c r="C53" s="124"/>
      <c r="D53" s="125">
        <f>D58*D60</f>
        <v>410500.00000000006</v>
      </c>
      <c r="E53" s="126"/>
    </row>
    <row r="54" spans="2:5" ht="11.25">
      <c r="B54" s="124" t="s">
        <v>131</v>
      </c>
      <c r="C54" s="124"/>
      <c r="D54" s="125" t="s">
        <v>190</v>
      </c>
      <c r="E54" s="126"/>
    </row>
    <row r="55" spans="2:5" ht="11.25">
      <c r="B55" s="124" t="s">
        <v>134</v>
      </c>
      <c r="C55" s="124"/>
      <c r="D55" s="130">
        <f>D50+98</f>
        <v>43327</v>
      </c>
      <c r="E55" s="126"/>
    </row>
    <row r="56" spans="2:5" ht="11.25">
      <c r="B56" s="124" t="s">
        <v>136</v>
      </c>
      <c r="C56" s="124"/>
      <c r="D56" s="125">
        <v>470.5</v>
      </c>
      <c r="E56" s="126"/>
    </row>
    <row r="57" spans="2:5" ht="11.25">
      <c r="B57" s="124" t="s">
        <v>138</v>
      </c>
      <c r="C57" s="124"/>
      <c r="D57" s="125">
        <v>470.5</v>
      </c>
      <c r="E57" s="126"/>
    </row>
    <row r="58" spans="2:5" ht="11.25">
      <c r="B58" s="124" t="s">
        <v>140</v>
      </c>
      <c r="C58" s="124"/>
      <c r="D58" s="125">
        <v>32.840000000000003</v>
      </c>
      <c r="E58" s="126"/>
    </row>
    <row r="59" spans="2:5" ht="11.25">
      <c r="B59" s="124" t="s">
        <v>142</v>
      </c>
      <c r="C59" s="124"/>
      <c r="D59" s="125" t="s">
        <v>202</v>
      </c>
      <c r="E59" s="126"/>
    </row>
    <row r="60" spans="2:5" ht="11.25">
      <c r="B60" s="124" t="s">
        <v>145</v>
      </c>
      <c r="C60" s="124"/>
      <c r="D60" s="125">
        <v>12500</v>
      </c>
      <c r="E60" s="126"/>
    </row>
    <row r="61" spans="2:5" ht="12" thickBot="1">
      <c r="B61" s="127" t="s">
        <v>147</v>
      </c>
      <c r="C61" s="127"/>
      <c r="D61" s="128" t="s">
        <v>207</v>
      </c>
      <c r="E61" s="129"/>
    </row>
    <row r="62" spans="2:5" ht="11.25" thickTop="1"/>
  </sheetData>
  <mergeCells count="351">
    <mergeCell ref="B59:C59"/>
    <mergeCell ref="D59:E59"/>
    <mergeCell ref="B60:C60"/>
    <mergeCell ref="D60:E60"/>
    <mergeCell ref="B61:C61"/>
    <mergeCell ref="D61:E61"/>
    <mergeCell ref="B54:C54"/>
    <mergeCell ref="D54:E54"/>
    <mergeCell ref="B55:C55"/>
    <mergeCell ref="D55:E55"/>
    <mergeCell ref="B56:C56"/>
    <mergeCell ref="D56:E56"/>
    <mergeCell ref="B57:C57"/>
    <mergeCell ref="D57:E57"/>
    <mergeCell ref="B58:C58"/>
    <mergeCell ref="D58:E58"/>
    <mergeCell ref="B49:E49"/>
    <mergeCell ref="B50:C50"/>
    <mergeCell ref="D50:E50"/>
    <mergeCell ref="B51:C51"/>
    <mergeCell ref="D51:E51"/>
    <mergeCell ref="B52:C52"/>
    <mergeCell ref="D52:E52"/>
    <mergeCell ref="B53:C53"/>
    <mergeCell ref="D53:E53"/>
    <mergeCell ref="Q46:R46"/>
    <mergeCell ref="S46:T46"/>
    <mergeCell ref="Q47:R47"/>
    <mergeCell ref="S47:T47"/>
    <mergeCell ref="Q48:R48"/>
    <mergeCell ref="S48:T48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36:T36"/>
    <mergeCell ref="Q37:R37"/>
    <mergeCell ref="S37:T37"/>
    <mergeCell ref="Q38:R38"/>
    <mergeCell ref="S38:T38"/>
    <mergeCell ref="Q39:R39"/>
    <mergeCell ref="S39:T39"/>
    <mergeCell ref="Q40:R40"/>
    <mergeCell ref="S40:T40"/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G47:H47"/>
    <mergeCell ref="I47:J47"/>
    <mergeCell ref="G48:H48"/>
    <mergeCell ref="I48:J48"/>
    <mergeCell ref="G41:H41"/>
    <mergeCell ref="I41:J41"/>
    <mergeCell ref="G42:H42"/>
    <mergeCell ref="I42:J42"/>
    <mergeCell ref="G43:H43"/>
    <mergeCell ref="I43:J43"/>
    <mergeCell ref="G44:H44"/>
    <mergeCell ref="I44:J44"/>
    <mergeCell ref="G45:H45"/>
    <mergeCell ref="I45:J45"/>
    <mergeCell ref="L36:O36"/>
    <mergeCell ref="L37:M37"/>
    <mergeCell ref="N37:O37"/>
    <mergeCell ref="L38:M38"/>
    <mergeCell ref="L39:M39"/>
    <mergeCell ref="L40:M40"/>
    <mergeCell ref="N40:O40"/>
    <mergeCell ref="G46:H46"/>
    <mergeCell ref="I46:J46"/>
    <mergeCell ref="G36:J36"/>
    <mergeCell ref="G37:H37"/>
    <mergeCell ref="I37:J37"/>
    <mergeCell ref="G38:H38"/>
    <mergeCell ref="I38:J38"/>
    <mergeCell ref="G39:H39"/>
    <mergeCell ref="I39:J39"/>
    <mergeCell ref="G40:H40"/>
    <mergeCell ref="I40:J40"/>
    <mergeCell ref="L46:M46"/>
    <mergeCell ref="N46:O46"/>
    <mergeCell ref="L47:M47"/>
    <mergeCell ref="N47:O47"/>
    <mergeCell ref="L48:M48"/>
    <mergeCell ref="N48:O48"/>
    <mergeCell ref="N38:O38"/>
    <mergeCell ref="N39:O39"/>
    <mergeCell ref="L41:M41"/>
    <mergeCell ref="N41:O41"/>
    <mergeCell ref="L42:M42"/>
    <mergeCell ref="N42:O42"/>
    <mergeCell ref="L43:M43"/>
    <mergeCell ref="N43:O43"/>
    <mergeCell ref="L44:M44"/>
    <mergeCell ref="N44:O44"/>
    <mergeCell ref="L45:M45"/>
    <mergeCell ref="N45:O45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79"/>
  <sheetViews>
    <sheetView topLeftCell="C34" zoomScaleNormal="100" workbookViewId="0">
      <selection activeCell="K50" sqref="K50"/>
    </sheetView>
  </sheetViews>
  <sheetFormatPr defaultColWidth="9" defaultRowHeight="11.25"/>
  <cols>
    <col min="1" max="1" width="8.125" style="6" customWidth="1"/>
    <col min="2" max="2" width="27" style="6" customWidth="1"/>
    <col min="3" max="3" width="19.375" style="6" customWidth="1"/>
    <col min="4" max="4" width="13.875" style="6" bestFit="1" customWidth="1"/>
    <col min="5" max="6" width="9" style="6"/>
    <col min="7" max="7" width="9.75" style="6" bestFit="1" customWidth="1"/>
    <col min="8" max="8" width="15" style="6" customWidth="1"/>
    <col min="9" max="9" width="11" style="6" customWidth="1"/>
    <col min="10" max="10" width="8.125" style="6" customWidth="1"/>
    <col min="11" max="11" width="7.25" style="6" customWidth="1"/>
    <col min="12" max="12" width="15.75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25" width="9" style="6"/>
    <col min="26" max="26" width="15.5" style="6" bestFit="1" customWidth="1"/>
    <col min="27" max="16384" width="9" style="6"/>
  </cols>
  <sheetData>
    <row r="1" spans="1:25" ht="13.5" customHeight="1" thickBot="1">
      <c r="B1" s="146" t="s">
        <v>37</v>
      </c>
      <c r="C1" s="146"/>
    </row>
    <row r="2" spans="1:25" ht="12" thickTop="1">
      <c r="B2" s="3" t="s">
        <v>0</v>
      </c>
      <c r="C2" s="4">
        <v>43111</v>
      </c>
    </row>
    <row r="3" spans="1:25" ht="13.5">
      <c r="A3" s="39" t="s">
        <v>193</v>
      </c>
      <c r="B3" s="3" t="s">
        <v>1</v>
      </c>
      <c r="C3" s="3">
        <v>0.02</v>
      </c>
    </row>
    <row r="4" spans="1:25" ht="12" thickBot="1">
      <c r="B4" s="5" t="s">
        <v>18</v>
      </c>
      <c r="C4" s="5">
        <v>0.01</v>
      </c>
    </row>
    <row r="5" spans="1:25" ht="12" thickTop="1"/>
    <row r="6" spans="1:25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0.5" customHeight="1" thickTop="1">
      <c r="A8" s="34"/>
      <c r="B8" s="13" t="s">
        <v>172</v>
      </c>
      <c r="C8" s="10" t="s">
        <v>161</v>
      </c>
      <c r="D8" s="10" t="s">
        <v>203</v>
      </c>
      <c r="E8" s="8">
        <f t="shared" ref="E8:E25" ca="1" si="0">TODAY()</f>
        <v>43231</v>
      </c>
      <c r="F8" s="8">
        <f t="shared" ref="F8" ca="1" si="1">E8+H8</f>
        <v>43322</v>
      </c>
      <c r="G8" s="10">
        <v>11500</v>
      </c>
      <c r="H8" s="10">
        <v>91</v>
      </c>
      <c r="I8" s="12">
        <f>H8/365</f>
        <v>0.24931506849315069</v>
      </c>
      <c r="J8" s="12">
        <v>0</v>
      </c>
      <c r="K8" s="9">
        <v>0.21</v>
      </c>
      <c r="L8" s="13">
        <f>_xll.dnetGBlackScholesNGreeks("price",$Q8,$P8,$G8,$I8,$C$3,$J8,$K8,$C$4)*R8</f>
        <v>-4.1113982895623309</v>
      </c>
      <c r="M8" s="15"/>
      <c r="N8" s="13">
        <f t="shared" ref="N8" si="2">M8/10000*I8*P8</f>
        <v>0</v>
      </c>
      <c r="O8" s="13">
        <f>IF(L8&lt;=0,ABS(L8)+N8,L8-N8)</f>
        <v>4.1113982895623309</v>
      </c>
      <c r="P8" s="11">
        <f>RTD("wdf.rtq",,D8,"LastPrice")</f>
        <v>14735</v>
      </c>
      <c r="Q8" s="10" t="s">
        <v>85</v>
      </c>
      <c r="R8" s="10">
        <f t="shared" ref="R8" si="3">IF(S8="中金买入",1,-1)</f>
        <v>-1</v>
      </c>
      <c r="S8" s="10" t="s">
        <v>20</v>
      </c>
      <c r="T8" s="14">
        <f t="shared" ref="T8" si="4">O8/P8</f>
        <v>2.7902261890480699E-4</v>
      </c>
      <c r="U8" s="13">
        <f>_xll.dnetGBlackScholesNGreeks("delta",$Q8,$P8,$G8,$I8,$C$3,$J8,$K8,$C$4)*R8</f>
        <v>7.7980693504287046E-3</v>
      </c>
      <c r="V8" s="13">
        <f>_xll.dnetGBlackScholesNGreeks("vega",$Q8,$P8,$G8,$I8,$C$3,$J8,$K8,$C$4)*R8</f>
        <v>-1.5844923196067953</v>
      </c>
    </row>
    <row r="9" spans="1:25" ht="10.5" customHeight="1">
      <c r="A9" s="34"/>
      <c r="B9" s="13" t="s">
        <v>172</v>
      </c>
      <c r="C9" s="10" t="s">
        <v>161</v>
      </c>
      <c r="D9" s="10" t="s">
        <v>203</v>
      </c>
      <c r="E9" s="8">
        <f t="shared" ca="1" si="0"/>
        <v>43231</v>
      </c>
      <c r="F9" s="8">
        <f t="shared" ref="F9" ca="1" si="5">E9+H9</f>
        <v>43322</v>
      </c>
      <c r="G9" s="10">
        <v>11500</v>
      </c>
      <c r="H9" s="10">
        <v>91</v>
      </c>
      <c r="I9" s="12">
        <f>H9/365</f>
        <v>0.24931506849315069</v>
      </c>
      <c r="J9" s="12">
        <v>0</v>
      </c>
      <c r="K9" s="9">
        <v>0.21</v>
      </c>
      <c r="L9" s="13">
        <f>_xll.dnetGBlackScholesNGreeks("price",$Q9,$P9,$G9,$I9,$C$3,$J9,$K9,$C$4)*R9</f>
        <v>-4.1113982895623309</v>
      </c>
      <c r="M9" s="15"/>
      <c r="N9" s="13">
        <f t="shared" ref="N9:N10" si="6">M9/10000*I9*P9</f>
        <v>0</v>
      </c>
      <c r="O9" s="13">
        <f>IF(L9&lt;=0,ABS(L9)+N9,L9-N9)</f>
        <v>4.1113982895623309</v>
      </c>
      <c r="P9" s="11">
        <f>RTD("wdf.rtq",,D9,"LastPrice")</f>
        <v>14735</v>
      </c>
      <c r="Q9" s="10" t="s">
        <v>85</v>
      </c>
      <c r="R9" s="10">
        <f t="shared" ref="R9" si="7">IF(S9="中金买入",1,-1)</f>
        <v>-1</v>
      </c>
      <c r="S9" s="10" t="s">
        <v>20</v>
      </c>
      <c r="T9" s="14">
        <f t="shared" ref="T9" si="8">O9/P9</f>
        <v>2.7902261890480699E-4</v>
      </c>
      <c r="U9" s="13">
        <f>_xll.dnetGBlackScholesNGreeks("delta",$Q9,$P9,$G9,$I9,$C$3,$J9,$K9,$C$4)*R9</f>
        <v>7.7980693504287046E-3</v>
      </c>
      <c r="V9" s="13">
        <f>_xll.dnetGBlackScholesNGreeks("vega",$Q9,$P9,$G9,$I9,$C$3,$J9,$K9,$C$4)*R9</f>
        <v>-1.5844923196067953</v>
      </c>
    </row>
    <row r="10" spans="1:25">
      <c r="N10" s="6">
        <f t="shared" si="6"/>
        <v>0</v>
      </c>
    </row>
    <row r="11" spans="1:25" ht="10.5" customHeight="1">
      <c r="A11" s="34"/>
      <c r="B11" s="13" t="s">
        <v>172</v>
      </c>
      <c r="C11" s="10" t="s">
        <v>160</v>
      </c>
      <c r="D11" s="10" t="s">
        <v>225</v>
      </c>
      <c r="E11" s="8">
        <f t="shared" ca="1" si="0"/>
        <v>43231</v>
      </c>
      <c r="F11" s="8">
        <f t="shared" ref="F11" ca="1" si="9">E11+H11</f>
        <v>43232</v>
      </c>
      <c r="G11" s="11">
        <v>3700</v>
      </c>
      <c r="H11" s="10">
        <v>1</v>
      </c>
      <c r="I11" s="12">
        <f>H11/365</f>
        <v>2.7397260273972603E-3</v>
      </c>
      <c r="J11" s="12">
        <v>0</v>
      </c>
      <c r="K11" s="9">
        <v>0.24</v>
      </c>
      <c r="L11" s="13">
        <f>_xll.dnetGBlackScholesNGreeks("price",$Q11,$P11,$G11,$I11,$C$3,$J11,$K11,$C$4)*R11</f>
        <v>-37.213335476649718</v>
      </c>
      <c r="M11" s="15"/>
      <c r="N11" s="13">
        <f t="shared" ref="N11" si="10">M11/10000*I11*P11</f>
        <v>0</v>
      </c>
      <c r="O11" s="13">
        <f>IF(L11&lt;=0,ABS(L11)+N11,L11-N11)</f>
        <v>37.213335476649718</v>
      </c>
      <c r="P11" s="11">
        <v>3670</v>
      </c>
      <c r="Q11" s="10" t="s">
        <v>85</v>
      </c>
      <c r="R11" s="10">
        <f t="shared" ref="R11" si="11">IF(S11="中金买入",1,-1)</f>
        <v>-1</v>
      </c>
      <c r="S11" s="10" t="s">
        <v>20</v>
      </c>
      <c r="T11" s="14">
        <f t="shared" ref="T11" si="12">O11/P11</f>
        <v>1.0139873426880032E-2</v>
      </c>
      <c r="U11" s="13">
        <f>_xll.dnetGBlackScholesNGreeks("delta",$Q11,$P11,$G11,$I11,$C$3,$J11,$K11,$C$4)*R11</f>
        <v>0.73945408030340332</v>
      </c>
      <c r="V11" s="13">
        <f>_xll.dnetGBlackScholesNGreeks("vega",$Q11,$P11,$G11,$I11,$C$3,$J11,$K11,$C$4)*R11</f>
        <v>-0.62348837849458505</v>
      </c>
      <c r="W11" s="114">
        <v>37.799999999999997</v>
      </c>
      <c r="X11" s="115">
        <f>G11-W11</f>
        <v>3662.2</v>
      </c>
      <c r="Y11" s="6">
        <f>500*U11</f>
        <v>369.72704015170166</v>
      </c>
    </row>
    <row r="12" spans="1:25" ht="11.25" customHeight="1"/>
    <row r="13" spans="1:25" ht="10.5" customHeight="1">
      <c r="A13" s="34"/>
      <c r="B13" s="13" t="s">
        <v>172</v>
      </c>
      <c r="C13" s="10" t="s">
        <v>160</v>
      </c>
      <c r="D13" s="10" t="s">
        <v>231</v>
      </c>
      <c r="E13" s="8">
        <f t="shared" ca="1" si="0"/>
        <v>43231</v>
      </c>
      <c r="F13" s="8">
        <f t="shared" ref="F13" ca="1" si="13">E13+H13</f>
        <v>43262</v>
      </c>
      <c r="G13" s="11">
        <f>P13</f>
        <v>100</v>
      </c>
      <c r="H13" s="10">
        <v>31</v>
      </c>
      <c r="I13" s="12">
        <f>H13/365</f>
        <v>8.4931506849315067E-2</v>
      </c>
      <c r="J13" s="12">
        <v>0</v>
      </c>
      <c r="K13" s="117">
        <v>0.21</v>
      </c>
      <c r="L13" s="13">
        <f>_xll.dnetGBlackScholesNGreeks("price",$Q13,$P13,$G13,$I13,$C$3,$J13,$K13,$C$4)*R13</f>
        <v>2.437015531752337</v>
      </c>
      <c r="M13" s="15"/>
      <c r="N13" s="13">
        <f t="shared" ref="N13" si="14">M13/10000*I13*P13</f>
        <v>0</v>
      </c>
      <c r="O13" s="13">
        <f>IF(L13&lt;=0,ABS(L13)+N13,L13-N13)</f>
        <v>2.437015531752337</v>
      </c>
      <c r="P13" s="11">
        <v>100</v>
      </c>
      <c r="Q13" s="10" t="s">
        <v>85</v>
      </c>
      <c r="R13" s="10">
        <f t="shared" ref="R13" si="15">IF(S13="中金买入",1,-1)</f>
        <v>1</v>
      </c>
      <c r="S13" s="10" t="s">
        <v>151</v>
      </c>
      <c r="T13" s="14">
        <f t="shared" ref="T13" si="16">O13/P13</f>
        <v>2.437015531752337E-2</v>
      </c>
      <c r="U13" s="13">
        <f>_xll.dnetGBlackScholesNGreeks("delta",$Q13,$P13,$G13,$I13,$C$3,$J13,$K13,$C$4)*R13</f>
        <v>-0.48696634446194764</v>
      </c>
      <c r="V13" s="13">
        <f>_xll.dnetGBlackScholesNGreeks("vega",$Q13,$P13,$G13,$I13,$C$3,$J13,$K13,$C$4)*R13</f>
        <v>0.11601210076558033</v>
      </c>
      <c r="W13" s="114">
        <v>37.799999999999997</v>
      </c>
      <c r="X13" s="115">
        <f>G13-W13</f>
        <v>62.2</v>
      </c>
      <c r="Y13" s="6">
        <f>500*U13</f>
        <v>-243.48317223097382</v>
      </c>
    </row>
    <row r="14" spans="1:25" ht="10.5" customHeight="1">
      <c r="A14" s="34"/>
      <c r="B14" s="13" t="s">
        <v>172</v>
      </c>
      <c r="C14" s="10" t="s">
        <v>160</v>
      </c>
      <c r="D14" s="10" t="s">
        <v>231</v>
      </c>
      <c r="E14" s="8">
        <f t="shared" ca="1" si="0"/>
        <v>43231</v>
      </c>
      <c r="F14" s="8">
        <f t="shared" ref="F14" ca="1" si="17">E14+H14</f>
        <v>43291</v>
      </c>
      <c r="G14" s="11">
        <f t="shared" ref="G14:G23" si="18">P14</f>
        <v>100</v>
      </c>
      <c r="H14" s="10">
        <v>60</v>
      </c>
      <c r="I14" s="12">
        <f>H14/365</f>
        <v>0.16438356164383561</v>
      </c>
      <c r="J14" s="12">
        <v>0</v>
      </c>
      <c r="K14" s="117">
        <v>0.21</v>
      </c>
      <c r="L14" s="13">
        <f>_xll.dnetGBlackScholesNGreeks("price",$Q14,$P14,$G14,$I14,$C$3,$J14,$K14,$C$4)*R14</f>
        <v>3.384539376643886</v>
      </c>
      <c r="M14" s="15"/>
      <c r="N14" s="13">
        <f t="shared" ref="N14" si="19">M14/10000*I14*P14</f>
        <v>0</v>
      </c>
      <c r="O14" s="13">
        <f>IF(L14&lt;=0,ABS(L14)+N14,L14-N14)</f>
        <v>3.384539376643886</v>
      </c>
      <c r="P14" s="11">
        <v>100</v>
      </c>
      <c r="Q14" s="10" t="s">
        <v>85</v>
      </c>
      <c r="R14" s="10">
        <f t="shared" ref="R14" si="20">IF(S14="中金买入",1,-1)</f>
        <v>1</v>
      </c>
      <c r="S14" s="10" t="s">
        <v>151</v>
      </c>
      <c r="T14" s="14">
        <f t="shared" ref="T14" si="21">O14/P14</f>
        <v>3.3845393766438858E-2</v>
      </c>
      <c r="U14" s="13">
        <f>_xll.dnetGBlackScholesNGreeks("delta",$Q14,$P14,$G14,$I14,$C$3,$J14,$K14,$C$4)*R14</f>
        <v>-0.48143617840246122</v>
      </c>
      <c r="V14" s="13">
        <f>_xll.dnetGBlackScholesNGreeks("vega",$Q14,$P14,$G14,$I14,$C$3,$J14,$K14,$C$4)*R14</f>
        <v>0.16107109168594747</v>
      </c>
      <c r="W14" s="114">
        <v>37.799999999999997</v>
      </c>
      <c r="X14" s="115">
        <f>G14-W14</f>
        <v>62.2</v>
      </c>
      <c r="Y14" s="6">
        <f>500*U14</f>
        <v>-240.71808920123061</v>
      </c>
    </row>
    <row r="15" spans="1:25" ht="10.5" customHeight="1">
      <c r="A15" s="34"/>
      <c r="B15" s="13"/>
      <c r="C15" s="10"/>
      <c r="D15" s="10"/>
      <c r="E15" s="8"/>
      <c r="F15" s="8"/>
      <c r="G15" s="11"/>
      <c r="H15" s="10"/>
      <c r="I15" s="12"/>
      <c r="J15" s="12"/>
      <c r="K15" s="9"/>
      <c r="L15" s="13"/>
      <c r="M15" s="15"/>
      <c r="N15" s="13"/>
      <c r="O15" s="13"/>
      <c r="P15" s="11"/>
      <c r="Q15" s="10"/>
      <c r="R15" s="10"/>
      <c r="S15" s="10"/>
      <c r="T15" s="14"/>
      <c r="U15" s="13"/>
      <c r="V15" s="13"/>
      <c r="X15" s="114"/>
    </row>
    <row r="16" spans="1:25" ht="10.5" customHeight="1">
      <c r="A16" s="34"/>
      <c r="B16" s="13" t="s">
        <v>172</v>
      </c>
      <c r="C16" s="10" t="s">
        <v>160</v>
      </c>
      <c r="D16" s="10" t="s">
        <v>233</v>
      </c>
      <c r="E16" s="8">
        <f t="shared" ca="1" si="0"/>
        <v>43231</v>
      </c>
      <c r="F16" s="8">
        <f t="shared" ref="F16" ca="1" si="22">E16+H16</f>
        <v>43262</v>
      </c>
      <c r="G16" s="11">
        <f t="shared" si="18"/>
        <v>100</v>
      </c>
      <c r="H16" s="10">
        <v>31</v>
      </c>
      <c r="I16" s="12">
        <f>H16/365</f>
        <v>8.4931506849315067E-2</v>
      </c>
      <c r="J16" s="12">
        <v>0</v>
      </c>
      <c r="K16" s="117">
        <v>0.1075</v>
      </c>
      <c r="L16" s="13">
        <f>_xll.dnetGBlackScholesNGreeks("price",$Q16,$P16,$G16,$I16,$C$3,$J16,$K16,$C$4)*R16</f>
        <v>1.2476635246627694</v>
      </c>
      <c r="M16" s="15"/>
      <c r="N16" s="13">
        <f t="shared" ref="N16" si="23">M16/10000*I16*P16</f>
        <v>0</v>
      </c>
      <c r="O16" s="13">
        <f>IF(L16&lt;=0,ABS(L16)+N16,L16-N16)</f>
        <v>1.2476635246627694</v>
      </c>
      <c r="P16" s="11">
        <v>100</v>
      </c>
      <c r="Q16" s="10" t="s">
        <v>85</v>
      </c>
      <c r="R16" s="10">
        <f t="shared" ref="R16" si="24">IF(S16="中金买入",1,-1)</f>
        <v>1</v>
      </c>
      <c r="S16" s="10" t="s">
        <v>151</v>
      </c>
      <c r="T16" s="14">
        <f t="shared" ref="T16" si="25">O16/P16</f>
        <v>1.2476635246627694E-2</v>
      </c>
      <c r="U16" s="13">
        <f>_xll.dnetGBlackScholesNGreeks("delta",$Q16,$P16,$G16,$I16,$C$3,$J16,$K16,$C$4)*R16</f>
        <v>-0.49291312001358278</v>
      </c>
      <c r="V16" s="13">
        <f>_xll.dnetGBlackScholesNGreeks("vega",$Q16,$P16,$G16,$I16,$C$3,$J16,$K16,$C$4)*R16</f>
        <v>0.11605218969397768</v>
      </c>
      <c r="W16" s="114">
        <v>37.799999999999997</v>
      </c>
      <c r="X16" s="115">
        <f>G16-W16</f>
        <v>62.2</v>
      </c>
      <c r="Y16" s="6">
        <f>500*U16</f>
        <v>-246.45656000679139</v>
      </c>
    </row>
    <row r="17" spans="1:26" ht="10.5" customHeight="1">
      <c r="A17" s="34"/>
      <c r="B17" s="13"/>
      <c r="C17" s="10"/>
      <c r="D17" s="10"/>
      <c r="E17" s="8"/>
      <c r="F17" s="8"/>
      <c r="G17" s="11"/>
      <c r="H17" s="10"/>
      <c r="I17" s="12"/>
      <c r="J17" s="12"/>
      <c r="K17" s="9"/>
      <c r="L17" s="13"/>
      <c r="M17" s="15"/>
      <c r="N17" s="13"/>
      <c r="O17" s="13"/>
      <c r="P17" s="11"/>
      <c r="Q17" s="10"/>
      <c r="R17" s="10"/>
      <c r="S17" s="10"/>
      <c r="T17" s="14"/>
      <c r="U17" s="13"/>
      <c r="V17" s="13"/>
      <c r="X17" s="114"/>
    </row>
    <row r="18" spans="1:26" ht="10.5" customHeight="1">
      <c r="A18" s="34"/>
      <c r="B18" s="13" t="s">
        <v>172</v>
      </c>
      <c r="C18" s="10" t="s">
        <v>160</v>
      </c>
      <c r="D18" s="10" t="s">
        <v>235</v>
      </c>
      <c r="E18" s="8">
        <f t="shared" ca="1" si="0"/>
        <v>43231</v>
      </c>
      <c r="F18" s="8">
        <f t="shared" ref="F18:F21" ca="1" si="26">E18+H18</f>
        <v>43262</v>
      </c>
      <c r="G18" s="11">
        <f t="shared" si="18"/>
        <v>100</v>
      </c>
      <c r="H18" s="10">
        <v>31</v>
      </c>
      <c r="I18" s="12">
        <f>H18/365</f>
        <v>8.4931506849315067E-2</v>
      </c>
      <c r="J18" s="12">
        <v>0</v>
      </c>
      <c r="K18" s="117">
        <v>0.16500000000000001</v>
      </c>
      <c r="L18" s="13">
        <f>_xll.dnetGBlackScholesNGreeks("price",$Q18,$P18,$G18,$I18,$C$3,$J18,$K18,$C$4)*R18</f>
        <v>1.9149122565538121</v>
      </c>
      <c r="M18" s="15"/>
      <c r="N18" s="13">
        <f t="shared" ref="N18:N21" si="27">M18/10000*I18*P18</f>
        <v>0</v>
      </c>
      <c r="O18" s="13">
        <f>IF(L18&lt;=0,ABS(L18)+N18,L18-N18)</f>
        <v>1.9149122565538121</v>
      </c>
      <c r="P18" s="11">
        <v>100</v>
      </c>
      <c r="Q18" s="10" t="s">
        <v>85</v>
      </c>
      <c r="R18" s="10">
        <f t="shared" ref="R18:R21" si="28">IF(S18="中金买入",1,-1)</f>
        <v>1</v>
      </c>
      <c r="S18" s="10" t="s">
        <v>151</v>
      </c>
      <c r="T18" s="14">
        <f t="shared" ref="T18:T21" si="29">O18/P18</f>
        <v>1.9149122565538121E-2</v>
      </c>
      <c r="U18" s="13">
        <f>_xll.dnetGBlackScholesNGreeks("delta",$Q18,$P18,$G18,$I18,$C$3,$J18,$K18,$C$4)*R18</f>
        <v>-0.48957686527622002</v>
      </c>
      <c r="V18" s="13">
        <f>_xll.dnetGBlackScholesNGreeks("vega",$Q18,$P18,$G18,$I18,$C$3,$J18,$K18,$C$4)*R18</f>
        <v>0.11603288645868659</v>
      </c>
      <c r="W18" s="114">
        <v>37.799999999999997</v>
      </c>
      <c r="X18" s="115">
        <f>G18-W18</f>
        <v>62.2</v>
      </c>
      <c r="Y18" s="6">
        <f>500*U18</f>
        <v>-244.78843263811001</v>
      </c>
    </row>
    <row r="19" spans="1:26" ht="10.5" customHeight="1">
      <c r="A19" s="34"/>
      <c r="B19" s="13" t="s">
        <v>172</v>
      </c>
      <c r="C19" s="10" t="s">
        <v>160</v>
      </c>
      <c r="D19" s="10" t="s">
        <v>194</v>
      </c>
      <c r="E19" s="8">
        <f t="shared" ca="1" si="0"/>
        <v>43231</v>
      </c>
      <c r="F19" s="8">
        <f t="shared" ca="1" si="26"/>
        <v>43259</v>
      </c>
      <c r="G19" s="11">
        <v>3300</v>
      </c>
      <c r="H19" s="10">
        <v>28</v>
      </c>
      <c r="I19" s="12">
        <f>H19/365</f>
        <v>7.6712328767123292E-2</v>
      </c>
      <c r="J19" s="12">
        <v>0</v>
      </c>
      <c r="K19" s="9">
        <v>0.22</v>
      </c>
      <c r="L19" s="13">
        <f>_xll.dnetGBlackScholesNGreeks("price",$Q19,$P19,$G19,$I19,$C$3,$J19,$K19,$C$4)*R19</f>
        <v>3.2891403931074308</v>
      </c>
      <c r="M19" s="15"/>
      <c r="N19" s="13">
        <f t="shared" si="27"/>
        <v>0</v>
      </c>
      <c r="O19" s="13">
        <f>IF(L19&lt;=0,ABS(L19)+N19,L19-N19)</f>
        <v>3.2891403931074308</v>
      </c>
      <c r="P19" s="11">
        <f>RTD("wdf.rtq",,D19,"LastPrice")</f>
        <v>3675</v>
      </c>
      <c r="Q19" s="10" t="s">
        <v>85</v>
      </c>
      <c r="R19" s="10">
        <f t="shared" si="28"/>
        <v>1</v>
      </c>
      <c r="S19" s="10" t="s">
        <v>151</v>
      </c>
      <c r="T19" s="14">
        <f t="shared" si="29"/>
        <v>8.9500418860066148E-4</v>
      </c>
      <c r="U19" s="13">
        <f>_xll.dnetGBlackScholesNGreeks("delta",$Q19,$P19,$G19,$I19,$C$3,$J19,$K19,$C$4)*R19</f>
        <v>-3.6125605238623848E-2</v>
      </c>
      <c r="V19" s="13">
        <f>_xll.dnetGBlackScholesNGreeks("vega",$Q19,$P19,$G19,$I19,$C$3,$J19,$K19,$C$4)*R19</f>
        <v>0.80706152356573568</v>
      </c>
      <c r="W19" s="114">
        <v>37.799999999999997</v>
      </c>
      <c r="X19" s="115">
        <f>G19-W19</f>
        <v>3262.2</v>
      </c>
      <c r="Y19" s="6">
        <f>500*U19</f>
        <v>-18.062802619311924</v>
      </c>
    </row>
    <row r="20" spans="1:26" ht="10.5" customHeight="1">
      <c r="A20" s="34"/>
      <c r="B20" s="13" t="s">
        <v>172</v>
      </c>
      <c r="C20" s="10" t="s">
        <v>160</v>
      </c>
      <c r="D20" s="10" t="s">
        <v>194</v>
      </c>
      <c r="E20" s="8">
        <f t="shared" ca="1" si="0"/>
        <v>43231</v>
      </c>
      <c r="F20" s="8">
        <f t="shared" ca="1" si="26"/>
        <v>43259</v>
      </c>
      <c r="G20" s="11">
        <v>3350</v>
      </c>
      <c r="H20" s="10">
        <v>28</v>
      </c>
      <c r="I20" s="12">
        <f>H20/365</f>
        <v>7.6712328767123292E-2</v>
      </c>
      <c r="J20" s="12">
        <v>0</v>
      </c>
      <c r="K20" s="9">
        <v>0.2225</v>
      </c>
      <c r="L20" s="13">
        <f>_xll.dnetGBlackScholesNGreeks("price",$Q20,$P20,$G20,$I20,$C$3,$J20,$K20,$C$4)*R20</f>
        <v>6.2891241680023597</v>
      </c>
      <c r="M20" s="15"/>
      <c r="N20" s="13">
        <f t="shared" si="27"/>
        <v>0</v>
      </c>
      <c r="O20" s="13">
        <f>IF(L20&lt;=0,ABS(L20)+N20,L20-N20)</f>
        <v>6.2891241680023597</v>
      </c>
      <c r="P20" s="11">
        <f>RTD("wdf.rtq",,D20,"LastPrice")</f>
        <v>3675</v>
      </c>
      <c r="Q20" s="10" t="s">
        <v>85</v>
      </c>
      <c r="R20" s="10">
        <f t="shared" si="28"/>
        <v>1</v>
      </c>
      <c r="S20" s="10" t="s">
        <v>151</v>
      </c>
      <c r="T20" s="14">
        <f t="shared" si="29"/>
        <v>1.7113263042183291E-3</v>
      </c>
      <c r="U20" s="13">
        <f>_xll.dnetGBlackScholesNGreeks("delta",$Q20,$P20,$G20,$I20,$C$3,$J20,$K20,$C$4)*R20</f>
        <v>-6.250338702074032E-2</v>
      </c>
      <c r="V20" s="13">
        <f>_xll.dnetGBlackScholesNGreeks("vega",$Q20,$P20,$G20,$I20,$C$3,$J20,$K20,$C$4)*R20</f>
        <v>1.2507337836484567</v>
      </c>
      <c r="W20" s="114">
        <v>37.799999999999997</v>
      </c>
      <c r="X20" s="115">
        <f>G20-W20</f>
        <v>3312.2</v>
      </c>
      <c r="Y20" s="6">
        <f>500*U20</f>
        <v>-31.25169351037016</v>
      </c>
    </row>
    <row r="21" spans="1:26" ht="10.5" customHeight="1">
      <c r="A21" s="34"/>
      <c r="B21" s="13" t="s">
        <v>172</v>
      </c>
      <c r="C21" s="10" t="s">
        <v>160</v>
      </c>
      <c r="D21" s="10" t="s">
        <v>194</v>
      </c>
      <c r="E21" s="8">
        <f t="shared" ca="1" si="0"/>
        <v>43231</v>
      </c>
      <c r="F21" s="8">
        <f t="shared" ca="1" si="26"/>
        <v>43259</v>
      </c>
      <c r="G21" s="11">
        <v>3400</v>
      </c>
      <c r="H21" s="10">
        <v>28</v>
      </c>
      <c r="I21" s="12">
        <f>H21/365</f>
        <v>7.6712328767123292E-2</v>
      </c>
      <c r="J21" s="12">
        <v>0</v>
      </c>
      <c r="K21" s="9">
        <v>0.22500000000000001</v>
      </c>
      <c r="L21" s="13">
        <f>_xll.dnetGBlackScholesNGreeks("price",$Q21,$P21,$G21,$I21,$C$3,$J21,$K21,$C$4)*R21</f>
        <v>11.167553349654611</v>
      </c>
      <c r="M21" s="15"/>
      <c r="N21" s="13">
        <f t="shared" si="27"/>
        <v>0</v>
      </c>
      <c r="O21" s="13">
        <f>IF(L21&lt;=0,ABS(L21)+N21,L21-N21)</f>
        <v>11.167553349654611</v>
      </c>
      <c r="P21" s="11">
        <f>RTD("wdf.rtq",,D21,"LastPrice")</f>
        <v>3675</v>
      </c>
      <c r="Q21" s="10" t="s">
        <v>85</v>
      </c>
      <c r="R21" s="10">
        <f t="shared" si="28"/>
        <v>1</v>
      </c>
      <c r="S21" s="10" t="s">
        <v>151</v>
      </c>
      <c r="T21" s="14">
        <f t="shared" si="29"/>
        <v>3.0387900271169007E-3</v>
      </c>
      <c r="U21" s="13">
        <f>_xll.dnetGBlackScholesNGreeks("delta",$Q21,$P21,$G21,$I21,$C$3,$J21,$K21,$C$4)*R21</f>
        <v>-0.10025372679933753</v>
      </c>
      <c r="V21" s="13">
        <f>_xll.dnetGBlackScholesNGreeks("vega",$Q21,$P21,$G21,$I21,$C$3,$J21,$K21,$C$4)*R21</f>
        <v>1.7875772350293744</v>
      </c>
      <c r="W21" s="114">
        <v>37.799999999999997</v>
      </c>
      <c r="X21" s="115">
        <f>G21-W21</f>
        <v>3362.2</v>
      </c>
      <c r="Y21" s="6">
        <f>500*U21</f>
        <v>-50.126863399668764</v>
      </c>
    </row>
    <row r="22" spans="1:26" ht="10.5" customHeight="1">
      <c r="A22" s="34"/>
      <c r="B22" s="13"/>
      <c r="C22" s="10"/>
      <c r="D22" s="10"/>
      <c r="E22" s="8"/>
      <c r="F22" s="8"/>
      <c r="G22" s="11"/>
      <c r="H22" s="10"/>
      <c r="I22" s="12"/>
      <c r="J22" s="12"/>
      <c r="K22" s="9"/>
      <c r="L22" s="13"/>
      <c r="M22" s="15"/>
      <c r="N22" s="13"/>
      <c r="O22" s="13"/>
      <c r="P22" s="11"/>
      <c r="Q22" s="10"/>
      <c r="R22" s="10"/>
      <c r="S22" s="10"/>
      <c r="T22" s="14"/>
      <c r="U22" s="13"/>
      <c r="V22" s="13"/>
      <c r="X22" s="114"/>
    </row>
    <row r="23" spans="1:26" ht="10.5" customHeight="1">
      <c r="A23" s="34"/>
      <c r="B23" s="13" t="s">
        <v>172</v>
      </c>
      <c r="C23" s="10" t="s">
        <v>160</v>
      </c>
      <c r="D23" s="10" t="s">
        <v>237</v>
      </c>
      <c r="E23" s="8">
        <f t="shared" ca="1" si="0"/>
        <v>43231</v>
      </c>
      <c r="F23" s="8">
        <f t="shared" ref="F23" ca="1" si="30">E23+H23</f>
        <v>43262</v>
      </c>
      <c r="G23" s="11">
        <f t="shared" si="18"/>
        <v>100</v>
      </c>
      <c r="H23" s="10">
        <v>31</v>
      </c>
      <c r="I23" s="12">
        <f>H23/365</f>
        <v>8.4931506849315067E-2</v>
      </c>
      <c r="J23" s="12">
        <v>0</v>
      </c>
      <c r="K23" s="116">
        <v>0.14749999999999999</v>
      </c>
      <c r="L23" s="13">
        <f>_xll.dnetGBlackScholesNGreeks("price",$Q23,$P23,$G23,$I23,$C$3,$J23,$K23,$C$4)*R23</f>
        <v>1.7118486286586005</v>
      </c>
      <c r="M23" s="15"/>
      <c r="N23" s="13">
        <f t="shared" ref="N23" si="31">M23/10000*I23*P23</f>
        <v>0</v>
      </c>
      <c r="O23" s="13">
        <f>IF(L23&lt;=0,ABS(L23)+N23,L23-N23)</f>
        <v>1.7118486286586005</v>
      </c>
      <c r="P23" s="11">
        <v>100</v>
      </c>
      <c r="Q23" s="10" t="s">
        <v>85</v>
      </c>
      <c r="R23" s="10">
        <f t="shared" ref="R23" si="32">IF(S23="中金买入",1,-1)</f>
        <v>1</v>
      </c>
      <c r="S23" s="10" t="s">
        <v>151</v>
      </c>
      <c r="T23" s="14">
        <f t="shared" ref="T23" si="33">O23/P23</f>
        <v>1.7118486286586007E-2</v>
      </c>
      <c r="U23" s="13">
        <f>_xll.dnetGBlackScholesNGreeks("delta",$Q23,$P23,$G23,$I23,$C$3,$J23,$K23,$C$4)*R23</f>
        <v>-0.49059218587288456</v>
      </c>
      <c r="V23" s="13">
        <f>_xll.dnetGBlackScholesNGreeks("vega",$Q23,$P23,$G23,$I23,$C$3,$J23,$K23,$C$4)*R23</f>
        <v>0.11603962336191032</v>
      </c>
      <c r="W23" s="114">
        <v>37.799999999999997</v>
      </c>
      <c r="X23" s="115">
        <f>G23-W23</f>
        <v>62.2</v>
      </c>
      <c r="Y23" s="6">
        <f>500*U23</f>
        <v>-245.29609293644228</v>
      </c>
    </row>
    <row r="24" spans="1:26" ht="10.5" customHeight="1">
      <c r="A24" s="34"/>
      <c r="B24" s="13"/>
      <c r="C24" s="10"/>
      <c r="D24" s="10"/>
      <c r="E24" s="8"/>
      <c r="F24" s="8"/>
      <c r="G24" s="11"/>
      <c r="H24" s="10"/>
      <c r="I24" s="12"/>
      <c r="J24" s="12"/>
      <c r="K24" s="9"/>
      <c r="L24" s="13"/>
      <c r="M24" s="15"/>
      <c r="N24" s="13"/>
      <c r="O24" s="13"/>
      <c r="P24" s="11"/>
      <c r="Q24" s="10"/>
      <c r="R24" s="10"/>
      <c r="S24" s="10"/>
      <c r="T24" s="14"/>
      <c r="U24" s="13"/>
      <c r="V24" s="13"/>
    </row>
    <row r="25" spans="1:26" ht="10.5" customHeight="1">
      <c r="A25" s="34"/>
      <c r="B25" s="13" t="s">
        <v>172</v>
      </c>
      <c r="C25" s="10" t="s">
        <v>160</v>
      </c>
      <c r="D25" s="10" t="s">
        <v>239</v>
      </c>
      <c r="E25" s="8">
        <f t="shared" ca="1" si="0"/>
        <v>43231</v>
      </c>
      <c r="F25" s="8">
        <f t="shared" ref="F25" ca="1" si="34">E25+H25</f>
        <v>43261</v>
      </c>
      <c r="G25" s="11">
        <v>49000</v>
      </c>
      <c r="H25" s="10">
        <v>30</v>
      </c>
      <c r="I25" s="12">
        <f>H25/365</f>
        <v>8.2191780821917804E-2</v>
      </c>
      <c r="J25" s="12">
        <v>0</v>
      </c>
      <c r="K25" s="9">
        <v>0.13500000000000001</v>
      </c>
      <c r="L25" s="13">
        <f>_xll.dnetGBlackScholesNGreeks("price",$Q25,$P25,$G25,$I25,$C$3,$J25,$K25,$C$4)*R25</f>
        <v>143.71277212501172</v>
      </c>
      <c r="M25" s="15">
        <v>30</v>
      </c>
      <c r="N25" s="13">
        <f t="shared" ref="N25" si="35">M25/10000*I25*P25</f>
        <v>12.587671232876712</v>
      </c>
      <c r="O25" s="13">
        <f>IF(L25&lt;=0,ABS(L25)+N25,L25-N25)</f>
        <v>131.12510089213501</v>
      </c>
      <c r="P25" s="11">
        <v>51050</v>
      </c>
      <c r="Q25" s="10" t="s">
        <v>85</v>
      </c>
      <c r="R25" s="10">
        <f t="shared" ref="R25" si="36">IF(S25="中金买入",1,-1)</f>
        <v>1</v>
      </c>
      <c r="S25" s="10" t="s">
        <v>151</v>
      </c>
      <c r="T25" s="14">
        <f t="shared" ref="T25" si="37">O25/P25</f>
        <v>2.5685622114032325E-3</v>
      </c>
      <c r="U25" s="13">
        <f>_xll.dnetGBlackScholesNGreeks("delta",$Q25,$P25,$G25,$I25,$C$3,$J25,$K25,$C$4)*R25</f>
        <v>-0.14021665033396857</v>
      </c>
      <c r="V25" s="13">
        <f>_xll.dnetGBlackScholesNGreeks("vega",$Q25,$P25,$G25,$I25,$C$3,$J25,$K25,$C$4)*R25</f>
        <v>32.529635749877343</v>
      </c>
      <c r="W25" s="114">
        <v>37.799999999999997</v>
      </c>
      <c r="X25" s="115">
        <f>G25-W25</f>
        <v>48962.2</v>
      </c>
      <c r="Y25" s="6">
        <f>500*U25</f>
        <v>-70.108325166984287</v>
      </c>
    </row>
    <row r="26" spans="1:26" ht="10.5" customHeight="1">
      <c r="A26" s="34"/>
      <c r="B26" s="13"/>
      <c r="C26" s="10"/>
      <c r="D26" s="10"/>
      <c r="E26" s="8"/>
      <c r="F26" s="8"/>
      <c r="G26" s="11"/>
      <c r="H26" s="10"/>
      <c r="I26" s="12"/>
      <c r="J26" s="12"/>
      <c r="K26" s="9"/>
      <c r="L26" s="13"/>
      <c r="M26" s="15"/>
      <c r="N26" s="13"/>
      <c r="O26" s="13"/>
      <c r="P26" s="11"/>
      <c r="Q26" s="10"/>
      <c r="R26" s="10"/>
      <c r="S26" s="10"/>
      <c r="T26" s="14"/>
      <c r="U26" s="13"/>
      <c r="V26" s="13"/>
    </row>
    <row r="27" spans="1:26" ht="10.5" customHeight="1">
      <c r="A27" s="34"/>
      <c r="B27" s="13"/>
      <c r="C27" s="10"/>
      <c r="D27" s="10"/>
      <c r="E27" s="8"/>
      <c r="F27" s="8"/>
      <c r="G27" s="11"/>
      <c r="H27" s="10"/>
      <c r="I27" s="12"/>
      <c r="J27" s="12"/>
      <c r="K27" s="9"/>
      <c r="L27" s="13"/>
      <c r="M27" s="15"/>
      <c r="N27" s="13"/>
      <c r="O27" s="13"/>
      <c r="P27" s="11"/>
      <c r="Q27" s="10"/>
      <c r="R27" s="10"/>
      <c r="S27" s="10"/>
      <c r="T27" s="14">
        <f>T28+T29</f>
        <v>0.14709899996612175</v>
      </c>
      <c r="U27" s="12">
        <f>T27/2</f>
        <v>7.3549499983060873E-2</v>
      </c>
      <c r="V27" s="13"/>
    </row>
    <row r="28" spans="1:26" ht="10.5" customHeight="1">
      <c r="A28" s="34"/>
      <c r="B28" s="13" t="s">
        <v>172</v>
      </c>
      <c r="C28" s="10" t="s">
        <v>160</v>
      </c>
      <c r="D28" s="10" t="s">
        <v>202</v>
      </c>
      <c r="E28" s="8">
        <f t="shared" ref="E28:E36" ca="1" si="38">TODAY()</f>
        <v>43231</v>
      </c>
      <c r="F28" s="8">
        <f t="shared" ref="F28:F37" ca="1" si="39">E28+H28</f>
        <v>43329</v>
      </c>
      <c r="G28" s="11">
        <v>500</v>
      </c>
      <c r="H28" s="10">
        <v>98</v>
      </c>
      <c r="I28" s="12">
        <f>H28/365</f>
        <v>0.26849315068493151</v>
      </c>
      <c r="J28" s="12">
        <v>0</v>
      </c>
      <c r="K28" s="117">
        <v>0.34499999999999997</v>
      </c>
      <c r="L28" s="13">
        <f>_xll.dnetGBlackScholesNGreeks("price",$Q28,$P28,$G28,$I28,$C$3,$J28,$K28,$C$4)*R28</f>
        <v>-44.190773369949056</v>
      </c>
      <c r="M28" s="15"/>
      <c r="N28" s="13">
        <f t="shared" ref="N28:N37" si="40">M28/10000*I28*P28</f>
        <v>0</v>
      </c>
      <c r="O28" s="13">
        <f>IF(L28&lt;=0,ABS(L28)+N28,L28-N28)</f>
        <v>44.190773369949056</v>
      </c>
      <c r="P28" s="11">
        <f>RTD("wdf.rtq",,D28,"LastPrice")</f>
        <v>482.5</v>
      </c>
      <c r="Q28" s="10" t="s">
        <v>85</v>
      </c>
      <c r="R28" s="10">
        <f t="shared" ref="R28:R37" si="41">IF(S28="中金买入",1,-1)</f>
        <v>-1</v>
      </c>
      <c r="S28" s="10" t="s">
        <v>20</v>
      </c>
      <c r="T28" s="14">
        <f t="shared" ref="T28:T37" si="42">O28/P28</f>
        <v>9.1587095067251934E-2</v>
      </c>
      <c r="U28" s="13">
        <f>_xll.dnetGBlackScholesNGreeks("delta",$Q28,$P28,$G28,$I28,$C$3,$J28,$K28,$C$4)*R28</f>
        <v>0.54084813702957035</v>
      </c>
      <c r="V28" s="13">
        <f>_xll.dnetGBlackScholesNGreeks("vega",$Q28,$P28,$G28,$I28,$C$3,$J28,$K28,$C$4)*R28</f>
        <v>-0.98607728330543409</v>
      </c>
      <c r="W28" s="114">
        <v>37.799999999999997</v>
      </c>
      <c r="X28" s="115">
        <f>G28-W28</f>
        <v>462.2</v>
      </c>
      <c r="Y28" s="6">
        <f>500*U28</f>
        <v>270.42406851478518</v>
      </c>
      <c r="Z28" s="119">
        <f>U28+U29</f>
        <v>8.7051745136079717E-2</v>
      </c>
    </row>
    <row r="29" spans="1:26" ht="10.5" customHeight="1">
      <c r="A29" s="34"/>
      <c r="B29" s="13" t="s">
        <v>172</v>
      </c>
      <c r="C29" s="10" t="s">
        <v>160</v>
      </c>
      <c r="D29" s="10" t="s">
        <v>202</v>
      </c>
      <c r="E29" s="8">
        <f t="shared" ca="1" si="38"/>
        <v>43231</v>
      </c>
      <c r="F29" s="8">
        <f t="shared" ca="1" si="39"/>
        <v>43329</v>
      </c>
      <c r="G29" s="11">
        <v>500</v>
      </c>
      <c r="H29" s="10">
        <v>98</v>
      </c>
      <c r="I29" s="12">
        <f>H29/365</f>
        <v>0.26849315068493151</v>
      </c>
      <c r="J29" s="12">
        <v>0</v>
      </c>
      <c r="K29" s="117">
        <v>0.34499999999999997</v>
      </c>
      <c r="L29" s="13">
        <f>_xll.dnetGBlackScholesNGreeks("price",$Q29,$P29,$G29,$I29,$C$3,$J29,$K29,$C$4)*R29</f>
        <v>-26.784494113704682</v>
      </c>
      <c r="M29" s="15"/>
      <c r="N29" s="13">
        <f t="shared" si="40"/>
        <v>0</v>
      </c>
      <c r="O29" s="13">
        <f>IF(L29&lt;=0,ABS(L29)+N29,L29-N29)</f>
        <v>26.784494113704682</v>
      </c>
      <c r="P29" s="11">
        <f>RTD("wdf.rtq",,D29,"LastPrice")</f>
        <v>482.5</v>
      </c>
      <c r="Q29" s="10" t="s">
        <v>39</v>
      </c>
      <c r="R29" s="10">
        <f t="shared" si="41"/>
        <v>-1</v>
      </c>
      <c r="S29" s="10" t="s">
        <v>20</v>
      </c>
      <c r="T29" s="14">
        <f t="shared" si="42"/>
        <v>5.5511904898869806E-2</v>
      </c>
      <c r="U29" s="13">
        <f>_xll.dnetGBlackScholesNGreeks("delta",$Q29,$P29,$G29,$I29,$C$3,$J29,$K29,$C$4)*R29</f>
        <v>-0.45379639189349064</v>
      </c>
      <c r="V29" s="13">
        <f>_xll.dnetGBlackScholesNGreeks("vega",$Q29,$P29,$G29,$I29,$C$3,$J29,$K29,$C$4)*R29</f>
        <v>-0.98607728330541988</v>
      </c>
      <c r="W29" s="114">
        <v>37.799999999999997</v>
      </c>
      <c r="X29" s="115">
        <f>G29-W29</f>
        <v>462.2</v>
      </c>
      <c r="Y29" s="6">
        <f>500*U29</f>
        <v>-226.89819594674532</v>
      </c>
    </row>
    <row r="30" spans="1:26" ht="10.5" customHeight="1">
      <c r="A30" s="34"/>
      <c r="B30" s="13"/>
      <c r="C30" s="10"/>
      <c r="D30" s="10"/>
      <c r="E30" s="8"/>
      <c r="F30" s="8"/>
      <c r="G30" s="11"/>
      <c r="H30" s="10"/>
      <c r="I30" s="12"/>
      <c r="J30" s="12"/>
      <c r="K30" s="117"/>
      <c r="L30" s="13"/>
      <c r="M30" s="15"/>
      <c r="N30" s="13"/>
      <c r="O30" s="13"/>
      <c r="P30" s="11"/>
      <c r="Q30" s="10"/>
      <c r="R30" s="10"/>
      <c r="S30" s="10"/>
      <c r="T30" s="14"/>
      <c r="U30" s="13"/>
      <c r="V30" s="13"/>
      <c r="W30" s="114"/>
      <c r="X30" s="115"/>
    </row>
    <row r="31" spans="1:26" ht="10.5" customHeight="1">
      <c r="A31" s="34"/>
      <c r="B31" s="13" t="s">
        <v>172</v>
      </c>
      <c r="C31" s="10" t="s">
        <v>160</v>
      </c>
      <c r="D31" s="10" t="s">
        <v>194</v>
      </c>
      <c r="E31" s="8">
        <f t="shared" ca="1" si="38"/>
        <v>43231</v>
      </c>
      <c r="F31" s="8">
        <f t="shared" ca="1" si="39"/>
        <v>43261</v>
      </c>
      <c r="G31" s="11">
        <f t="shared" ref="G31:G34" si="43">P31</f>
        <v>100</v>
      </c>
      <c r="H31" s="10">
        <v>30</v>
      </c>
      <c r="I31" s="12">
        <f>H31/365</f>
        <v>8.2191780821917804E-2</v>
      </c>
      <c r="J31" s="12">
        <v>0</v>
      </c>
      <c r="K31" s="117">
        <v>0.215</v>
      </c>
      <c r="L31" s="13">
        <f>_xll.dnetGBlackScholesNGreeks("price",$Q31,$P31,$G31,$I31,$C$3,$J31,$K31,$C$4)*R31</f>
        <v>2.4545962454477035</v>
      </c>
      <c r="M31" s="15"/>
      <c r="N31" s="13">
        <f t="shared" si="40"/>
        <v>0</v>
      </c>
      <c r="O31" s="13">
        <f>IF(L31&lt;=0,ABS(L31)+N31,L31-N31)</f>
        <v>2.4545962454477035</v>
      </c>
      <c r="P31" s="11">
        <v>100</v>
      </c>
      <c r="Q31" s="10" t="s">
        <v>85</v>
      </c>
      <c r="R31" s="10">
        <f t="shared" si="41"/>
        <v>1</v>
      </c>
      <c r="S31" s="10" t="s">
        <v>151</v>
      </c>
      <c r="T31" s="14">
        <f t="shared" si="42"/>
        <v>2.4545962454477033E-2</v>
      </c>
      <c r="U31" s="13">
        <f>_xll.dnetGBlackScholesNGreeks("delta",$Q31,$P31,$G31,$I31,$C$3,$J31,$K31,$C$4)*R31</f>
        <v>-0.48690579229031528</v>
      </c>
      <c r="V31" s="13">
        <f>_xll.dnetGBlackScholesNGreeks("vega",$Q31,$P31,$G31,$I31,$C$3,$J31,$K31,$C$4)*R31</f>
        <v>0.1141310863072178</v>
      </c>
      <c r="W31" s="114">
        <v>37.799999999999997</v>
      </c>
      <c r="X31" s="115">
        <f>G31-W31</f>
        <v>62.2</v>
      </c>
      <c r="Y31" s="6">
        <f>500*U31</f>
        <v>-243.45289614515764</v>
      </c>
    </row>
    <row r="32" spans="1:26" ht="10.5" customHeight="1">
      <c r="A32" s="34"/>
      <c r="B32" s="13" t="s">
        <v>172</v>
      </c>
      <c r="C32" s="10" t="s">
        <v>160</v>
      </c>
      <c r="D32" s="10" t="s">
        <v>194</v>
      </c>
      <c r="E32" s="8">
        <f t="shared" ca="1" si="38"/>
        <v>43231</v>
      </c>
      <c r="F32" s="8">
        <f t="shared" ca="1" si="39"/>
        <v>43261</v>
      </c>
      <c r="G32" s="11">
        <f t="shared" si="43"/>
        <v>100</v>
      </c>
      <c r="H32" s="10">
        <v>30</v>
      </c>
      <c r="I32" s="12">
        <f>H32/365</f>
        <v>8.2191780821917804E-2</v>
      </c>
      <c r="J32" s="12">
        <v>0</v>
      </c>
      <c r="K32" s="117">
        <v>0.28499999999999998</v>
      </c>
      <c r="L32" s="13">
        <f>_xll.dnetGBlackScholesNGreeks("price",$Q32,$P32,$G32,$I32,$C$3,$J32,$K32,$C$4)*R32</f>
        <v>-3.2533772011772371</v>
      </c>
      <c r="M32" s="15"/>
      <c r="N32" s="13">
        <f t="shared" si="40"/>
        <v>0</v>
      </c>
      <c r="O32" s="13">
        <f>IF(L32&lt;=0,ABS(L32)+N32,L32-N32)</f>
        <v>3.2533772011772371</v>
      </c>
      <c r="P32" s="11">
        <v>100</v>
      </c>
      <c r="Q32" s="10" t="s">
        <v>85</v>
      </c>
      <c r="R32" s="10">
        <f t="shared" si="41"/>
        <v>-1</v>
      </c>
      <c r="S32" s="10" t="s">
        <v>20</v>
      </c>
      <c r="T32" s="14">
        <f t="shared" si="42"/>
        <v>3.253377201177237E-2</v>
      </c>
      <c r="U32" s="13">
        <f>_xll.dnetGBlackScholesNGreeks("delta",$Q32,$P32,$G32,$I32,$C$3,$J32,$K32,$C$4)*R32</f>
        <v>0.4829118835409929</v>
      </c>
      <c r="V32" s="13">
        <f>_xll.dnetGBlackScholesNGreeks("vega",$Q32,$P32,$G32,$I32,$C$3,$J32,$K32,$C$4)*R32</f>
        <v>-0.1140900534253646</v>
      </c>
      <c r="W32" s="114">
        <v>37.799999999999997</v>
      </c>
      <c r="X32" s="115">
        <f>G32-W32</f>
        <v>62.2</v>
      </c>
      <c r="Y32" s="6">
        <f>500*U32</f>
        <v>241.45594177049645</v>
      </c>
    </row>
    <row r="33" spans="1:26" ht="10.5" customHeight="1">
      <c r="A33" s="34"/>
      <c r="B33" s="13"/>
      <c r="C33" s="10"/>
      <c r="D33" s="10"/>
      <c r="E33" s="8"/>
      <c r="F33" s="8"/>
      <c r="G33" s="11"/>
      <c r="H33" s="10"/>
      <c r="I33" s="12"/>
      <c r="J33" s="12"/>
      <c r="K33" s="117"/>
      <c r="L33" s="13"/>
      <c r="M33" s="15"/>
      <c r="N33" s="13"/>
      <c r="O33" s="13"/>
      <c r="P33" s="11"/>
      <c r="Q33" s="10"/>
      <c r="R33" s="10"/>
      <c r="S33" s="10"/>
      <c r="T33" s="14"/>
      <c r="U33" s="13"/>
      <c r="V33" s="13"/>
      <c r="W33" s="114"/>
      <c r="X33" s="115"/>
    </row>
    <row r="34" spans="1:26" ht="10.5" customHeight="1">
      <c r="A34" s="34"/>
      <c r="B34" s="13" t="s">
        <v>172</v>
      </c>
      <c r="C34" s="10" t="s">
        <v>160</v>
      </c>
      <c r="D34" s="10" t="s">
        <v>242</v>
      </c>
      <c r="E34" s="8">
        <f t="shared" ca="1" si="38"/>
        <v>43231</v>
      </c>
      <c r="F34" s="8">
        <f t="shared" ca="1" si="39"/>
        <v>43261</v>
      </c>
      <c r="G34" s="11">
        <f t="shared" si="43"/>
        <v>100</v>
      </c>
      <c r="H34" s="10">
        <v>30</v>
      </c>
      <c r="I34" s="12">
        <f>H34/365</f>
        <v>8.2191780821917804E-2</v>
      </c>
      <c r="J34" s="12">
        <v>0</v>
      </c>
      <c r="K34" s="117">
        <v>0.36</v>
      </c>
      <c r="L34" s="13">
        <f>_xll.dnetGBlackScholesNGreeks("price",$Q34,$P34,$G34,$I34,$C$3,$J34,$K34,$C$4)*R34</f>
        <v>-4.1088485325048723</v>
      </c>
      <c r="M34" s="15"/>
      <c r="N34" s="13">
        <f t="shared" si="40"/>
        <v>0</v>
      </c>
      <c r="O34" s="13">
        <f>IF(L34&lt;=0,ABS(L34)+N34,L34-N34)</f>
        <v>4.1088485325048723</v>
      </c>
      <c r="P34" s="11">
        <v>100</v>
      </c>
      <c r="Q34" s="10" t="s">
        <v>85</v>
      </c>
      <c r="R34" s="10">
        <f t="shared" si="41"/>
        <v>-1</v>
      </c>
      <c r="S34" s="10" t="s">
        <v>20</v>
      </c>
      <c r="T34" s="14">
        <f t="shared" si="42"/>
        <v>4.1088485325048725E-2</v>
      </c>
      <c r="U34" s="13">
        <f>_xll.dnetGBlackScholesNGreeks("delta",$Q34,$P34,$G34,$I34,$C$3,$J34,$K34,$C$4)*R34</f>
        <v>0.47863452434313558</v>
      </c>
      <c r="V34" s="13">
        <f>_xll.dnetGBlackScholesNGreeks("vega",$Q34,$P34,$G34,$I34,$C$3,$J34,$K34,$C$4)*R34</f>
        <v>-0.11403336440540457</v>
      </c>
      <c r="W34" s="114">
        <v>37.799999999999997</v>
      </c>
      <c r="X34" s="115">
        <f>G34-W34</f>
        <v>62.2</v>
      </c>
      <c r="Y34" s="6">
        <f>500*U34</f>
        <v>239.31726217156779</v>
      </c>
    </row>
    <row r="35" spans="1:26" ht="10.5" customHeight="1">
      <c r="A35" s="34"/>
      <c r="B35" s="13"/>
      <c r="C35" s="10"/>
      <c r="D35" s="10"/>
      <c r="E35" s="8"/>
      <c r="F35" s="8"/>
      <c r="G35" s="11"/>
      <c r="H35" s="10"/>
      <c r="I35" s="12"/>
      <c r="J35" s="12"/>
      <c r="K35" s="117"/>
      <c r="L35" s="13"/>
      <c r="M35" s="15"/>
      <c r="N35" s="13"/>
      <c r="O35" s="13"/>
      <c r="P35" s="11"/>
      <c r="Q35" s="10"/>
      <c r="R35" s="10"/>
      <c r="S35" s="10"/>
      <c r="T35" s="14"/>
      <c r="U35" s="13"/>
      <c r="V35" s="13"/>
      <c r="W35" s="114"/>
      <c r="X35" s="115"/>
    </row>
    <row r="36" spans="1:26" ht="10.5" customHeight="1">
      <c r="A36" s="34"/>
      <c r="B36" s="13" t="s">
        <v>172</v>
      </c>
      <c r="C36" s="10" t="s">
        <v>160</v>
      </c>
      <c r="D36" s="10" t="s">
        <v>213</v>
      </c>
      <c r="E36" s="8">
        <f t="shared" ca="1" si="38"/>
        <v>43231</v>
      </c>
      <c r="F36" s="8">
        <f t="shared" ca="1" si="39"/>
        <v>43261</v>
      </c>
      <c r="G36" s="11">
        <v>12105</v>
      </c>
      <c r="H36" s="10">
        <v>30</v>
      </c>
      <c r="I36" s="12">
        <f>H36/365</f>
        <v>8.2191780821917804E-2</v>
      </c>
      <c r="J36" s="12">
        <v>0</v>
      </c>
      <c r="K36" s="117">
        <v>0.3</v>
      </c>
      <c r="L36" s="13">
        <f>_xll.dnetGBlackScholesNGreeks("price",$Q36,$P36,$G36,$I36,$C$3,$J36,$K36,$C$4)*R36</f>
        <v>-229.74852624395226</v>
      </c>
      <c r="M36" s="15">
        <v>70</v>
      </c>
      <c r="N36" s="13">
        <f t="shared" si="40"/>
        <v>6.72</v>
      </c>
      <c r="O36" s="13">
        <f>IF(L36&lt;=0,ABS(L36)+N36,L36-N36)</f>
        <v>236.46852624395225</v>
      </c>
      <c r="P36" s="11">
        <f>RTD("wdf.rtq",,D36,"LastPrice")</f>
        <v>11680</v>
      </c>
      <c r="Q36" s="10" t="s">
        <v>39</v>
      </c>
      <c r="R36" s="10">
        <f t="shared" si="41"/>
        <v>-1</v>
      </c>
      <c r="S36" s="10" t="s">
        <v>20</v>
      </c>
      <c r="T36" s="14">
        <f t="shared" si="42"/>
        <v>2.0245593000338378E-2</v>
      </c>
      <c r="U36" s="13">
        <f>_xll.dnetGBlackScholesNGreeks("delta",$Q36,$P36,$G36,$I36,$C$3,$J36,$K36,$C$4)*R36</f>
        <v>-0.35415924012340838</v>
      </c>
      <c r="V36" s="13">
        <f>_xll.dnetGBlackScholesNGreeks("vega",$Q36,$P36,$G36,$I36,$C$3,$J36,$K36,$C$4)*R36</f>
        <v>-12.441568996116985</v>
      </c>
      <c r="W36" s="114">
        <v>37.799999999999997</v>
      </c>
      <c r="X36" s="115">
        <f>G36-W36</f>
        <v>12067.2</v>
      </c>
      <c r="Y36" s="6">
        <f>500*U36</f>
        <v>-177.07962006170419</v>
      </c>
    </row>
    <row r="37" spans="1:26" ht="10.5" customHeight="1">
      <c r="A37" s="34"/>
      <c r="B37" s="13" t="s">
        <v>172</v>
      </c>
      <c r="C37" s="10" t="s">
        <v>160</v>
      </c>
      <c r="D37" s="10" t="s">
        <v>213</v>
      </c>
      <c r="E37" s="8">
        <f ca="1">TODAY()</f>
        <v>43231</v>
      </c>
      <c r="F37" s="8">
        <f t="shared" ca="1" si="39"/>
        <v>43321</v>
      </c>
      <c r="G37" s="11">
        <v>12105</v>
      </c>
      <c r="H37" s="10">
        <v>90</v>
      </c>
      <c r="I37" s="12">
        <f>H37/365</f>
        <v>0.24657534246575341</v>
      </c>
      <c r="J37" s="12">
        <v>0</v>
      </c>
      <c r="K37" s="117">
        <v>0.31</v>
      </c>
      <c r="L37" s="13">
        <f>_xll.dnetGBlackScholesNGreeks("price",$Q37,$P37,$G37,$I37,$C$3,$J37,$K37,$C$4)*R37</f>
        <v>-534.0073328930539</v>
      </c>
      <c r="M37" s="15">
        <v>70</v>
      </c>
      <c r="N37" s="13">
        <f t="shared" si="40"/>
        <v>20.16</v>
      </c>
      <c r="O37" s="13">
        <f>IF(L37&lt;=0,ABS(L37)+N37,L37-N37)</f>
        <v>554.16733289305387</v>
      </c>
      <c r="P37" s="11">
        <f>RTD("wdf.rtq",,D37,"LastPrice")</f>
        <v>11680</v>
      </c>
      <c r="Q37" s="10" t="s">
        <v>39</v>
      </c>
      <c r="R37" s="10">
        <f t="shared" si="41"/>
        <v>-1</v>
      </c>
      <c r="S37" s="10" t="s">
        <v>20</v>
      </c>
      <c r="T37" s="14">
        <f t="shared" si="42"/>
        <v>4.7445833295638173E-2</v>
      </c>
      <c r="U37" s="13">
        <f>_xll.dnetGBlackScholesNGreeks("delta",$Q37,$P37,$G37,$I37,$C$3,$J37,$K37,$C$4)*R37</f>
        <v>-0.43617040514618566</v>
      </c>
      <c r="V37" s="13">
        <f>_xll.dnetGBlackScholesNGreeks("vega",$Q37,$P37,$G37,$I37,$C$3,$J37,$K37,$C$4)*R37</f>
        <v>-22.747948045309386</v>
      </c>
      <c r="W37" s="114">
        <v>37.799999999999997</v>
      </c>
      <c r="X37" s="115">
        <f>G37-W37</f>
        <v>12067.2</v>
      </c>
      <c r="Y37" s="6">
        <f>500*U37</f>
        <v>-218.08520257309283</v>
      </c>
    </row>
    <row r="38" spans="1:26" ht="10.5" customHeight="1">
      <c r="A38" s="34"/>
      <c r="B38" s="13" t="s">
        <v>172</v>
      </c>
      <c r="C38" s="10" t="s">
        <v>160</v>
      </c>
      <c r="D38" s="10" t="s">
        <v>246</v>
      </c>
      <c r="E38" s="8">
        <f ca="1">TODAY()</f>
        <v>43231</v>
      </c>
      <c r="F38" s="8">
        <f t="shared" ref="F38" ca="1" si="44">E38+H38</f>
        <v>43331</v>
      </c>
      <c r="G38" s="11">
        <v>12105</v>
      </c>
      <c r="H38" s="10">
        <v>100</v>
      </c>
      <c r="I38" s="12">
        <f>H38/365</f>
        <v>0.27397260273972601</v>
      </c>
      <c r="J38" s="12">
        <v>0</v>
      </c>
      <c r="K38" s="117">
        <v>0.315</v>
      </c>
      <c r="L38" s="13">
        <f>_xll.dnetGBlackScholesNGreeks("price",$Q38,$P38,$G38,$I38,$C$3,$J38,$K38,$C$4)*R38</f>
        <v>-1787.5881092717609</v>
      </c>
      <c r="M38" s="15">
        <v>70</v>
      </c>
      <c r="N38" s="13">
        <f t="shared" ref="N38" si="45">M38/10000*I38*P38</f>
        <v>26.091780821917808</v>
      </c>
      <c r="O38" s="13">
        <f>IF(L38&lt;=0,ABS(L38)+N38,L38-N38)</f>
        <v>1813.6798900936788</v>
      </c>
      <c r="P38" s="11">
        <f>RTD("wdf.rtq",,D38,"LastPrice")</f>
        <v>13605</v>
      </c>
      <c r="Q38" s="10" t="s">
        <v>39</v>
      </c>
      <c r="R38" s="10">
        <f t="shared" ref="R38" si="46">IF(S38="中金买入",1,-1)</f>
        <v>-1</v>
      </c>
      <c r="S38" s="10" t="s">
        <v>20</v>
      </c>
      <c r="T38" s="14">
        <f t="shared" ref="T38" si="47">O38/P38</f>
        <v>0.13330980449053134</v>
      </c>
      <c r="U38" s="13">
        <f>_xll.dnetGBlackScholesNGreeks("delta",$Q38,$P38,$G38,$I38,$C$3,$J38,$K38,$C$4)*R38</f>
        <v>-0.78122200593497837</v>
      </c>
      <c r="V38" s="13">
        <f>_xll.dnetGBlackScholesNGreeks("vega",$Q38,$P38,$G38,$I38,$C$3,$J38,$K38,$C$4)*R38</f>
        <v>-20.660510341650479</v>
      </c>
      <c r="W38" s="114">
        <v>37.799999999999997</v>
      </c>
      <c r="X38" s="115">
        <f>G38-W38</f>
        <v>12067.2</v>
      </c>
      <c r="Y38" s="6">
        <f>500*U38</f>
        <v>-390.61100296748918</v>
      </c>
    </row>
    <row r="40" spans="1:26" ht="10.5" customHeight="1">
      <c r="A40" s="34"/>
      <c r="B40" s="13" t="s">
        <v>172</v>
      </c>
      <c r="C40" s="10" t="s">
        <v>160</v>
      </c>
      <c r="D40" s="10" t="s">
        <v>248</v>
      </c>
      <c r="E40" s="8">
        <f ca="1">TODAY()</f>
        <v>43231</v>
      </c>
      <c r="F40" s="8">
        <f t="shared" ref="F40:F41" ca="1" si="48">E40+H40</f>
        <v>43263</v>
      </c>
      <c r="G40" s="11">
        <v>15800</v>
      </c>
      <c r="H40" s="10">
        <v>32</v>
      </c>
      <c r="I40" s="12">
        <f>H40/365</f>
        <v>8.7671232876712329E-2</v>
      </c>
      <c r="J40" s="12">
        <v>0</v>
      </c>
      <c r="K40" s="117">
        <v>7.4999999999999997E-2</v>
      </c>
      <c r="L40" s="13">
        <f>_xll.dnetGBlackScholesNGreeks("price",$Q40,$P40,$G40,$I40,$C$3,$J40,$K40,$C$4)*R40</f>
        <v>80.25741457624008</v>
      </c>
      <c r="M40" s="15"/>
      <c r="N40" s="13">
        <f t="shared" ref="N40:N41" si="49">M40/10000*I40*P40</f>
        <v>0</v>
      </c>
      <c r="O40" s="13">
        <f>IF(L40&lt;=0,ABS(L40)+N40,L40-N40)</f>
        <v>80.25741457624008</v>
      </c>
      <c r="P40" s="120">
        <v>15660</v>
      </c>
      <c r="Q40" s="10" t="s">
        <v>39</v>
      </c>
      <c r="R40" s="10">
        <f t="shared" ref="R40:R41" si="50">IF(S40="中金买入",1,-1)</f>
        <v>1</v>
      </c>
      <c r="S40" s="10" t="s">
        <v>151</v>
      </c>
      <c r="T40" s="14">
        <f t="shared" ref="T40:T41" si="51">O40/P40</f>
        <v>5.1249945450983448E-3</v>
      </c>
      <c r="U40" s="13">
        <f>_xll.dnetGBlackScholesNGreeks("delta",$Q40,$P40,$G40,$I40,$C$3,$J40,$K40,$C$4)*R40</f>
        <v>0.34777539817696379</v>
      </c>
      <c r="V40" s="13">
        <f>_xll.dnetGBlackScholesNGreeks("vega",$Q40,$P40,$G40,$I40,$C$3,$J40,$K40,$C$4)*R40</f>
        <v>17.092202688625548</v>
      </c>
      <c r="W40" s="114">
        <v>37.799999999999997</v>
      </c>
      <c r="X40" s="115">
        <f>G40-W40</f>
        <v>15762.2</v>
      </c>
      <c r="Y40" s="6">
        <f>500*U40</f>
        <v>173.8876990884819</v>
      </c>
      <c r="Z40" s="6">
        <f>638*U40</f>
        <v>221.8807040369029</v>
      </c>
    </row>
    <row r="41" spans="1:26" ht="10.5" customHeight="1">
      <c r="A41" s="34"/>
      <c r="B41" s="13" t="s">
        <v>172</v>
      </c>
      <c r="C41" s="10" t="s">
        <v>160</v>
      </c>
      <c r="D41" s="10" t="s">
        <v>248</v>
      </c>
      <c r="E41" s="8">
        <f ca="1">TODAY()</f>
        <v>43231</v>
      </c>
      <c r="F41" s="8">
        <f t="shared" ca="1" si="48"/>
        <v>43263</v>
      </c>
      <c r="G41" s="11">
        <v>15900</v>
      </c>
      <c r="H41" s="10">
        <v>32</v>
      </c>
      <c r="I41" s="12">
        <f>H41/365</f>
        <v>8.7671232876712329E-2</v>
      </c>
      <c r="J41" s="12">
        <v>0</v>
      </c>
      <c r="K41" s="117">
        <v>7.1999999999999995E-2</v>
      </c>
      <c r="L41" s="13">
        <f>_xll.dnetGBlackScholesNGreeks("price",$Q41,$P41,$G41,$I41,$C$3,$J41,$K41,$C$4)*R41</f>
        <v>46.897010797428266</v>
      </c>
      <c r="M41" s="15"/>
      <c r="N41" s="13">
        <f t="shared" si="49"/>
        <v>0</v>
      </c>
      <c r="O41" s="13">
        <f>IF(L41&lt;=0,ABS(L41)+N41,L41-N41)</f>
        <v>46.897010797428266</v>
      </c>
      <c r="P41" s="120">
        <v>15660</v>
      </c>
      <c r="Q41" s="10" t="s">
        <v>39</v>
      </c>
      <c r="R41" s="10">
        <f t="shared" si="50"/>
        <v>1</v>
      </c>
      <c r="S41" s="10" t="s">
        <v>151</v>
      </c>
      <c r="T41" s="14">
        <f t="shared" si="51"/>
        <v>2.9947005617770284E-3</v>
      </c>
      <c r="U41" s="13">
        <f>_xll.dnetGBlackScholesNGreeks("delta",$Q41,$P41,$G41,$I41,$C$3,$J41,$K41,$C$4)*R41</f>
        <v>0.24067686988473724</v>
      </c>
      <c r="V41" s="13">
        <f>_xll.dnetGBlackScholesNGreeks("vega",$Q41,$P41,$G41,$I41,$C$3,$J41,$K41,$C$4)*R41</f>
        <v>14.365814386063903</v>
      </c>
      <c r="W41" s="114">
        <v>37.799999999999997</v>
      </c>
      <c r="X41" s="115">
        <f>G41-W41</f>
        <v>15862.2</v>
      </c>
      <c r="Y41" s="6">
        <f>500*U41</f>
        <v>120.33843494236862</v>
      </c>
      <c r="Z41" s="6">
        <f>638*U41</f>
        <v>153.55184298646236</v>
      </c>
    </row>
    <row r="42" spans="1:26" ht="10.5" customHeight="1">
      <c r="A42" s="34"/>
      <c r="B42" s="13" t="s">
        <v>172</v>
      </c>
      <c r="C42" s="10" t="s">
        <v>160</v>
      </c>
      <c r="D42" s="10" t="s">
        <v>248</v>
      </c>
      <c r="E42" s="8">
        <f ca="1">TODAY()</f>
        <v>43231</v>
      </c>
      <c r="F42" s="8">
        <f t="shared" ref="F42" ca="1" si="52">E42+H42</f>
        <v>43263</v>
      </c>
      <c r="G42" s="11">
        <v>15660</v>
      </c>
      <c r="H42" s="10">
        <v>32</v>
      </c>
      <c r="I42" s="12">
        <f>H42/365</f>
        <v>8.7671232876712329E-2</v>
      </c>
      <c r="J42" s="12">
        <v>0</v>
      </c>
      <c r="K42" s="117">
        <v>0.08</v>
      </c>
      <c r="L42" s="13">
        <f>_xll.dnetGBlackScholesNGreeks("price",$Q42,$P42,$G42,$I42,$C$3,$J42,$K42,$C$4)*R42</f>
        <v>147.7232016030157</v>
      </c>
      <c r="M42" s="15"/>
      <c r="N42" s="13">
        <f t="shared" ref="N42" si="53">M42/10000*I42*P42</f>
        <v>0</v>
      </c>
      <c r="O42" s="13">
        <f>IF(L42&lt;=0,ABS(L42)+N42,L42-N42)</f>
        <v>147.7232016030157</v>
      </c>
      <c r="P42" s="120">
        <v>15660</v>
      </c>
      <c r="Q42" s="10" t="s">
        <v>39</v>
      </c>
      <c r="R42" s="10">
        <f t="shared" ref="R42" si="54">IF(S42="中金买入",1,-1)</f>
        <v>1</v>
      </c>
      <c r="S42" s="10" t="s">
        <v>151</v>
      </c>
      <c r="T42" s="14">
        <f t="shared" ref="T42" si="55">O42/P42</f>
        <v>9.433154636207898E-3</v>
      </c>
      <c r="U42" s="13">
        <f>_xll.dnetGBlackScholesNGreeks("delta",$Q42,$P42,$G42,$I42,$C$3,$J42,$K42,$C$4)*R42</f>
        <v>0.50384063320052519</v>
      </c>
      <c r="V42" s="13">
        <f>_xll.dnetGBlackScholesNGreeks("vega",$Q42,$P42,$G42,$I42,$C$3,$J42,$K42,$C$4)*R42</f>
        <v>18.464530067423766</v>
      </c>
      <c r="W42" s="114">
        <v>37.799999999999997</v>
      </c>
      <c r="X42" s="115">
        <f>G42-W42</f>
        <v>15622.2</v>
      </c>
      <c r="Y42" s="6">
        <f>500*U42</f>
        <v>251.92031660026259</v>
      </c>
    </row>
    <row r="43" spans="1:26">
      <c r="E43" s="118"/>
      <c r="F43" s="118"/>
    </row>
    <row r="44" spans="1:26" ht="10.5" customHeight="1">
      <c r="A44" s="34"/>
      <c r="B44" s="13" t="s">
        <v>172</v>
      </c>
      <c r="C44" s="10" t="s">
        <v>160</v>
      </c>
      <c r="D44" s="10" t="s">
        <v>249</v>
      </c>
      <c r="E44" s="8">
        <f ca="1">TODAY()</f>
        <v>43231</v>
      </c>
      <c r="F44" s="8">
        <f t="shared" ref="F44:F45" ca="1" si="56">E44+H44</f>
        <v>43323</v>
      </c>
      <c r="G44" s="11">
        <v>9000</v>
      </c>
      <c r="H44" s="10">
        <v>92</v>
      </c>
      <c r="I44" s="12">
        <f>H44/365</f>
        <v>0.25205479452054796</v>
      </c>
      <c r="J44" s="12">
        <v>0</v>
      </c>
      <c r="K44" s="117">
        <v>0.3</v>
      </c>
      <c r="L44" s="13">
        <f>_xll.dnetGBlackScholesNGreeks("price",$Q44,$P44,$G44,$I44,$C$3,$J44,$K44,$C$4)*R44</f>
        <v>-479.83785830723173</v>
      </c>
      <c r="M44" s="15"/>
      <c r="N44" s="13">
        <f t="shared" ref="N44:N45" si="57">M44/10000*I44*P44</f>
        <v>0</v>
      </c>
      <c r="O44" s="13">
        <f>IF(L44&lt;=0,ABS(L44)+N44,L44-N44)</f>
        <v>479.83785830723173</v>
      </c>
      <c r="P44" s="120">
        <f>RTD("wdf.rtq",,D44,"LastPrice")</f>
        <v>8887</v>
      </c>
      <c r="Q44" s="10" t="s">
        <v>39</v>
      </c>
      <c r="R44" s="10">
        <f t="shared" ref="R44:R45" si="58">IF(S44="中金买入",1,-1)</f>
        <v>-1</v>
      </c>
      <c r="S44" s="10" t="s">
        <v>20</v>
      </c>
      <c r="T44" s="14">
        <f t="shared" ref="T44:T45" si="59">O44/P44</f>
        <v>5.3993232621495635E-2</v>
      </c>
      <c r="U44" s="13">
        <f>_xll.dnetGBlackScholesNGreeks("delta",$Q44,$P44,$G44,$I44,$C$3,$J44,$K44,$C$4)*R44</f>
        <v>-0.49407933654492808</v>
      </c>
      <c r="V44" s="13">
        <f>_xll.dnetGBlackScholesNGreeks("vega",$Q44,$P44,$G44,$I44,$C$3,$J44,$K44,$C$4)*R44</f>
        <v>-17.709457541518304</v>
      </c>
      <c r="W44" s="114">
        <v>37.799999999999997</v>
      </c>
      <c r="X44" s="115">
        <f>G44-W44</f>
        <v>8962.2000000000007</v>
      </c>
      <c r="Y44" s="6">
        <f>500*U44</f>
        <v>-247.03966827246404</v>
      </c>
      <c r="Z44" s="6">
        <f>1000000/P44/10</f>
        <v>11.252391133115788</v>
      </c>
    </row>
    <row r="45" spans="1:26" ht="10.5" customHeight="1">
      <c r="A45" s="34"/>
      <c r="B45" s="13" t="s">
        <v>172</v>
      </c>
      <c r="C45" s="10" t="s">
        <v>160</v>
      </c>
      <c r="D45" s="10" t="s">
        <v>249</v>
      </c>
      <c r="E45" s="8">
        <f ca="1">TODAY()</f>
        <v>43231</v>
      </c>
      <c r="F45" s="8">
        <f t="shared" ca="1" si="56"/>
        <v>43323</v>
      </c>
      <c r="G45" s="11">
        <v>10000</v>
      </c>
      <c r="H45" s="10">
        <v>92</v>
      </c>
      <c r="I45" s="12">
        <f>H45/365</f>
        <v>0.25205479452054796</v>
      </c>
      <c r="J45" s="12">
        <v>0</v>
      </c>
      <c r="K45" s="117">
        <v>0.3</v>
      </c>
      <c r="L45" s="13">
        <f>_xll.dnetGBlackScholesNGreeks("price",$Q45,$P45,$G45,$I45,$C$3,$J45,$K45,$C$4)*R45</f>
        <v>-174.54681539147987</v>
      </c>
      <c r="M45" s="15"/>
      <c r="N45" s="13">
        <f t="shared" si="57"/>
        <v>0</v>
      </c>
      <c r="O45" s="13">
        <f>IF(L45&lt;=0,ABS(L45)+N45,L45-N45)</f>
        <v>174.54681539147987</v>
      </c>
      <c r="P45" s="120">
        <f>RTD("wdf.rtq",,D45,"LastPrice")</f>
        <v>8887</v>
      </c>
      <c r="Q45" s="10" t="s">
        <v>39</v>
      </c>
      <c r="R45" s="10">
        <f t="shared" si="58"/>
        <v>-1</v>
      </c>
      <c r="S45" s="10" t="s">
        <v>20</v>
      </c>
      <c r="T45" s="14">
        <f t="shared" si="59"/>
        <v>1.9640690378246863E-2</v>
      </c>
      <c r="U45" s="13">
        <f>_xll.dnetGBlackScholesNGreeks("delta",$Q45,$P45,$G45,$I45,$C$3,$J45,$K45,$C$4)*R45</f>
        <v>-0.23823247086056654</v>
      </c>
      <c r="V45" s="13">
        <f>_xll.dnetGBlackScholesNGreeks("vega",$Q45,$P45,$G45,$I45,$C$3,$J45,$K45,$C$4)*R45</f>
        <v>-13.779092428230456</v>
      </c>
      <c r="W45" s="114">
        <v>37.799999999999997</v>
      </c>
      <c r="X45" s="115">
        <f>G45-W45</f>
        <v>9962.2000000000007</v>
      </c>
      <c r="Y45" s="6">
        <f>500*U45</f>
        <v>-119.11623543028327</v>
      </c>
    </row>
    <row r="46" spans="1:26" ht="10.5" customHeight="1">
      <c r="A46" s="34"/>
      <c r="B46" s="13" t="s">
        <v>172</v>
      </c>
      <c r="C46" s="10" t="s">
        <v>160</v>
      </c>
      <c r="D46" s="10" t="s">
        <v>249</v>
      </c>
      <c r="E46" s="8">
        <f ca="1">TODAY()</f>
        <v>43231</v>
      </c>
      <c r="F46" s="8">
        <f t="shared" ref="F46:F47" ca="1" si="60">E46+H46</f>
        <v>43414</v>
      </c>
      <c r="G46" s="11">
        <v>9000</v>
      </c>
      <c r="H46" s="10">
        <v>183</v>
      </c>
      <c r="I46" s="12">
        <f>H46/365</f>
        <v>0.50136986301369868</v>
      </c>
      <c r="J46" s="12">
        <v>0</v>
      </c>
      <c r="K46" s="117">
        <v>0.3</v>
      </c>
      <c r="L46" s="13">
        <f>_xll.dnetGBlackScholesNGreeks("price",$Q46,$P46,$G46,$I46,$C$3,$J46,$K46,$C$4)*R46</f>
        <v>-694.3234595713152</v>
      </c>
      <c r="M46" s="15"/>
      <c r="N46" s="13">
        <f t="shared" ref="N46:N47" si="61">M46/10000*I46*P46</f>
        <v>0</v>
      </c>
      <c r="O46" s="13">
        <f>IF(L46&lt;=0,ABS(L46)+N46,L46-N46)</f>
        <v>694.3234595713152</v>
      </c>
      <c r="P46" s="120">
        <f>RTD("wdf.rtq",,D46,"LastPrice")</f>
        <v>8887</v>
      </c>
      <c r="Q46" s="10" t="s">
        <v>39</v>
      </c>
      <c r="R46" s="10">
        <f t="shared" ref="R46:R47" si="62">IF(S46="中金买入",1,-1)</f>
        <v>-1</v>
      </c>
      <c r="S46" s="10" t="s">
        <v>20</v>
      </c>
      <c r="T46" s="14">
        <f t="shared" ref="T46:T47" si="63">O46/P46</f>
        <v>7.8127991399945446E-2</v>
      </c>
      <c r="U46" s="13">
        <f>_xll.dnetGBlackScholesNGreeks("delta",$Q46,$P46,$G46,$I46,$C$3,$J46,$K46,$C$4)*R46</f>
        <v>-0.51346139805446001</v>
      </c>
      <c r="V46" s="13">
        <f>_xll.dnetGBlackScholesNGreeks("vega",$Q46,$P46,$G46,$I46,$C$3,$J46,$K46,$C$4)*R46</f>
        <v>-24.826389558721075</v>
      </c>
      <c r="W46" s="114">
        <v>37.799999999999997</v>
      </c>
      <c r="X46" s="115">
        <f>G46-W46</f>
        <v>8962.2000000000007</v>
      </c>
      <c r="Y46" s="6">
        <f>500*U46</f>
        <v>-256.73069902723</v>
      </c>
      <c r="Z46" s="6">
        <f>638*U46</f>
        <v>-327.58837195874548</v>
      </c>
    </row>
    <row r="47" spans="1:26" ht="10.5" customHeight="1">
      <c r="A47" s="34"/>
      <c r="B47" s="13" t="s">
        <v>172</v>
      </c>
      <c r="C47" s="10" t="s">
        <v>160</v>
      </c>
      <c r="D47" s="10" t="s">
        <v>249</v>
      </c>
      <c r="E47" s="8">
        <f ca="1">TODAY()</f>
        <v>43231</v>
      </c>
      <c r="F47" s="8">
        <f t="shared" ca="1" si="60"/>
        <v>43414</v>
      </c>
      <c r="G47" s="11">
        <v>10000</v>
      </c>
      <c r="H47" s="10">
        <v>183</v>
      </c>
      <c r="I47" s="12">
        <f>H47/365</f>
        <v>0.50136986301369868</v>
      </c>
      <c r="J47" s="12">
        <v>0</v>
      </c>
      <c r="K47" s="117">
        <v>0.3</v>
      </c>
      <c r="L47" s="13">
        <f>_xll.dnetGBlackScholesNGreeks("price",$Q47,$P47,$G47,$I47,$C$3,$J47,$K47,$C$4)*R47</f>
        <v>-358.20640803819606</v>
      </c>
      <c r="M47" s="15"/>
      <c r="N47" s="13">
        <f t="shared" si="61"/>
        <v>0</v>
      </c>
      <c r="O47" s="13">
        <f>IF(L47&lt;=0,ABS(L47)+N47,L47-N47)</f>
        <v>358.20640803819606</v>
      </c>
      <c r="P47" s="120">
        <f>RTD("wdf.rtq",,D47,"LastPrice")</f>
        <v>8887</v>
      </c>
      <c r="Q47" s="10" t="s">
        <v>39</v>
      </c>
      <c r="R47" s="10">
        <f t="shared" si="62"/>
        <v>-1</v>
      </c>
      <c r="S47" s="10" t="s">
        <v>20</v>
      </c>
      <c r="T47" s="14">
        <f t="shared" si="63"/>
        <v>4.0306786096342528E-2</v>
      </c>
      <c r="U47" s="13">
        <f>_xll.dnetGBlackScholesNGreeks("delta",$Q47,$P47,$G47,$I47,$C$3,$J47,$K47,$C$4)*R47</f>
        <v>-0.32336154602035094</v>
      </c>
      <c r="V47" s="13">
        <f>_xll.dnetGBlackScholesNGreeks("vega",$Q47,$P47,$G47,$I47,$C$3,$J47,$K47,$C$4)*R47</f>
        <v>-22.464277905988638</v>
      </c>
      <c r="W47" s="114">
        <v>37.799999999999997</v>
      </c>
      <c r="X47" s="115">
        <f>G47-W47</f>
        <v>9962.2000000000007</v>
      </c>
      <c r="Y47" s="6">
        <f>500*U47</f>
        <v>-161.68077301017547</v>
      </c>
    </row>
    <row r="49" spans="1:26" ht="10.5" customHeight="1">
      <c r="A49" s="34"/>
      <c r="B49" s="13" t="s">
        <v>172</v>
      </c>
      <c r="C49" s="10" t="s">
        <v>160</v>
      </c>
      <c r="D49" s="10" t="s">
        <v>258</v>
      </c>
      <c r="E49" s="8">
        <f t="shared" ref="E49:E58" ca="1" si="64">TODAY()</f>
        <v>43231</v>
      </c>
      <c r="F49" s="8">
        <f t="shared" ref="F49:F51" ca="1" si="65">E49+H49</f>
        <v>43262</v>
      </c>
      <c r="G49" s="11">
        <f>P49</f>
        <v>100</v>
      </c>
      <c r="H49" s="10">
        <v>31</v>
      </c>
      <c r="I49" s="12">
        <f t="shared" ref="I49:I57" si="66">H49/365</f>
        <v>8.4931506849315067E-2</v>
      </c>
      <c r="J49" s="12">
        <v>0</v>
      </c>
      <c r="K49" s="117">
        <v>0.16500000000000001</v>
      </c>
      <c r="L49" s="13">
        <f>_xll.dnetGBlackScholesNGreeks("price",$Q49,$P49,$G49,$I49,$C$3,$J49,$K49,$C$4)*R49</f>
        <v>1.9149122565538121</v>
      </c>
      <c r="M49" s="15"/>
      <c r="N49" s="13">
        <f t="shared" ref="N49:N51" si="67">M49/10000*I49*P49</f>
        <v>0</v>
      </c>
      <c r="O49" s="13">
        <f t="shared" ref="O49:O57" si="68">IF(L49&lt;=0,ABS(L49)+N49,L49-N49)</f>
        <v>1.9149122565538121</v>
      </c>
      <c r="P49" s="120">
        <v>100</v>
      </c>
      <c r="Q49" s="10" t="s">
        <v>254</v>
      </c>
      <c r="R49" s="10">
        <f t="shared" ref="R49:R51" si="69">IF(S49="中金买入",1,-1)</f>
        <v>1</v>
      </c>
      <c r="S49" s="10" t="s">
        <v>151</v>
      </c>
      <c r="T49" s="14">
        <f t="shared" ref="T49:T51" si="70">O49/P49</f>
        <v>1.9149122565538121E-2</v>
      </c>
      <c r="U49" s="13">
        <f>_xll.dnetGBlackScholesNGreeks("delta",$Q49,$P49,$G49,$I49,$C$3,$J49,$K49,$C$4)*R49</f>
        <v>-0.48957686527622002</v>
      </c>
      <c r="V49" s="13">
        <f>_xll.dnetGBlackScholesNGreeks("vega",$Q49,$P49,$G49,$I49,$C$3,$J49,$K49,$C$4)*R49</f>
        <v>0.11603288645868659</v>
      </c>
      <c r="W49" s="114">
        <v>37.799999999999997</v>
      </c>
      <c r="X49" s="115">
        <f t="shared" ref="X49:X57" si="71">G49-W49</f>
        <v>62.2</v>
      </c>
      <c r="Y49" s="6">
        <f t="shared" ref="Y49:Y57" si="72">500*U49</f>
        <v>-244.78843263811001</v>
      </c>
    </row>
    <row r="50" spans="1:26" ht="10.5" customHeight="1">
      <c r="A50" s="34"/>
      <c r="B50" s="13" t="s">
        <v>172</v>
      </c>
      <c r="C50" s="10" t="s">
        <v>160</v>
      </c>
      <c r="D50" s="10" t="s">
        <v>260</v>
      </c>
      <c r="E50" s="8">
        <f t="shared" ca="1" si="64"/>
        <v>43231</v>
      </c>
      <c r="F50" s="8">
        <f t="shared" ca="1" si="65"/>
        <v>43262</v>
      </c>
      <c r="G50" s="11">
        <f t="shared" ref="G50:G58" si="73">P50</f>
        <v>100</v>
      </c>
      <c r="H50" s="10">
        <v>31</v>
      </c>
      <c r="I50" s="12">
        <f t="shared" si="66"/>
        <v>8.4931506849315067E-2</v>
      </c>
      <c r="J50" s="12">
        <v>0</v>
      </c>
      <c r="K50" s="117">
        <v>0.16250000000000001</v>
      </c>
      <c r="L50" s="13">
        <f>_xll.dnetGBlackScholesNGreeks("price",$Q50,$P50,$G50,$I50,$C$3,$J50,$K50,$C$4)*R50</f>
        <v>1.8859038982856404</v>
      </c>
      <c r="M50" s="15"/>
      <c r="N50" s="13">
        <f t="shared" si="67"/>
        <v>0</v>
      </c>
      <c r="O50" s="13">
        <f t="shared" si="68"/>
        <v>1.8859038982856404</v>
      </c>
      <c r="P50" s="120">
        <v>100</v>
      </c>
      <c r="Q50" s="10" t="s">
        <v>254</v>
      </c>
      <c r="R50" s="10">
        <f t="shared" si="69"/>
        <v>1</v>
      </c>
      <c r="S50" s="10" t="s">
        <v>151</v>
      </c>
      <c r="T50" s="14">
        <f t="shared" si="70"/>
        <v>1.8859038982856405E-2</v>
      </c>
      <c r="U50" s="13">
        <f>_xll.dnetGBlackScholesNGreeks("delta",$Q50,$P50,$G50,$I50,$C$3,$J50,$K50,$C$4)*R50</f>
        <v>-0.48972190738609811</v>
      </c>
      <c r="V50" s="13">
        <f>_xll.dnetGBlackScholesNGreeks("vega",$Q50,$P50,$G50,$I50,$C$3,$J50,$K50,$C$4)*R50</f>
        <v>0.11603389504444905</v>
      </c>
      <c r="W50" s="114">
        <v>37.799999999999997</v>
      </c>
      <c r="X50" s="115">
        <f t="shared" si="71"/>
        <v>62.2</v>
      </c>
      <c r="Y50" s="6">
        <f t="shared" si="72"/>
        <v>-244.86095369304905</v>
      </c>
      <c r="Z50" s="6">
        <f>638*U50</f>
        <v>-312.44257691233059</v>
      </c>
    </row>
    <row r="51" spans="1:26" ht="10.5" customHeight="1">
      <c r="A51" s="34"/>
      <c r="B51" s="13" t="s">
        <v>172</v>
      </c>
      <c r="C51" s="10" t="s">
        <v>160</v>
      </c>
      <c r="D51" s="10" t="s">
        <v>262</v>
      </c>
      <c r="E51" s="8">
        <f t="shared" ca="1" si="64"/>
        <v>43231</v>
      </c>
      <c r="F51" s="8">
        <f t="shared" ca="1" si="65"/>
        <v>43262</v>
      </c>
      <c r="G51" s="11">
        <f t="shared" si="73"/>
        <v>100</v>
      </c>
      <c r="H51" s="10">
        <v>31</v>
      </c>
      <c r="I51" s="12">
        <f t="shared" si="66"/>
        <v>8.4931506849315067E-2</v>
      </c>
      <c r="J51" s="12">
        <v>0</v>
      </c>
      <c r="K51" s="117">
        <v>0.13750000000000001</v>
      </c>
      <c r="L51" s="13">
        <f>_xll.dnetGBlackScholesNGreeks("price",$Q51,$P51,$G51,$I51,$C$3,$J51,$K51,$C$4)*R51</f>
        <v>1.595807188203942</v>
      </c>
      <c r="M51" s="15"/>
      <c r="N51" s="13">
        <f t="shared" si="67"/>
        <v>0</v>
      </c>
      <c r="O51" s="13">
        <f t="shared" si="68"/>
        <v>1.595807188203942</v>
      </c>
      <c r="P51" s="120">
        <v>100</v>
      </c>
      <c r="Q51" s="10" t="s">
        <v>254</v>
      </c>
      <c r="R51" s="10">
        <f t="shared" si="69"/>
        <v>1</v>
      </c>
      <c r="S51" s="10" t="s">
        <v>151</v>
      </c>
      <c r="T51" s="14">
        <f t="shared" si="70"/>
        <v>1.5958071882039418E-2</v>
      </c>
      <c r="U51" s="13">
        <f>_xll.dnetGBlackScholesNGreeks("delta",$Q51,$P51,$G51,$I51,$C$3,$J51,$K51,$C$4)*R51</f>
        <v>-0.49117239476039742</v>
      </c>
      <c r="V51" s="13">
        <f>_xll.dnetGBlackScholesNGreeks("vega",$Q51,$P51,$G51,$I51,$C$3,$J51,$K51,$C$4)*R51</f>
        <v>0.11604313440593472</v>
      </c>
      <c r="W51" s="114">
        <v>37.799999999999997</v>
      </c>
      <c r="X51" s="115">
        <f t="shared" si="71"/>
        <v>62.2</v>
      </c>
      <c r="Y51" s="6">
        <f t="shared" si="72"/>
        <v>-245.58619738019871</v>
      </c>
    </row>
    <row r="52" spans="1:26" ht="10.5" customHeight="1">
      <c r="A52" s="34"/>
      <c r="B52" s="13" t="s">
        <v>172</v>
      </c>
      <c r="C52" s="10" t="s">
        <v>160</v>
      </c>
      <c r="D52" s="10" t="s">
        <v>262</v>
      </c>
      <c r="E52" s="8">
        <f t="shared" ca="1" si="64"/>
        <v>43231</v>
      </c>
      <c r="F52" s="8">
        <f t="shared" ref="F52" ca="1" si="74">E52+H52</f>
        <v>43262</v>
      </c>
      <c r="G52" s="11">
        <f t="shared" si="73"/>
        <v>100</v>
      </c>
      <c r="H52" s="10">
        <v>31</v>
      </c>
      <c r="I52" s="12">
        <f t="shared" ref="I52" si="75">H52/365</f>
        <v>8.4931506849315067E-2</v>
      </c>
      <c r="J52" s="12">
        <v>0</v>
      </c>
      <c r="K52" s="117">
        <v>0.1875</v>
      </c>
      <c r="L52" s="13">
        <f>_xll.dnetGBlackScholesNGreeks("price",$Q52,$P52,$G52,$I52,$C$3,$J52,$K52,$C$4)*R52</f>
        <v>-2.1759755861492565</v>
      </c>
      <c r="M52" s="15"/>
      <c r="N52" s="13">
        <f t="shared" ref="N52" si="76">M52/10000*I52*P52</f>
        <v>0</v>
      </c>
      <c r="O52" s="13">
        <f t="shared" ref="O52" si="77">IF(L52&lt;=0,ABS(L52)+N52,L52-N52)</f>
        <v>2.1759755861492565</v>
      </c>
      <c r="P52" s="120">
        <v>100</v>
      </c>
      <c r="Q52" s="10" t="s">
        <v>254</v>
      </c>
      <c r="R52" s="10">
        <f t="shared" ref="R52" si="78">IF(S52="中金买入",1,-1)</f>
        <v>-1</v>
      </c>
      <c r="S52" s="10" t="s">
        <v>20</v>
      </c>
      <c r="T52" s="14">
        <f t="shared" ref="T52" si="79">O52/P52</f>
        <v>2.1759755861492563E-2</v>
      </c>
      <c r="U52" s="13">
        <f>_xll.dnetGBlackScholesNGreeks("delta",$Q52,$P52,$G52,$I52,$C$3,$J52,$K52,$C$4)*R52</f>
        <v>0.48827154614308199</v>
      </c>
      <c r="V52" s="13">
        <f>_xll.dnetGBlackScholesNGreeks("vega",$Q52,$P52,$G52,$I52,$C$3,$J52,$K52,$C$4)*R52</f>
        <v>-0.11602311671913057</v>
      </c>
      <c r="W52" s="114">
        <v>37.799999999999997</v>
      </c>
      <c r="X52" s="115">
        <f t="shared" ref="X52" si="80">G52-W52</f>
        <v>62.2</v>
      </c>
      <c r="Y52" s="6">
        <f t="shared" ref="Y52" si="81">500*U52</f>
        <v>244.135773071541</v>
      </c>
    </row>
    <row r="53" spans="1:26" ht="10.5" customHeight="1">
      <c r="A53" s="34"/>
      <c r="B53" s="13"/>
      <c r="C53" s="10"/>
      <c r="D53" s="10"/>
      <c r="E53" s="8"/>
      <c r="F53" s="8"/>
      <c r="G53" s="11"/>
      <c r="H53" s="10"/>
      <c r="I53" s="12"/>
      <c r="J53" s="12"/>
      <c r="K53" s="117"/>
      <c r="L53" s="13"/>
      <c r="M53" s="15"/>
      <c r="N53" s="13"/>
      <c r="O53" s="13"/>
      <c r="P53" s="120"/>
      <c r="Q53" s="10"/>
      <c r="R53" s="10"/>
      <c r="S53" s="10"/>
      <c r="T53" s="14"/>
      <c r="U53" s="13"/>
      <c r="V53" s="13"/>
      <c r="W53" s="114"/>
      <c r="X53" s="115"/>
    </row>
    <row r="54" spans="1:26" ht="10.5" customHeight="1">
      <c r="A54" s="34"/>
      <c r="B54" s="13" t="s">
        <v>172</v>
      </c>
      <c r="C54" s="10" t="s">
        <v>160</v>
      </c>
      <c r="D54" s="10" t="s">
        <v>263</v>
      </c>
      <c r="E54" s="8">
        <f t="shared" ca="1" si="64"/>
        <v>43231</v>
      </c>
      <c r="F54" s="8">
        <f t="shared" ref="F54:F57" ca="1" si="82">E54+H54</f>
        <v>43251</v>
      </c>
      <c r="G54" s="11">
        <f t="shared" si="73"/>
        <v>100</v>
      </c>
      <c r="H54" s="10">
        <v>20</v>
      </c>
      <c r="I54" s="12">
        <f t="shared" si="66"/>
        <v>5.4794520547945202E-2</v>
      </c>
      <c r="J54" s="12">
        <v>0</v>
      </c>
      <c r="K54" s="117">
        <v>0.18</v>
      </c>
      <c r="L54" s="13">
        <f>_xll.dnetGBlackScholesNGreeks("price",$Q54,$P54,$G54,$I54,$C$3,$J54,$K54,$C$4)*R54</f>
        <v>1.6789705266844948</v>
      </c>
      <c r="M54" s="15"/>
      <c r="N54" s="13">
        <f t="shared" ref="N54:N57" si="83">M54/10000*I54*P54</f>
        <v>0</v>
      </c>
      <c r="O54" s="13">
        <f t="shared" si="68"/>
        <v>1.6789705266844948</v>
      </c>
      <c r="P54" s="120">
        <v>100</v>
      </c>
      <c r="Q54" s="10" t="s">
        <v>254</v>
      </c>
      <c r="R54" s="10">
        <f t="shared" ref="R54:R57" si="84">IF(S54="中金买入",1,-1)</f>
        <v>1</v>
      </c>
      <c r="S54" s="10" t="s">
        <v>151</v>
      </c>
      <c r="T54" s="14">
        <f t="shared" ref="T54:T57" si="85">O54/P54</f>
        <v>1.6789705266844947E-2</v>
      </c>
      <c r="U54" s="13">
        <f>_xll.dnetGBlackScholesNGreeks("delta",$Q54,$P54,$G54,$I54,$C$3,$J54,$K54,$C$4)*R54</f>
        <v>-0.49105752593519014</v>
      </c>
      <c r="V54" s="13">
        <f>_xll.dnetGBlackScholesNGreeks("vega",$Q54,$P54,$G54,$I54,$C$3,$J54,$K54,$C$4)*R54</f>
        <v>9.3262320146919819E-2</v>
      </c>
      <c r="W54" s="114">
        <v>37.799999999999997</v>
      </c>
      <c r="X54" s="115">
        <f t="shared" si="71"/>
        <v>62.2</v>
      </c>
      <c r="Y54" s="6">
        <f t="shared" si="72"/>
        <v>-245.52876296759507</v>
      </c>
    </row>
    <row r="55" spans="1:26" ht="10.5" customHeight="1">
      <c r="A55" s="34"/>
      <c r="B55" s="13" t="s">
        <v>172</v>
      </c>
      <c r="C55" s="10" t="s">
        <v>160</v>
      </c>
      <c r="D55" s="10" t="s">
        <v>263</v>
      </c>
      <c r="E55" s="8">
        <f t="shared" ca="1" si="64"/>
        <v>43231</v>
      </c>
      <c r="F55" s="8">
        <f t="shared" ref="F55" ca="1" si="86">E55+H55</f>
        <v>43281</v>
      </c>
      <c r="G55" s="11">
        <f t="shared" si="73"/>
        <v>100</v>
      </c>
      <c r="H55" s="10">
        <v>50</v>
      </c>
      <c r="I55" s="12">
        <f t="shared" ref="I55" si="87">H55/365</f>
        <v>0.13698630136986301</v>
      </c>
      <c r="J55" s="12">
        <v>0</v>
      </c>
      <c r="K55" s="117">
        <v>0.24</v>
      </c>
      <c r="L55" s="13">
        <f>_xll.dnetGBlackScholesNGreeks("price",$Q55,$P55,$G55,$I55,$C$3,$J55,$K55,$C$4)*R55</f>
        <v>-3.5328668252653728</v>
      </c>
      <c r="M55" s="15"/>
      <c r="N55" s="13">
        <f t="shared" ref="N55" si="88">M55/10000*I55*P55</f>
        <v>0</v>
      </c>
      <c r="O55" s="13">
        <f t="shared" ref="O55" si="89">IF(L55&lt;=0,ABS(L55)+N55,L55-N55)</f>
        <v>3.5328668252653728</v>
      </c>
      <c r="P55" s="120">
        <v>100</v>
      </c>
      <c r="Q55" s="10" t="s">
        <v>254</v>
      </c>
      <c r="R55" s="10">
        <f t="shared" ref="R55" si="90">IF(S55="中金买入",1,-1)</f>
        <v>-1</v>
      </c>
      <c r="S55" s="10" t="s">
        <v>20</v>
      </c>
      <c r="T55" s="14">
        <f t="shared" ref="T55" si="91">O55/P55</f>
        <v>3.5328668252653725E-2</v>
      </c>
      <c r="U55" s="13">
        <f>_xll.dnetGBlackScholesNGreeks("delta",$Q55,$P55,$G55,$I55,$C$3,$J55,$K55,$C$4)*R55</f>
        <v>0.48096768885876884</v>
      </c>
      <c r="V55" s="13">
        <f>_xll.dnetGBlackScholesNGreeks("vega",$Q55,$P55,$G55,$I55,$C$3,$J55,$K55,$C$4)*R55</f>
        <v>-0.14710593517011361</v>
      </c>
      <c r="W55" s="114">
        <v>37.799999999999997</v>
      </c>
      <c r="X55" s="115">
        <f t="shared" ref="X55" si="92">G55-W55</f>
        <v>62.2</v>
      </c>
      <c r="Y55" s="6">
        <f t="shared" ref="Y55" si="93">500*U55</f>
        <v>240.48384442938442</v>
      </c>
    </row>
    <row r="56" spans="1:26" ht="10.5" customHeight="1">
      <c r="A56" s="34"/>
      <c r="B56" s="13"/>
      <c r="C56" s="10"/>
      <c r="D56" s="10"/>
      <c r="E56" s="8"/>
      <c r="F56" s="8"/>
      <c r="G56" s="11"/>
      <c r="H56" s="10"/>
      <c r="I56" s="12"/>
      <c r="J56" s="12"/>
      <c r="K56" s="117"/>
      <c r="L56" s="13"/>
      <c r="M56" s="15"/>
      <c r="N56" s="13"/>
      <c r="O56" s="13"/>
      <c r="P56" s="120"/>
      <c r="Q56" s="10"/>
      <c r="R56" s="10"/>
      <c r="S56" s="10"/>
      <c r="T56" s="14"/>
      <c r="U56" s="13"/>
      <c r="V56" s="13"/>
      <c r="W56" s="114"/>
      <c r="X56" s="115"/>
    </row>
    <row r="57" spans="1:26" ht="10.5" customHeight="1">
      <c r="A57" s="34"/>
      <c r="B57" s="13" t="s">
        <v>172</v>
      </c>
      <c r="C57" s="10" t="s">
        <v>160</v>
      </c>
      <c r="D57" s="10" t="s">
        <v>264</v>
      </c>
      <c r="E57" s="8">
        <f t="shared" ca="1" si="64"/>
        <v>43231</v>
      </c>
      <c r="F57" s="8">
        <f t="shared" ca="1" si="82"/>
        <v>43262</v>
      </c>
      <c r="G57" s="11">
        <f t="shared" si="73"/>
        <v>100</v>
      </c>
      <c r="H57" s="10">
        <v>31</v>
      </c>
      <c r="I57" s="12">
        <f t="shared" si="66"/>
        <v>8.4931506849315067E-2</v>
      </c>
      <c r="J57" s="12">
        <v>0</v>
      </c>
      <c r="K57" s="117">
        <v>8.5000000000000006E-2</v>
      </c>
      <c r="L57" s="13">
        <f>_xll.dnetGBlackScholesNGreeks("price",$Q57,$P57,$G57,$I57,$C$3,$J57,$K57,$C$4)*R57</f>
        <v>0.98653976806129151</v>
      </c>
      <c r="M57" s="15"/>
      <c r="N57" s="13">
        <f t="shared" si="83"/>
        <v>0</v>
      </c>
      <c r="O57" s="13">
        <f t="shared" si="68"/>
        <v>0.98653976806129151</v>
      </c>
      <c r="P57" s="120">
        <v>100</v>
      </c>
      <c r="Q57" s="10" t="s">
        <v>254</v>
      </c>
      <c r="R57" s="10">
        <f t="shared" si="84"/>
        <v>1</v>
      </c>
      <c r="S57" s="10" t="s">
        <v>151</v>
      </c>
      <c r="T57" s="14">
        <f t="shared" si="85"/>
        <v>9.8653976806129147E-3</v>
      </c>
      <c r="U57" s="13">
        <f>_xll.dnetGBlackScholesNGreeks("delta",$Q57,$P57,$G57,$I57,$C$3,$J57,$K57,$C$4)*R57</f>
        <v>-0.4942187472099846</v>
      </c>
      <c r="V57" s="13">
        <f>_xll.dnetGBlackScholesNGreeks("vega",$Q57,$P57,$G57,$I57,$C$3,$J57,$K57,$C$4)*R57</f>
        <v>0.1160575261767427</v>
      </c>
      <c r="W57" s="114">
        <v>37.799999999999997</v>
      </c>
      <c r="X57" s="115">
        <f t="shared" si="71"/>
        <v>62.2</v>
      </c>
      <c r="Y57" s="6">
        <f t="shared" si="72"/>
        <v>-247.1093736049923</v>
      </c>
    </row>
    <row r="58" spans="1:26" ht="10.5" customHeight="1">
      <c r="A58" s="34"/>
      <c r="B58" s="13" t="s">
        <v>172</v>
      </c>
      <c r="C58" s="10" t="s">
        <v>160</v>
      </c>
      <c r="D58" s="10" t="s">
        <v>266</v>
      </c>
      <c r="E58" s="8">
        <f t="shared" ca="1" si="64"/>
        <v>43231</v>
      </c>
      <c r="F58" s="8">
        <f t="shared" ref="F58" ca="1" si="94">E58+H58</f>
        <v>43262</v>
      </c>
      <c r="G58" s="11">
        <f t="shared" si="73"/>
        <v>100</v>
      </c>
      <c r="H58" s="10">
        <v>31</v>
      </c>
      <c r="I58" s="12">
        <f t="shared" ref="I58" si="95">H58/365</f>
        <v>8.4931506849315067E-2</v>
      </c>
      <c r="J58" s="12">
        <v>0</v>
      </c>
      <c r="K58" s="117">
        <v>0.14499999999999999</v>
      </c>
      <c r="L58" s="13">
        <f>_xll.dnetGBlackScholesNGreeks("price",$Q58,$P58,$G58,$I58,$C$3,$J58,$K58,$C$4)*R58</f>
        <v>-1.6828385996297825</v>
      </c>
      <c r="M58" s="15"/>
      <c r="N58" s="13">
        <f t="shared" ref="N58" si="96">M58/10000*I58*P58</f>
        <v>0</v>
      </c>
      <c r="O58" s="13">
        <f t="shared" ref="O58" si="97">IF(L58&lt;=0,ABS(L58)+N58,L58-N58)</f>
        <v>1.6828385996297825</v>
      </c>
      <c r="P58" s="120">
        <v>100</v>
      </c>
      <c r="Q58" s="10" t="s">
        <v>254</v>
      </c>
      <c r="R58" s="10">
        <f t="shared" ref="R58" si="98">IF(S58="中金买入",1,-1)</f>
        <v>-1</v>
      </c>
      <c r="S58" s="10" t="s">
        <v>20</v>
      </c>
      <c r="T58" s="14">
        <f t="shared" ref="T58" si="99">O58/P58</f>
        <v>1.6828385996297827E-2</v>
      </c>
      <c r="U58" s="13">
        <f>_xll.dnetGBlackScholesNGreeks("delta",$Q58,$P58,$G58,$I58,$C$3,$J58,$K58,$C$4)*R58</f>
        <v>0.49073723641797073</v>
      </c>
      <c r="V58" s="13">
        <f>_xll.dnetGBlackScholesNGreeks("vega",$Q58,$P58,$G58,$I58,$C$3,$J58,$K58,$C$4)*R58</f>
        <v>-0.11604052421175837</v>
      </c>
      <c r="W58" s="114">
        <v>37.799999999999997</v>
      </c>
      <c r="X58" s="115">
        <f t="shared" ref="X58" si="100">G58-W58</f>
        <v>62.2</v>
      </c>
      <c r="Y58" s="6">
        <f t="shared" ref="Y58" si="101">500*U58</f>
        <v>245.36861820898537</v>
      </c>
    </row>
    <row r="59" spans="1:26" ht="10.5" customHeight="1">
      <c r="A59" s="34"/>
      <c r="B59" s="13"/>
      <c r="C59" s="10"/>
      <c r="D59" s="10"/>
      <c r="E59" s="8"/>
      <c r="F59" s="8"/>
      <c r="G59" s="11"/>
      <c r="H59" s="10"/>
      <c r="I59" s="12"/>
      <c r="J59" s="12"/>
      <c r="K59" s="117"/>
      <c r="L59" s="13"/>
      <c r="M59" s="15"/>
      <c r="N59" s="13"/>
      <c r="O59" s="13"/>
      <c r="P59" s="120"/>
      <c r="Q59" s="10"/>
      <c r="R59" s="10"/>
      <c r="S59" s="10"/>
      <c r="T59" s="14"/>
      <c r="U59" s="13"/>
      <c r="V59" s="13"/>
      <c r="W59" s="114"/>
      <c r="X59" s="115"/>
    </row>
    <row r="60" spans="1:26" ht="10.5" customHeight="1">
      <c r="A60" s="34"/>
      <c r="B60" s="13" t="s">
        <v>172</v>
      </c>
      <c r="C60" s="10" t="s">
        <v>160</v>
      </c>
      <c r="D60" s="10" t="s">
        <v>253</v>
      </c>
      <c r="E60" s="8">
        <f ca="1">TODAY()</f>
        <v>43231</v>
      </c>
      <c r="F60" s="8">
        <f t="shared" ref="F60:F61" ca="1" si="102">E60+H60</f>
        <v>43262</v>
      </c>
      <c r="G60" s="11">
        <v>490</v>
      </c>
      <c r="H60" s="10">
        <v>31</v>
      </c>
      <c r="I60" s="12">
        <f>H60/365</f>
        <v>8.4931506849315067E-2</v>
      </c>
      <c r="J60" s="12">
        <v>0</v>
      </c>
      <c r="K60" s="117">
        <v>0.28499999999999998</v>
      </c>
      <c r="L60" s="13">
        <f>_xll.dnetGBlackScholesNGreeks("price",$Q60,$P60,$G60,$I60,$C$3,$J60,$K60,$C$4)*R60</f>
        <v>-8.2390821620531938</v>
      </c>
      <c r="M60" s="15"/>
      <c r="N60" s="13">
        <f t="shared" ref="N60:N61" si="103">M60/10000*I60*P60</f>
        <v>0</v>
      </c>
      <c r="O60" s="13">
        <f>IF(L60&lt;=0,ABS(L60)+N60,L60-N60)</f>
        <v>8.2390821620531938</v>
      </c>
      <c r="P60" s="120">
        <f>RTD("wdf.rtq",,D60,"LastPrice")</f>
        <v>471.2</v>
      </c>
      <c r="Q60" s="10" t="s">
        <v>39</v>
      </c>
      <c r="R60" s="10">
        <f t="shared" ref="R60:R61" si="104">IF(S60="中金买入",1,-1)</f>
        <v>-1</v>
      </c>
      <c r="S60" s="10" t="s">
        <v>20</v>
      </c>
      <c r="T60" s="14">
        <f t="shared" ref="T60:T61" si="105">O60/P60</f>
        <v>1.7485318680078934E-2</v>
      </c>
      <c r="U60" s="13">
        <f>_xll.dnetGBlackScholesNGreeks("delta",$Q60,$P60,$G60,$I60,$C$3,$J60,$K60,$C$4)*R60</f>
        <v>-0.33321213037567077</v>
      </c>
      <c r="V60" s="13">
        <f>_xll.dnetGBlackScholesNGreeks("vega",$Q60,$P60,$G60,$I60,$C$3,$J60,$K60,$C$4)*R60</f>
        <v>-0.4986537486577447</v>
      </c>
      <c r="W60" s="114">
        <v>37.799999999999997</v>
      </c>
      <c r="X60" s="115">
        <f>G60-W60</f>
        <v>452.2</v>
      </c>
      <c r="Y60" s="6">
        <f>500*U60</f>
        <v>-166.60606518783538</v>
      </c>
    </row>
    <row r="61" spans="1:26" ht="10.5" customHeight="1">
      <c r="A61" s="34"/>
      <c r="B61" s="13" t="s">
        <v>172</v>
      </c>
      <c r="C61" s="10" t="s">
        <v>160</v>
      </c>
      <c r="D61" s="10" t="s">
        <v>253</v>
      </c>
      <c r="E61" s="8">
        <f ca="1">TODAY()</f>
        <v>43231</v>
      </c>
      <c r="F61" s="8">
        <f t="shared" ca="1" si="102"/>
        <v>43323</v>
      </c>
      <c r="G61" s="11">
        <v>490</v>
      </c>
      <c r="H61" s="10">
        <v>92</v>
      </c>
      <c r="I61" s="12">
        <f>H61/365</f>
        <v>0.25205479452054796</v>
      </c>
      <c r="J61" s="12">
        <v>0</v>
      </c>
      <c r="K61" s="117">
        <v>0.28499999999999998</v>
      </c>
      <c r="L61" s="13">
        <f>_xll.dnetGBlackScholesNGreeks("price",$Q61,$P61,$G61,$I61,$C$3,$J61,$K61,$C$4)*R61</f>
        <v>-18.931133484103185</v>
      </c>
      <c r="M61" s="15"/>
      <c r="N61" s="13">
        <f t="shared" si="103"/>
        <v>0</v>
      </c>
      <c r="O61" s="13">
        <f>IF(L61&lt;=0,ABS(L61)+N61,L61-N61)</f>
        <v>18.931133484103185</v>
      </c>
      <c r="P61" s="120">
        <f>RTD("wdf.rtq",,D61,"LastPrice")</f>
        <v>471.2</v>
      </c>
      <c r="Q61" s="10" t="s">
        <v>39</v>
      </c>
      <c r="R61" s="10">
        <f t="shared" si="104"/>
        <v>-1</v>
      </c>
      <c r="S61" s="10" t="s">
        <v>20</v>
      </c>
      <c r="T61" s="14">
        <f t="shared" si="105"/>
        <v>4.0176429295634947E-2</v>
      </c>
      <c r="U61" s="13">
        <f>_xll.dnetGBlackScholesNGreeks("delta",$Q61,$P61,$G61,$I61,$C$3,$J61,$K61,$C$4)*R61</f>
        <v>-0.41789249145978147</v>
      </c>
      <c r="V61" s="13">
        <f>_xll.dnetGBlackScholesNGreeks("vega",$Q61,$P61,$G61,$I61,$C$3,$J61,$K61,$C$4)*R61</f>
        <v>-0.92003286049875044</v>
      </c>
      <c r="W61" s="114">
        <v>37.799999999999997</v>
      </c>
      <c r="X61" s="115">
        <f>G61-W61</f>
        <v>452.2</v>
      </c>
      <c r="Y61" s="6">
        <f>500*U61</f>
        <v>-208.94624572989073</v>
      </c>
    </row>
    <row r="63" spans="1:26" ht="10.5" customHeight="1">
      <c r="A63" s="34"/>
      <c r="B63" s="13" t="s">
        <v>172</v>
      </c>
      <c r="C63" s="10" t="s">
        <v>160</v>
      </c>
      <c r="D63" s="10" t="s">
        <v>202</v>
      </c>
      <c r="E63" s="8">
        <f t="shared" ref="E63" ca="1" si="106">TODAY()</f>
        <v>43231</v>
      </c>
      <c r="F63" s="8">
        <f t="shared" ref="F63" ca="1" si="107">E63+H63</f>
        <v>43292</v>
      </c>
      <c r="G63" s="11">
        <v>100</v>
      </c>
      <c r="H63" s="10">
        <v>61</v>
      </c>
      <c r="I63" s="12">
        <f>H63/365</f>
        <v>0.16712328767123288</v>
      </c>
      <c r="J63" s="12">
        <v>0</v>
      </c>
      <c r="K63" s="117">
        <v>0.33</v>
      </c>
      <c r="L63" s="13">
        <f>_xll.dnetGBlackScholesNGreeks("price",$Q63,$P63,$G63,$I63,$C$3,$J63,$K63,$C$4)*R63</f>
        <v>-5.3599611443800299</v>
      </c>
      <c r="M63" s="15"/>
      <c r="N63" s="13">
        <f t="shared" ref="N63" si="108">M63/10000*I63*P63</f>
        <v>0</v>
      </c>
      <c r="O63" s="13">
        <f>IF(L63&lt;=0,ABS(L63)+N63,L63-N63)</f>
        <v>5.3599611443800299</v>
      </c>
      <c r="P63" s="11">
        <v>100</v>
      </c>
      <c r="Q63" s="10" t="s">
        <v>39</v>
      </c>
      <c r="R63" s="10">
        <f t="shared" ref="R63" si="109">IF(S63="中金买入",1,-1)</f>
        <v>-1</v>
      </c>
      <c r="S63" s="10" t="s">
        <v>20</v>
      </c>
      <c r="T63" s="14">
        <f t="shared" ref="T63" si="110">O63/P63</f>
        <v>5.35996114438003E-2</v>
      </c>
      <c r="U63" s="13">
        <f>_xll.dnetGBlackScholesNGreeks("delta",$Q63,$P63,$G63,$I63,$C$3,$J63,$K63,$C$4)*R63</f>
        <v>-0.52513135540372957</v>
      </c>
      <c r="V63" s="13">
        <f>_xll.dnetGBlackScholesNGreeks("vega",$Q63,$P63,$G63,$I63,$C$3,$J63,$K63,$C$4)*R63</f>
        <v>-0.16217676403383763</v>
      </c>
      <c r="W63" s="114">
        <v>37.799999999999997</v>
      </c>
      <c r="X63" s="115">
        <f>G63-W63</f>
        <v>62.2</v>
      </c>
      <c r="Y63" s="6">
        <f>500*U63</f>
        <v>-262.56567770186479</v>
      </c>
    </row>
    <row r="70" spans="6:10">
      <c r="G70" s="149" t="s">
        <v>273</v>
      </c>
      <c r="H70" s="149"/>
      <c r="I70" s="149" t="s">
        <v>274</v>
      </c>
      <c r="J70" s="149"/>
    </row>
    <row r="71" spans="6:10">
      <c r="F71" s="6" t="s">
        <v>267</v>
      </c>
      <c r="G71" s="118">
        <v>0.16250000000000001</v>
      </c>
      <c r="H71" s="118">
        <v>0.2175</v>
      </c>
      <c r="I71" s="6">
        <v>14.36</v>
      </c>
      <c r="J71" s="6">
        <v>18.940000000000001</v>
      </c>
    </row>
    <row r="72" spans="6:10">
      <c r="F72" s="6" t="s">
        <v>268</v>
      </c>
      <c r="G72" s="118">
        <v>0.16500000000000001</v>
      </c>
      <c r="H72" s="118">
        <v>0.215</v>
      </c>
      <c r="I72" s="6">
        <v>16.12</v>
      </c>
      <c r="J72" s="6">
        <v>21.07</v>
      </c>
    </row>
    <row r="73" spans="6:10">
      <c r="F73" s="6" t="s">
        <v>269</v>
      </c>
      <c r="G73" s="118">
        <v>0.14249999999999999</v>
      </c>
      <c r="H73" s="118">
        <v>0.1875</v>
      </c>
      <c r="I73" s="6">
        <v>12.55</v>
      </c>
      <c r="J73" s="6">
        <v>16.579999999999998</v>
      </c>
    </row>
    <row r="75" spans="6:10">
      <c r="F75" s="6" t="s">
        <v>271</v>
      </c>
      <c r="G75" s="118">
        <v>0.18</v>
      </c>
      <c r="H75" s="118">
        <v>0.24</v>
      </c>
      <c r="I75" s="6">
        <v>17.39</v>
      </c>
      <c r="J75" s="6">
        <v>22.9</v>
      </c>
    </row>
    <row r="76" spans="6:10">
      <c r="F76" s="6" t="s">
        <v>272</v>
      </c>
      <c r="G76" s="118">
        <v>0.14499999999999999</v>
      </c>
      <c r="H76" s="118">
        <v>0.19500000000000001</v>
      </c>
      <c r="I76" s="6">
        <v>17.82</v>
      </c>
      <c r="J76" s="6">
        <v>22.86</v>
      </c>
    </row>
    <row r="77" spans="6:10">
      <c r="G77" s="118"/>
      <c r="H77" s="118"/>
    </row>
    <row r="78" spans="6:10">
      <c r="F78" s="6" t="s">
        <v>270</v>
      </c>
      <c r="G78" s="118">
        <v>9.5000000000000001E-2</v>
      </c>
      <c r="H78" s="118">
        <v>0.14499999999999999</v>
      </c>
      <c r="I78" s="6">
        <v>7.46</v>
      </c>
      <c r="J78" s="6">
        <v>10.09</v>
      </c>
    </row>
    <row r="79" spans="6:10">
      <c r="G79" s="118"/>
      <c r="H79" s="118"/>
    </row>
  </sheetData>
  <mergeCells count="3">
    <mergeCell ref="B1:C1"/>
    <mergeCell ref="I70:J70"/>
    <mergeCell ref="G70:H70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S8:S9 S11 S13:S38 S40:S42 S44:S47 S63 S49:S61</xm:sqref>
        </x14:dataValidation>
        <x14:dataValidation type="list" allowBlank="1" showInputMessage="1" showErrorMessage="1">
          <x14:formula1>
            <xm:f>configs!$C$1:$C$2</xm:f>
          </x14:formula1>
          <xm:sqref>Q8:Q9 Q11 Q13:Q38 Q40:Q42 Q44:Q47 Q63 Q49:Q61</xm:sqref>
        </x14:dataValidation>
        <x14:dataValidation type="list" allowBlank="1" showInputMessage="1">
          <x14:formula1>
            <xm:f>configs!$A$1:$A$36</xm:f>
          </x14:formula1>
          <xm:sqref>C8:C9 C11 C13:C38 C40:C42 C44:C47 C63 C49:C61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1"/>
  <sheetViews>
    <sheetView tabSelected="1" topLeftCell="A10" zoomScale="85" zoomScaleNormal="85" workbookViewId="0">
      <selection activeCell="N46" sqref="N46"/>
    </sheetView>
  </sheetViews>
  <sheetFormatPr defaultColWidth="9" defaultRowHeight="11.2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9.2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>
      <c r="B1" s="147" t="s">
        <v>37</v>
      </c>
      <c r="C1" s="146"/>
    </row>
    <row r="2" spans="1:22" ht="12" thickTop="1">
      <c r="B2" s="29" t="s">
        <v>0</v>
      </c>
      <c r="C2" s="4">
        <v>43061</v>
      </c>
    </row>
    <row r="3" spans="1:22">
      <c r="B3" s="29" t="s">
        <v>1</v>
      </c>
      <c r="C3" s="29">
        <v>0.02</v>
      </c>
    </row>
    <row r="4" spans="1:22" ht="12" thickBot="1">
      <c r="B4" s="30" t="s">
        <v>18</v>
      </c>
      <c r="C4" s="30">
        <v>0.01</v>
      </c>
    </row>
    <row r="5" spans="1:22" ht="12" thickTop="1"/>
    <row r="6" spans="1:22" ht="12" thickBot="1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>
      <c r="A8" s="42"/>
      <c r="B8" s="43" t="s">
        <v>173</v>
      </c>
      <c r="C8" s="44" t="s">
        <v>160</v>
      </c>
      <c r="D8" s="44" t="s">
        <v>159</v>
      </c>
      <c r="E8" s="46">
        <f ca="1">TODAY()</f>
        <v>43231</v>
      </c>
      <c r="F8" s="46">
        <f ca="1">E8+H8</f>
        <v>43261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0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>
      <c r="A9" s="42"/>
      <c r="B9" s="51" t="s">
        <v>174</v>
      </c>
      <c r="C9" s="52" t="s">
        <v>160</v>
      </c>
      <c r="D9" s="52" t="s">
        <v>159</v>
      </c>
      <c r="E9" s="54">
        <f ca="1">E8</f>
        <v>43231</v>
      </c>
      <c r="F9" s="54">
        <f ca="1">F8</f>
        <v>43261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43231</v>
      </c>
      <c r="F10" s="62">
        <f ca="1">F9</f>
        <v>43261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s="95" customFormat="1" ht="14.25" thickTop="1">
      <c r="A11" s="96"/>
      <c r="B11" s="43" t="s">
        <v>173</v>
      </c>
      <c r="C11" s="44" t="s">
        <v>160</v>
      </c>
      <c r="D11" s="44" t="s">
        <v>202</v>
      </c>
      <c r="E11" s="46">
        <f ca="1">TODAY()</f>
        <v>43231</v>
      </c>
      <c r="F11" s="46">
        <f ca="1">E11+H11</f>
        <v>43246</v>
      </c>
      <c r="G11" s="113">
        <f>P11-20</f>
        <v>462.5</v>
      </c>
      <c r="H11" s="44">
        <v>15</v>
      </c>
      <c r="I11" s="47">
        <f>H11/365</f>
        <v>4.1095890410958902E-2</v>
      </c>
      <c r="J11" s="47">
        <v>0</v>
      </c>
      <c r="K11" s="48">
        <v>0.3</v>
      </c>
      <c r="L11" s="43">
        <f>_xll.dnetGBlackScholesNGreeks("price",$Q11,$P11,$G11,$I11,$C$3,$J11,$K11,$C$4)*R11</f>
        <v>-4.1275207143674777</v>
      </c>
      <c r="M11" s="49"/>
      <c r="N11" s="43"/>
      <c r="O11" s="43">
        <f t="shared" ref="O11:O13" si="1">IF(L11&lt;=0,ABS(L11)+N11,L11-N11)</f>
        <v>4.1275207143674777</v>
      </c>
      <c r="P11" s="110">
        <f>RTD("wdf.rtq",,D11,"LastPrice")</f>
        <v>482.5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>
        <f>_xll.dnetGBlackScholesNGreeks("delta",$Q11,$P11,$G11,$I11,$C$3,$J11,$K11,$C$4)*R11</f>
        <v>0.23357112862427698</v>
      </c>
      <c r="V11" s="43">
        <f>_xll.dnetGBlackScholesNGreeks("vega",$Q11,$P11,$G11,$I11,$C$3,$J11,$K11,$C$4)*R11</f>
        <v>-0.29939015517881984</v>
      </c>
    </row>
    <row r="12" spans="1:22" s="95" customFormat="1" ht="13.5">
      <c r="A12" s="96"/>
      <c r="B12" s="51" t="s">
        <v>174</v>
      </c>
      <c r="C12" s="52" t="s">
        <v>160</v>
      </c>
      <c r="D12" s="52" t="s">
        <v>202</v>
      </c>
      <c r="E12" s="54">
        <f t="shared" ref="E12:F12" ca="1" si="2">E11</f>
        <v>43231</v>
      </c>
      <c r="F12" s="54">
        <f t="shared" ca="1" si="2"/>
        <v>43246</v>
      </c>
      <c r="G12" s="52">
        <f>G11+50</f>
        <v>512.5</v>
      </c>
      <c r="H12" s="52">
        <f>H11</f>
        <v>15</v>
      </c>
      <c r="I12" s="55">
        <f>H12/365</f>
        <v>4.1095890410958902E-2</v>
      </c>
      <c r="J12" s="55">
        <f>J11</f>
        <v>0</v>
      </c>
      <c r="K12" s="56">
        <v>0.28999999999999998</v>
      </c>
      <c r="L12" s="51">
        <f>_xll.dnetGBlackScholesNGreeks("price",$Q12,$P12,$G12,$I12,$C$3,$J12,$K12,$C$4)*R12</f>
        <v>2.3147428182975744</v>
      </c>
      <c r="M12" s="57"/>
      <c r="N12" s="51"/>
      <c r="O12" s="51">
        <f t="shared" si="1"/>
        <v>2.3147428182975744</v>
      </c>
      <c r="P12" s="94">
        <f>P11</f>
        <v>482.5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>
        <f>_xll.dnetGBlackScholesNGreeks("delta",$Q12,$P12,$G12,$I12,$C$3,$J12,$K12,$C$4)*R12</f>
        <v>0.15933826730076817</v>
      </c>
      <c r="V12" s="51">
        <f>_xll.dnetGBlackScholesNGreeks("vega",$Q12,$P12,$G12,$I12,$C$3,$J12,$K12,$C$4)*R12</f>
        <v>0.23718204949661015</v>
      </c>
    </row>
    <row r="13" spans="1:22" s="98" customFormat="1" ht="14.25" thickBot="1">
      <c r="A13" s="97"/>
      <c r="B13" s="59" t="s">
        <v>175</v>
      </c>
      <c r="C13" s="60" t="s">
        <v>160</v>
      </c>
      <c r="D13" s="60" t="str">
        <f t="shared" ref="D13:F13" si="3">D12</f>
        <v>i1809</v>
      </c>
      <c r="E13" s="62">
        <f t="shared" ca="1" si="3"/>
        <v>43231</v>
      </c>
      <c r="F13" s="62">
        <f t="shared" ca="1" si="3"/>
        <v>43246</v>
      </c>
      <c r="G13" s="60" t="str">
        <f>G11 &amp; "|" &amp; G12</f>
        <v>462.5|512.5</v>
      </c>
      <c r="H13" s="60">
        <f>H12</f>
        <v>15</v>
      </c>
      <c r="I13" s="63">
        <f>I12</f>
        <v>4.1095890410958902E-2</v>
      </c>
      <c r="J13" s="63"/>
      <c r="K13" s="60"/>
      <c r="L13" s="59">
        <f>L12+L11</f>
        <v>-1.8127778960699032</v>
      </c>
      <c r="M13" s="60">
        <v>0</v>
      </c>
      <c r="N13" s="59">
        <f>M13/10000*I13*P13</f>
        <v>0</v>
      </c>
      <c r="O13" s="59">
        <f t="shared" si="1"/>
        <v>1.8127778960699032</v>
      </c>
      <c r="P13" s="111">
        <f>P12</f>
        <v>482.5</v>
      </c>
      <c r="Q13" s="60"/>
      <c r="R13" s="60"/>
      <c r="S13" s="56" t="s">
        <v>151</v>
      </c>
      <c r="T13" s="64">
        <f>O13/P13</f>
        <v>3.7570526343417682E-3</v>
      </c>
      <c r="U13" s="64">
        <f>U12+U11</f>
        <v>0.39290939592504515</v>
      </c>
      <c r="V13" s="64">
        <f>V12+V11</f>
        <v>-6.2208105682209691E-2</v>
      </c>
    </row>
    <row r="14" spans="1:22" s="95" customFormat="1" ht="14.25" thickTop="1">
      <c r="A14" s="96"/>
      <c r="B14" s="43" t="s">
        <v>173</v>
      </c>
      <c r="C14" s="44" t="s">
        <v>160</v>
      </c>
      <c r="D14" s="44" t="s">
        <v>211</v>
      </c>
      <c r="E14" s="46">
        <f ca="1">TODAY()</f>
        <v>43231</v>
      </c>
      <c r="F14" s="46">
        <f ca="1">E14+H14</f>
        <v>43322</v>
      </c>
      <c r="G14" s="113">
        <v>3480</v>
      </c>
      <c r="H14" s="44">
        <v>91</v>
      </c>
      <c r="I14" s="47">
        <f>H14/365</f>
        <v>0.24931506849315069</v>
      </c>
      <c r="J14" s="47">
        <v>0</v>
      </c>
      <c r="K14" s="48">
        <f>K15+0.02</f>
        <v>0.30000000000000004</v>
      </c>
      <c r="L14" s="43">
        <f>_xll.dnetGBlackScholesNGreeks("price",$Q14,$P14,$G14,$I14,$C$3,$J14,$K14,$C$4)*R14</f>
        <v>-323.43546860583911</v>
      </c>
      <c r="M14" s="49"/>
      <c r="N14" s="43"/>
      <c r="O14" s="43">
        <f t="shared" ref="O14:O16" si="4">IF(L14&lt;=0,ABS(L14)+N14,L14-N14)</f>
        <v>323.43546860583911</v>
      </c>
      <c r="P14" s="110">
        <f>RTD("wdf.rtq",,D14,"LastPrice")</f>
        <v>3675</v>
      </c>
      <c r="Q14" s="44" t="s">
        <v>39</v>
      </c>
      <c r="R14" s="44">
        <f>IF(S14="中金买入",1,-1)</f>
        <v>-1</v>
      </c>
      <c r="S14" s="48" t="s">
        <v>20</v>
      </c>
      <c r="T14" s="50"/>
      <c r="U14" s="43">
        <f>_xll.dnetGBlackScholesNGreeks("delta",$Q14,$P14,$G14,$I14,$C$3,$J14,$K14,$C$4)*R14</f>
        <v>-0.66629092170842341</v>
      </c>
      <c r="V14" s="43">
        <f>_xll.dnetGBlackScholesNGreeks("vega",$Q14,$P14,$G14,$I14,$C$3,$J14,$K14,$C$4)*R14</f>
        <v>-6.614869121952097</v>
      </c>
    </row>
    <row r="15" spans="1:22" s="95" customFormat="1" ht="13.5">
      <c r="A15" s="96"/>
      <c r="B15" s="51" t="s">
        <v>174</v>
      </c>
      <c r="C15" s="52" t="s">
        <v>160</v>
      </c>
      <c r="D15" s="52" t="str">
        <f>D14</f>
        <v>rb1810</v>
      </c>
      <c r="E15" s="54">
        <f t="shared" ref="E15:F15" ca="1" si="5">E14</f>
        <v>43231</v>
      </c>
      <c r="F15" s="54">
        <f t="shared" ca="1" si="5"/>
        <v>43322</v>
      </c>
      <c r="G15" s="52">
        <v>3280</v>
      </c>
      <c r="H15" s="52">
        <f>H14</f>
        <v>91</v>
      </c>
      <c r="I15" s="55">
        <f>H15/365</f>
        <v>0.24931506849315069</v>
      </c>
      <c r="J15" s="55">
        <f>J14</f>
        <v>0</v>
      </c>
      <c r="K15" s="56">
        <v>0.28000000000000003</v>
      </c>
      <c r="L15" s="51">
        <f>_xll.dnetGBlackScholesNGreeks("price",$Q15,$P15,$G15,$I15,$C$3,$J15,$K15,$C$4)*R15</f>
        <v>56.624720400666092</v>
      </c>
      <c r="M15" s="57"/>
      <c r="N15" s="51"/>
      <c r="O15" s="51">
        <f t="shared" si="4"/>
        <v>56.624720400666092</v>
      </c>
      <c r="P15" s="94">
        <f>P14</f>
        <v>3675</v>
      </c>
      <c r="Q15" s="52" t="s">
        <v>85</v>
      </c>
      <c r="R15" s="52">
        <f>IF(S15="中金买入",1,-1)</f>
        <v>1</v>
      </c>
      <c r="S15" s="56" t="s">
        <v>151</v>
      </c>
      <c r="T15" s="58"/>
      <c r="U15" s="51">
        <f>_xll.dnetGBlackScholesNGreeks("delta",$Q15,$P15,$G15,$I15,$C$3,$J15,$K15,$C$4)*R15</f>
        <v>-0.18761783629770434</v>
      </c>
      <c r="V15" s="51">
        <f>_xll.dnetGBlackScholesNGreeks("vega",$Q15,$P15,$G15,$I15,$C$3,$J15,$K15,$C$4)*R15</f>
        <v>4.9298784881166284</v>
      </c>
    </row>
    <row r="16" spans="1:22" s="98" customFormat="1" ht="14.25" thickBot="1">
      <c r="A16" s="97"/>
      <c r="B16" s="59" t="s">
        <v>175</v>
      </c>
      <c r="C16" s="60" t="s">
        <v>160</v>
      </c>
      <c r="D16" s="60" t="str">
        <f>D15</f>
        <v>rb1810</v>
      </c>
      <c r="E16" s="62">
        <f t="shared" ref="E16:F16" ca="1" si="6">E15</f>
        <v>43231</v>
      </c>
      <c r="F16" s="62">
        <f t="shared" ca="1" si="6"/>
        <v>43322</v>
      </c>
      <c r="G16" s="60" t="str">
        <f>G14 &amp; "|" &amp; G15</f>
        <v>3480|3280</v>
      </c>
      <c r="H16" s="60">
        <f>H15</f>
        <v>91</v>
      </c>
      <c r="I16" s="63">
        <f>I15</f>
        <v>0.24931506849315069</v>
      </c>
      <c r="J16" s="63"/>
      <c r="K16" s="60"/>
      <c r="L16" s="59">
        <f>L15+L14</f>
        <v>-266.81074820517301</v>
      </c>
      <c r="M16" s="60">
        <v>0</v>
      </c>
      <c r="N16" s="59">
        <f>M16/10000*I16*P16</f>
        <v>0</v>
      </c>
      <c r="O16" s="59">
        <f t="shared" si="4"/>
        <v>266.81074820517301</v>
      </c>
      <c r="P16" s="111">
        <f>P15</f>
        <v>3675</v>
      </c>
      <c r="Q16" s="60"/>
      <c r="R16" s="60"/>
      <c r="S16" s="56" t="s">
        <v>151</v>
      </c>
      <c r="T16" s="64">
        <f>O16/P16</f>
        <v>7.2601564137462049E-2</v>
      </c>
      <c r="U16" s="64">
        <f>U15+U14</f>
        <v>-0.85390875800612775</v>
      </c>
      <c r="V16" s="64">
        <f>V15+V14</f>
        <v>-1.6849906338354685</v>
      </c>
    </row>
    <row r="17" spans="1:22" ht="12" thickBot="1"/>
    <row r="18" spans="1:22" s="95" customFormat="1" ht="14.25" thickTop="1">
      <c r="A18" s="96"/>
      <c r="B18" s="43" t="s">
        <v>173</v>
      </c>
      <c r="C18" s="44" t="s">
        <v>160</v>
      </c>
      <c r="D18" s="44" t="s">
        <v>251</v>
      </c>
      <c r="E18" s="46">
        <f ca="1">TODAY()</f>
        <v>43231</v>
      </c>
      <c r="F18" s="46">
        <f ca="1">E18+H18</f>
        <v>43262</v>
      </c>
      <c r="G18" s="121">
        <v>3000</v>
      </c>
      <c r="H18" s="44">
        <v>31</v>
      </c>
      <c r="I18" s="47">
        <f>H18/365</f>
        <v>8.4931506849315067E-2</v>
      </c>
      <c r="J18" s="47">
        <v>0</v>
      </c>
      <c r="K18" s="48">
        <v>0.16</v>
      </c>
      <c r="L18" s="43">
        <f>_xll.dnetGBlackScholesNGreeks("price",$Q18,$P18,$G18,$I18,$C$3,$J18,$K18,$C$4)*R18</f>
        <v>26.984653425873717</v>
      </c>
      <c r="M18" s="49"/>
      <c r="N18" s="43"/>
      <c r="O18" s="43">
        <f t="shared" ref="O18:O20" si="7">IF(L18&lt;=0,ABS(L18)+N18,L18-N18)</f>
        <v>26.984653425873717</v>
      </c>
      <c r="P18" s="110">
        <f>RTD("wdf.rtq",,D18,"LastPrice")</f>
        <v>3074</v>
      </c>
      <c r="Q18" s="44" t="s">
        <v>85</v>
      </c>
      <c r="R18" s="44">
        <f>IF(S18="中金买入",1,-1)</f>
        <v>1</v>
      </c>
      <c r="S18" s="48" t="s">
        <v>151</v>
      </c>
      <c r="T18" s="50"/>
      <c r="U18" s="43">
        <f>_xll.dnetGBlackScholesNGreeks("delta",$Q18,$P18,$G18,$I18,$C$3,$J18,$K18,$C$4)*R18</f>
        <v>-0.29207220646298993</v>
      </c>
      <c r="V18" s="43">
        <f>_xll.dnetGBlackScholesNGreeks("vega",$Q18,$P18,$G18,$I18,$C$3,$J18,$K18,$C$4)*R18</f>
        <v>3.0724780598762891</v>
      </c>
    </row>
    <row r="19" spans="1:22" s="95" customFormat="1" ht="13.5">
      <c r="A19" s="96"/>
      <c r="B19" s="51" t="s">
        <v>174</v>
      </c>
      <c r="C19" s="52" t="s">
        <v>160</v>
      </c>
      <c r="D19" s="52" t="str">
        <f>D18</f>
        <v>m1809</v>
      </c>
      <c r="E19" s="54">
        <f t="shared" ref="E19:F19" ca="1" si="8">E18</f>
        <v>43231</v>
      </c>
      <c r="F19" s="54">
        <f t="shared" ca="1" si="8"/>
        <v>43262</v>
      </c>
      <c r="G19" s="122">
        <v>3280</v>
      </c>
      <c r="H19" s="52">
        <f>H18</f>
        <v>31</v>
      </c>
      <c r="I19" s="55">
        <f>H19/365</f>
        <v>8.4931506849315067E-2</v>
      </c>
      <c r="J19" s="55">
        <f>J18</f>
        <v>0</v>
      </c>
      <c r="K19" s="56">
        <v>0.18</v>
      </c>
      <c r="L19" s="51">
        <f>_xll.dnetGBlackScholesNGreeks("price",$Q19,$P19,$G19,$I19,$C$3,$J19,$K19,$C$4)*R19</f>
        <v>-8.6498021580522959</v>
      </c>
      <c r="M19" s="57"/>
      <c r="N19" s="51"/>
      <c r="O19" s="51">
        <f t="shared" si="7"/>
        <v>8.6498021580522959</v>
      </c>
      <c r="P19" s="94">
        <f>P18</f>
        <v>3074</v>
      </c>
      <c r="Q19" s="52" t="s">
        <v>39</v>
      </c>
      <c r="R19" s="52">
        <f>IF(S19="中金买入",1,-1)</f>
        <v>-1</v>
      </c>
      <c r="S19" s="56" t="s">
        <v>20</v>
      </c>
      <c r="T19" s="58"/>
      <c r="U19" s="51">
        <f>_xll.dnetGBlackScholesNGreeks("delta",$Q19,$P19,$G19,$I19,$C$3,$J19,$K19,$C$4)*R19</f>
        <v>-0.11289482307574872</v>
      </c>
      <c r="V19" s="51">
        <f>_xll.dnetGBlackScholesNGreeks("vega",$Q19,$P19,$G19,$I19,$C$3,$J19,$K19,$C$4)*R19</f>
        <v>-1.7133199406842152</v>
      </c>
    </row>
    <row r="20" spans="1:22" s="98" customFormat="1" ht="14.25" thickBot="1">
      <c r="A20" s="97"/>
      <c r="B20" s="59" t="s">
        <v>175</v>
      </c>
      <c r="C20" s="60" t="s">
        <v>160</v>
      </c>
      <c r="D20" s="60" t="str">
        <f>D19</f>
        <v>m1809</v>
      </c>
      <c r="E20" s="62">
        <f t="shared" ref="E20:F20" ca="1" si="9">E19</f>
        <v>43231</v>
      </c>
      <c r="F20" s="62">
        <f t="shared" ca="1" si="9"/>
        <v>43262</v>
      </c>
      <c r="G20" s="60" t="str">
        <f>G18 &amp; "|" &amp; G19</f>
        <v>3000|3280</v>
      </c>
      <c r="H20" s="60">
        <f>H19</f>
        <v>31</v>
      </c>
      <c r="I20" s="63">
        <f>I19</f>
        <v>8.4931506849315067E-2</v>
      </c>
      <c r="J20" s="63"/>
      <c r="K20" s="60"/>
      <c r="L20" s="59">
        <f>L19+L18</f>
        <v>18.334851267821421</v>
      </c>
      <c r="M20" s="60">
        <v>0</v>
      </c>
      <c r="N20" s="59">
        <f>M20/10000*I20*P20</f>
        <v>0</v>
      </c>
      <c r="O20" s="59">
        <f t="shared" si="7"/>
        <v>18.334851267821421</v>
      </c>
      <c r="P20" s="111">
        <f>P19</f>
        <v>3074</v>
      </c>
      <c r="Q20" s="60"/>
      <c r="R20" s="60"/>
      <c r="S20" s="56"/>
      <c r="T20" s="64">
        <f>O20/P20</f>
        <v>5.9644929303257713E-3</v>
      </c>
      <c r="U20" s="64">
        <f>U19+U18</f>
        <v>-0.40496702953873864</v>
      </c>
      <c r="V20" s="64">
        <f>V19+V18</f>
        <v>1.3591581191920739</v>
      </c>
    </row>
    <row r="21" spans="1:22" s="95" customFormat="1" ht="14.25" thickTop="1">
      <c r="A21" s="96"/>
      <c r="B21" s="43" t="s">
        <v>173</v>
      </c>
      <c r="C21" s="44" t="s">
        <v>160</v>
      </c>
      <c r="D21" s="44" t="s">
        <v>251</v>
      </c>
      <c r="E21" s="46">
        <f ca="1">TODAY()</f>
        <v>43231</v>
      </c>
      <c r="F21" s="46">
        <f ca="1">E21+H21</f>
        <v>43323</v>
      </c>
      <c r="G21" s="121">
        <v>3000</v>
      </c>
      <c r="H21" s="44">
        <v>92</v>
      </c>
      <c r="I21" s="47">
        <f>H21/365</f>
        <v>0.25205479452054796</v>
      </c>
      <c r="J21" s="47">
        <v>0</v>
      </c>
      <c r="K21" s="48">
        <v>0.16</v>
      </c>
      <c r="L21" s="43">
        <f>_xll.dnetGBlackScholesNGreeks("price",$Q21,$P21,$G21,$I21,$C$3,$J21,$K21,$C$4)*R21</f>
        <v>64.412856619196418</v>
      </c>
      <c r="M21" s="49"/>
      <c r="N21" s="43"/>
      <c r="O21" s="43">
        <f t="shared" ref="O21:O23" si="10">IF(L21&lt;=0,ABS(L21)+N21,L21-N21)</f>
        <v>64.412856619196418</v>
      </c>
      <c r="P21" s="110">
        <f>RTD("wdf.rtq",,D21,"LastPrice")</f>
        <v>3074</v>
      </c>
      <c r="Q21" s="44" t="s">
        <v>85</v>
      </c>
      <c r="R21" s="44">
        <f>IF(S21="中金买入",1,-1)</f>
        <v>1</v>
      </c>
      <c r="S21" s="48" t="s">
        <v>151</v>
      </c>
      <c r="T21" s="50"/>
      <c r="U21" s="43">
        <f>_xll.dnetGBlackScholesNGreeks("delta",$Q21,$P21,$G21,$I21,$C$3,$J21,$K21,$C$4)*R21</f>
        <v>-0.36376826732293921</v>
      </c>
      <c r="V21" s="43">
        <f>_xll.dnetGBlackScholesNGreeks("vega",$Q21,$P21,$G21,$I21,$C$3,$J21,$K21,$C$4)*R21</f>
        <v>5.7739383550540424</v>
      </c>
    </row>
    <row r="22" spans="1:22" s="95" customFormat="1" ht="13.5">
      <c r="A22" s="96"/>
      <c r="B22" s="51" t="s">
        <v>174</v>
      </c>
      <c r="C22" s="52" t="s">
        <v>160</v>
      </c>
      <c r="D22" s="52" t="str">
        <f>D21</f>
        <v>m1809</v>
      </c>
      <c r="E22" s="54">
        <f t="shared" ref="E22:F22" ca="1" si="11">E21</f>
        <v>43231</v>
      </c>
      <c r="F22" s="54">
        <f t="shared" ca="1" si="11"/>
        <v>43323</v>
      </c>
      <c r="G22" s="122">
        <v>3280</v>
      </c>
      <c r="H22" s="52">
        <f>H21</f>
        <v>92</v>
      </c>
      <c r="I22" s="55">
        <f>H22/365</f>
        <v>0.25205479452054796</v>
      </c>
      <c r="J22" s="55">
        <f>J21</f>
        <v>0</v>
      </c>
      <c r="K22" s="56">
        <v>0.18</v>
      </c>
      <c r="L22" s="51">
        <f>_xll.dnetGBlackScholesNGreeks("price",$Q22,$P22,$G22,$I22,$C$3,$J22,$K22,$C$4)*R22</f>
        <v>-39.557069047182495</v>
      </c>
      <c r="M22" s="57"/>
      <c r="N22" s="51"/>
      <c r="O22" s="51">
        <f t="shared" si="10"/>
        <v>39.557069047182495</v>
      </c>
      <c r="P22" s="94">
        <f>P21</f>
        <v>3074</v>
      </c>
      <c r="Q22" s="52" t="s">
        <v>39</v>
      </c>
      <c r="R22" s="52">
        <f>IF(S22="中金买入",1,-1)</f>
        <v>-1</v>
      </c>
      <c r="S22" s="56" t="s">
        <v>20</v>
      </c>
      <c r="T22" s="58"/>
      <c r="U22" s="51">
        <f>_xll.dnetGBlackScholesNGreeks("delta",$Q22,$P22,$G22,$I22,$C$3,$J22,$K22,$C$4)*R22</f>
        <v>-0.24934698142260459</v>
      </c>
      <c r="V22" s="51">
        <f>_xll.dnetGBlackScholesNGreeks("vega",$Q22,$P22,$G22,$I22,$C$3,$J22,$K22,$C$4)*R22</f>
        <v>-4.8826426470463389</v>
      </c>
    </row>
    <row r="23" spans="1:22" s="98" customFormat="1" ht="14.25" thickBot="1">
      <c r="A23" s="97"/>
      <c r="B23" s="59" t="s">
        <v>175</v>
      </c>
      <c r="C23" s="60" t="s">
        <v>160</v>
      </c>
      <c r="D23" s="60" t="str">
        <f>D22</f>
        <v>m1809</v>
      </c>
      <c r="E23" s="62">
        <f t="shared" ref="E23:F23" ca="1" si="12">E22</f>
        <v>43231</v>
      </c>
      <c r="F23" s="62">
        <f t="shared" ca="1" si="12"/>
        <v>43323</v>
      </c>
      <c r="G23" s="60" t="str">
        <f>G21 &amp; "|" &amp; G22</f>
        <v>3000|3280</v>
      </c>
      <c r="H23" s="60">
        <f>H22</f>
        <v>92</v>
      </c>
      <c r="I23" s="63">
        <f>I22</f>
        <v>0.25205479452054796</v>
      </c>
      <c r="J23" s="63"/>
      <c r="K23" s="60"/>
      <c r="L23" s="59">
        <f>L22+L21</f>
        <v>24.855787572013924</v>
      </c>
      <c r="M23" s="60">
        <v>0</v>
      </c>
      <c r="N23" s="59">
        <f>M23/10000*I23*P23</f>
        <v>0</v>
      </c>
      <c r="O23" s="59">
        <f t="shared" si="10"/>
        <v>24.855787572013924</v>
      </c>
      <c r="P23" s="111">
        <f>P22</f>
        <v>3074</v>
      </c>
      <c r="Q23" s="60"/>
      <c r="R23" s="60"/>
      <c r="S23" s="56"/>
      <c r="T23" s="64">
        <f>O23/P23</f>
        <v>8.0858124827631501E-3</v>
      </c>
      <c r="U23" s="64">
        <f>U22+U21</f>
        <v>-0.61311524874554379</v>
      </c>
      <c r="V23" s="64">
        <f>V22+V21</f>
        <v>0.89129570800770352</v>
      </c>
    </row>
    <row r="25" spans="1:22" ht="12" thickBot="1"/>
    <row r="26" spans="1:22" s="95" customFormat="1" ht="14.25" thickTop="1">
      <c r="A26" s="96"/>
      <c r="B26" s="43" t="s">
        <v>173</v>
      </c>
      <c r="C26" s="44" t="s">
        <v>160</v>
      </c>
      <c r="D26" s="44" t="s">
        <v>251</v>
      </c>
      <c r="E26" s="46">
        <f ca="1">TODAY()</f>
        <v>43231</v>
      </c>
      <c r="F26" s="46">
        <f ca="1">E26+H26</f>
        <v>43262</v>
      </c>
      <c r="G26" s="121">
        <v>2950</v>
      </c>
      <c r="H26" s="44">
        <v>31</v>
      </c>
      <c r="I26" s="47">
        <f>H26/365</f>
        <v>8.4931506849315067E-2</v>
      </c>
      <c r="J26" s="47">
        <v>0</v>
      </c>
      <c r="K26" s="48">
        <v>0.16</v>
      </c>
      <c r="L26" s="43">
        <f>_xll.dnetGBlackScholesNGreeks("price",$Q26,$P26,$G26,$I26,$C$3,$J26,$K26,$C$4)*R26</f>
        <v>14.519163932758829</v>
      </c>
      <c r="M26" s="49"/>
      <c r="N26" s="43"/>
      <c r="O26" s="43">
        <f t="shared" ref="O26:O31" si="13">IF(L26&lt;=0,ABS(L26)+N26,L26-N26)</f>
        <v>14.519163932758829</v>
      </c>
      <c r="P26" s="110">
        <f>RTD("wdf.rtq",,D26,"LastPrice")</f>
        <v>3074</v>
      </c>
      <c r="Q26" s="44" t="s">
        <v>85</v>
      </c>
      <c r="R26" s="44">
        <f>IF(S26="中金买入",1,-1)</f>
        <v>1</v>
      </c>
      <c r="S26" s="48" t="s">
        <v>151</v>
      </c>
      <c r="T26" s="50"/>
      <c r="U26" s="43">
        <f>_xll.dnetGBlackScholesNGreeks("delta",$Q26,$P26,$G26,$I26,$C$3,$J26,$K26,$C$4)*R26</f>
        <v>-0.18206822623483276</v>
      </c>
      <c r="V26" s="43">
        <f>_xll.dnetGBlackScholesNGreeks("vega",$Q26,$P26,$G26,$I26,$C$3,$J26,$K26,$C$4)*R26</f>
        <v>2.3634345491004183</v>
      </c>
    </row>
    <row r="27" spans="1:22" s="95" customFormat="1" ht="13.5">
      <c r="A27" s="96"/>
      <c r="B27" s="51" t="s">
        <v>174</v>
      </c>
      <c r="C27" s="52" t="s">
        <v>160</v>
      </c>
      <c r="D27" s="52" t="str">
        <f>D26</f>
        <v>m1809</v>
      </c>
      <c r="E27" s="54">
        <f t="shared" ref="E27:F27" ca="1" si="14">E26</f>
        <v>43231</v>
      </c>
      <c r="F27" s="54">
        <f t="shared" ca="1" si="14"/>
        <v>43262</v>
      </c>
      <c r="G27" s="122">
        <v>3350</v>
      </c>
      <c r="H27" s="52">
        <f>H26</f>
        <v>31</v>
      </c>
      <c r="I27" s="55">
        <f>H27/365</f>
        <v>8.4931506849315067E-2</v>
      </c>
      <c r="J27" s="55">
        <f>J26</f>
        <v>0</v>
      </c>
      <c r="K27" s="56">
        <v>0.18</v>
      </c>
      <c r="L27" s="51">
        <f>_xll.dnetGBlackScholesNGreeks("price",$Q27,$P27,$G27,$I27,$C$3,$J27,$K27,$C$4)*R27</f>
        <v>-3.559191643600002</v>
      </c>
      <c r="M27" s="57"/>
      <c r="N27" s="51"/>
      <c r="O27" s="51">
        <f t="shared" si="13"/>
        <v>3.559191643600002</v>
      </c>
      <c r="P27" s="94">
        <f>P26</f>
        <v>3074</v>
      </c>
      <c r="Q27" s="52" t="s">
        <v>39</v>
      </c>
      <c r="R27" s="52">
        <f>IF(S27="中金买入",1,-1)</f>
        <v>-1</v>
      </c>
      <c r="S27" s="56" t="s">
        <v>20</v>
      </c>
      <c r="T27" s="58"/>
      <c r="U27" s="51">
        <f>_xll.dnetGBlackScholesNGreeks("delta",$Q27,$P27,$G27,$I27,$C$3,$J27,$K27,$C$4)*R27</f>
        <v>-5.3300293262736886E-2</v>
      </c>
      <c r="V27" s="51">
        <f>_xll.dnetGBlackScholesNGreeks("vega",$Q27,$P27,$G27,$I27,$C$3,$J27,$K27,$C$4)*R27</f>
        <v>-0.97135425402549913</v>
      </c>
    </row>
    <row r="28" spans="1:22" s="98" customFormat="1" ht="14.25" thickBot="1">
      <c r="A28" s="97"/>
      <c r="B28" s="59" t="s">
        <v>175</v>
      </c>
      <c r="C28" s="60" t="s">
        <v>160</v>
      </c>
      <c r="D28" s="60" t="str">
        <f>D27</f>
        <v>m1809</v>
      </c>
      <c r="E28" s="62">
        <f t="shared" ref="E28:F28" ca="1" si="15">E27</f>
        <v>43231</v>
      </c>
      <c r="F28" s="62">
        <f t="shared" ca="1" si="15"/>
        <v>43262</v>
      </c>
      <c r="G28" s="60" t="str">
        <f>G26 &amp; "|" &amp; G27</f>
        <v>2950|3350</v>
      </c>
      <c r="H28" s="60">
        <f>H27</f>
        <v>31</v>
      </c>
      <c r="I28" s="63">
        <f>I27</f>
        <v>8.4931506849315067E-2</v>
      </c>
      <c r="J28" s="63"/>
      <c r="K28" s="60"/>
      <c r="L28" s="59">
        <f>L27+L26</f>
        <v>10.959972289158827</v>
      </c>
      <c r="M28" s="60">
        <v>0</v>
      </c>
      <c r="N28" s="59">
        <f>M28/10000*I28*P28</f>
        <v>0</v>
      </c>
      <c r="O28" s="59">
        <f t="shared" si="13"/>
        <v>10.959972289158827</v>
      </c>
      <c r="P28" s="111">
        <f>P27</f>
        <v>3074</v>
      </c>
      <c r="Q28" s="60"/>
      <c r="R28" s="60"/>
      <c r="S28" s="56"/>
      <c r="T28" s="64">
        <f>O28/P28</f>
        <v>3.5653781031746348E-3</v>
      </c>
      <c r="U28" s="64">
        <f>U27+U26</f>
        <v>-0.23536851949756965</v>
      </c>
      <c r="V28" s="64">
        <f>V27+V26</f>
        <v>1.3920802950749191</v>
      </c>
    </row>
    <row r="29" spans="1:22" s="95" customFormat="1" ht="14.25" thickTop="1">
      <c r="A29" s="96"/>
      <c r="B29" s="43" t="s">
        <v>173</v>
      </c>
      <c r="C29" s="44" t="s">
        <v>160</v>
      </c>
      <c r="D29" s="44" t="s">
        <v>251</v>
      </c>
      <c r="E29" s="46">
        <f ca="1">TODAY()</f>
        <v>43231</v>
      </c>
      <c r="F29" s="46">
        <f ca="1">E29+H29</f>
        <v>43323</v>
      </c>
      <c r="G29" s="121">
        <v>2950</v>
      </c>
      <c r="H29" s="44">
        <v>92</v>
      </c>
      <c r="I29" s="47">
        <f>H29/365</f>
        <v>0.25205479452054796</v>
      </c>
      <c r="J29" s="47">
        <v>0</v>
      </c>
      <c r="K29" s="48">
        <v>0.16</v>
      </c>
      <c r="L29" s="43">
        <f>_xll.dnetGBlackScholesNGreeks("price",$Q29,$P29,$G29,$I29,$C$3,$J29,$K29,$C$4)*R29</f>
        <v>46.65906268946685</v>
      </c>
      <c r="M29" s="49"/>
      <c r="N29" s="43"/>
      <c r="O29" s="43">
        <f t="shared" si="13"/>
        <v>46.65906268946685</v>
      </c>
      <c r="P29" s="110">
        <f>RTD("wdf.rtq",,D29,"LastPrice")</f>
        <v>3074</v>
      </c>
      <c r="Q29" s="44" t="s">
        <v>85</v>
      </c>
      <c r="R29" s="44">
        <f>IF(S29="中金买入",1,-1)</f>
        <v>1</v>
      </c>
      <c r="S29" s="48" t="s">
        <v>151</v>
      </c>
      <c r="T29" s="50"/>
      <c r="U29" s="43">
        <f>_xll.dnetGBlackScholesNGreeks("delta",$Q29,$P29,$G29,$I29,$C$3,$J29,$K29,$C$4)*R29</f>
        <v>-0.2887604250190634</v>
      </c>
      <c r="V29" s="43">
        <f>_xll.dnetGBlackScholesNGreeks("vega",$Q29,$P29,$G29,$I29,$C$3,$J29,$K29,$C$4)*R29</f>
        <v>5.255615360060176</v>
      </c>
    </row>
    <row r="30" spans="1:22" s="95" customFormat="1" ht="13.5">
      <c r="A30" s="96"/>
      <c r="B30" s="51" t="s">
        <v>174</v>
      </c>
      <c r="C30" s="52" t="s">
        <v>160</v>
      </c>
      <c r="D30" s="52" t="str">
        <f>D29</f>
        <v>m1809</v>
      </c>
      <c r="E30" s="54">
        <f t="shared" ref="E30:F30" ca="1" si="16">E29</f>
        <v>43231</v>
      </c>
      <c r="F30" s="54">
        <f t="shared" ca="1" si="16"/>
        <v>43323</v>
      </c>
      <c r="G30" s="122">
        <v>3350</v>
      </c>
      <c r="H30" s="52">
        <f>H29</f>
        <v>92</v>
      </c>
      <c r="I30" s="55">
        <f>H30/365</f>
        <v>0.25205479452054796</v>
      </c>
      <c r="J30" s="55">
        <f>J29</f>
        <v>0</v>
      </c>
      <c r="K30" s="56">
        <v>0.18</v>
      </c>
      <c r="L30" s="51">
        <f>_xll.dnetGBlackScholesNGreeks("price",$Q30,$P30,$G30,$I30,$C$3,$J30,$K30,$C$4)*R30</f>
        <v>-26.32968851235853</v>
      </c>
      <c r="M30" s="57"/>
      <c r="N30" s="51"/>
      <c r="O30" s="51">
        <f t="shared" si="13"/>
        <v>26.32968851235853</v>
      </c>
      <c r="P30" s="94">
        <f>P29</f>
        <v>3074</v>
      </c>
      <c r="Q30" s="52" t="s">
        <v>39</v>
      </c>
      <c r="R30" s="52">
        <f>IF(S30="中金买入",1,-1)</f>
        <v>-1</v>
      </c>
      <c r="S30" s="56" t="s">
        <v>20</v>
      </c>
      <c r="T30" s="58"/>
      <c r="U30" s="51">
        <f>_xll.dnetGBlackScholesNGreeks("delta",$Q30,$P30,$G30,$I30,$C$3,$J30,$K30,$C$4)*R30</f>
        <v>-0.18148338463674918</v>
      </c>
      <c r="V30" s="51">
        <f>_xll.dnetGBlackScholesNGreeks("vega",$Q30,$P30,$G30,$I30,$C$3,$J30,$K30,$C$4)*R30</f>
        <v>-4.058862517280204</v>
      </c>
    </row>
    <row r="31" spans="1:22" s="98" customFormat="1" ht="14.25" thickBot="1">
      <c r="A31" s="97"/>
      <c r="B31" s="59" t="s">
        <v>175</v>
      </c>
      <c r="C31" s="60" t="s">
        <v>160</v>
      </c>
      <c r="D31" s="60" t="str">
        <f>D30</f>
        <v>m1809</v>
      </c>
      <c r="E31" s="62">
        <f t="shared" ref="E31:F31" ca="1" si="17">E30</f>
        <v>43231</v>
      </c>
      <c r="F31" s="62">
        <f t="shared" ca="1" si="17"/>
        <v>43323</v>
      </c>
      <c r="G31" s="60" t="str">
        <f>G29 &amp; "|" &amp; G30</f>
        <v>2950|3350</v>
      </c>
      <c r="H31" s="60">
        <f>H30</f>
        <v>92</v>
      </c>
      <c r="I31" s="63">
        <f>I30</f>
        <v>0.25205479452054796</v>
      </c>
      <c r="J31" s="63"/>
      <c r="K31" s="60"/>
      <c r="L31" s="59">
        <f>L30+L29</f>
        <v>20.329374177108321</v>
      </c>
      <c r="M31" s="60">
        <v>0</v>
      </c>
      <c r="N31" s="59">
        <f>M31/10000*I31*P31</f>
        <v>0</v>
      </c>
      <c r="O31" s="59">
        <f t="shared" si="13"/>
        <v>20.329374177108321</v>
      </c>
      <c r="P31" s="111">
        <f>P30</f>
        <v>3074</v>
      </c>
      <c r="Q31" s="60"/>
      <c r="R31" s="60"/>
      <c r="S31" s="56"/>
      <c r="T31" s="64">
        <f>O31/P31</f>
        <v>6.6133292703670528E-3</v>
      </c>
      <c r="U31" s="64">
        <f>U30+U29</f>
        <v>-0.47024380965581258</v>
      </c>
      <c r="V31" s="64">
        <f>V30+V29</f>
        <v>1.1967528427799721</v>
      </c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C8:C16 C18:C23 C26:C31</xm:sqref>
        </x14:dataValidation>
        <x14:dataValidation type="list" allowBlank="1" showInputMessage="1" showErrorMessage="1">
          <x14:formula1>
            <xm:f>configs!$C$1:$C$2</xm:f>
          </x14:formula1>
          <xm:sqref>Q8:Q16 Q18:Q23 Q26:Q31</xm:sqref>
        </x14:dataValidation>
        <x14:dataValidation type="list" allowBlank="1" showInputMessage="1" showErrorMessage="1">
          <x14:formula1>
            <xm:f>configs!$B$1:$B$2</xm:f>
          </x14:formula1>
          <xm:sqref>S8:S16 S18:S23 S26:S31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5"/>
  <sheetViews>
    <sheetView workbookViewId="0">
      <selection activeCell="J25" sqref="J25"/>
    </sheetView>
  </sheetViews>
  <sheetFormatPr defaultColWidth="9" defaultRowHeight="11.2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>
      <c r="B1" s="123" t="s">
        <v>158</v>
      </c>
      <c r="C1" s="123"/>
      <c r="D1" s="123"/>
    </row>
    <row r="2" spans="1:21" ht="12" thickTop="1"/>
    <row r="3" spans="1:21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ht="12" thickBot="1">
      <c r="B9" s="17" t="s">
        <v>30</v>
      </c>
      <c r="C9" s="17"/>
      <c r="D9" s="17" t="s">
        <v>32</v>
      </c>
      <c r="E9" s="17" t="s">
        <v>23</v>
      </c>
      <c r="F9" s="17" t="s">
        <v>8</v>
      </c>
      <c r="G9" s="17" t="s">
        <v>7</v>
      </c>
      <c r="H9" s="17" t="s">
        <v>44</v>
      </c>
      <c r="I9" s="17" t="s">
        <v>45</v>
      </c>
      <c r="J9" s="17" t="s">
        <v>46</v>
      </c>
      <c r="K9" s="17" t="s">
        <v>9</v>
      </c>
      <c r="L9" s="17" t="s">
        <v>10</v>
      </c>
      <c r="M9" s="17" t="s">
        <v>11</v>
      </c>
      <c r="N9" s="17" t="s">
        <v>12</v>
      </c>
      <c r="O9" s="17" t="s">
        <v>47</v>
      </c>
      <c r="P9" s="17" t="s">
        <v>13</v>
      </c>
      <c r="Q9" s="17" t="s">
        <v>14</v>
      </c>
      <c r="R9" s="17" t="s">
        <v>26</v>
      </c>
      <c r="S9" s="17" t="s">
        <v>28</v>
      </c>
      <c r="T9" s="17" t="s">
        <v>15</v>
      </c>
      <c r="U9" s="10"/>
    </row>
    <row r="10" spans="1:21" ht="12" thickTop="1">
      <c r="A10" s="6" t="str">
        <f>pricer_sf!C11</f>
        <v>Example</v>
      </c>
      <c r="B10" s="10" t="str">
        <f>pricer_sf!D11</f>
        <v>中金卖出</v>
      </c>
      <c r="C10" s="10">
        <f>pricer_sf!E11</f>
        <v>-1</v>
      </c>
      <c r="D10" s="10" t="s">
        <v>215</v>
      </c>
      <c r="E10" s="10" t="str">
        <f>pricer_sf!G11</f>
        <v>cuo</v>
      </c>
      <c r="F10" s="10">
        <f>pricer_sf!H11</f>
        <v>100</v>
      </c>
      <c r="G10" s="10">
        <f>pricer_sf!I11</f>
        <v>100</v>
      </c>
      <c r="H10" s="10">
        <f>pricer_sf!J11</f>
        <v>118</v>
      </c>
      <c r="I10" s="10">
        <f>pricer_sf!K11</f>
        <v>118.97557113438837</v>
      </c>
      <c r="J10" s="10">
        <f>pricer_sf!L11</f>
        <v>0</v>
      </c>
      <c r="K10" s="38">
        <f ca="1">pricer_sf!M11</f>
        <v>43231</v>
      </c>
      <c r="L10" s="38">
        <f ca="1">pricer_sf!N11</f>
        <v>43322</v>
      </c>
      <c r="M10" s="10">
        <f>pricer_sf!O11</f>
        <v>91</v>
      </c>
      <c r="N10" s="10">
        <f>pricer_sf!P11</f>
        <v>0.24931506849315069</v>
      </c>
      <c r="O10" s="10">
        <f>pricer_sf!Q11</f>
        <v>0</v>
      </c>
      <c r="P10" s="10">
        <f>pricer_sf!R11</f>
        <v>0.27</v>
      </c>
      <c r="Q10" s="10">
        <f>pricer_sf!S11</f>
        <v>-1.9129556509179371</v>
      </c>
      <c r="R10" s="10">
        <f>pricer_sf!T11</f>
        <v>200.54945054945054</v>
      </c>
      <c r="S10" s="10">
        <f>pricer_sf!U11</f>
        <v>0.49999999999999994</v>
      </c>
      <c r="T10" s="13">
        <f>pricer_sf!V11</f>
        <v>2.4129556509179371</v>
      </c>
      <c r="U10" s="10"/>
    </row>
    <row r="11" spans="1:21">
      <c r="A11" s="6" t="str">
        <f>pricer_sf!C12</f>
        <v>Example</v>
      </c>
      <c r="B11" s="10" t="str">
        <f>pricer_sf!D12</f>
        <v>中金卖出</v>
      </c>
      <c r="C11" s="10">
        <f>pricer_sf!E12</f>
        <v>-1</v>
      </c>
      <c r="D11" s="10" t="s">
        <v>216</v>
      </c>
      <c r="E11" s="10" t="str">
        <f>pricer_sf!G12</f>
        <v>cuo</v>
      </c>
      <c r="F11" s="10">
        <f>pricer_sf!H12</f>
        <v>100</v>
      </c>
      <c r="G11" s="10">
        <f>pricer_sf!I12</f>
        <v>100</v>
      </c>
      <c r="H11" s="10">
        <f>pricer_sf!J12</f>
        <v>118</v>
      </c>
      <c r="I11" s="10">
        <f>pricer_sf!K12</f>
        <v>118.83053474115295</v>
      </c>
      <c r="J11" s="10">
        <f>pricer_sf!L12</f>
        <v>0</v>
      </c>
      <c r="K11" s="38">
        <f ca="1">pricer_sf!M12</f>
        <v>43231</v>
      </c>
      <c r="L11" s="38">
        <f ca="1">pricer_sf!N12</f>
        <v>43322</v>
      </c>
      <c r="M11" s="10">
        <f>pricer_sf!O12</f>
        <v>91</v>
      </c>
      <c r="N11" s="10">
        <f>pricer_sf!P12</f>
        <v>0.24931506849315069</v>
      </c>
      <c r="O11" s="10">
        <f>pricer_sf!Q12</f>
        <v>0</v>
      </c>
      <c r="P11" s="10">
        <f>pricer_sf!R12</f>
        <v>0.23</v>
      </c>
      <c r="Q11" s="10">
        <f>pricer_sf!S12</f>
        <v>-2.268083861152451</v>
      </c>
      <c r="R11" s="10">
        <f>pricer_sf!T12</f>
        <v>200.54945054945054</v>
      </c>
      <c r="S11" s="10">
        <f>pricer_sf!U12</f>
        <v>0.49999999999999994</v>
      </c>
      <c r="T11" s="13">
        <f>pricer_sf!V12</f>
        <v>2.768083861152451</v>
      </c>
      <c r="U11" s="10"/>
    </row>
    <row r="12" spans="1:21">
      <c r="A12" s="6" t="str">
        <f>pricer_sf!C13</f>
        <v>Example</v>
      </c>
      <c r="B12" s="10" t="str">
        <f>pricer_sf!D13</f>
        <v>中金卖出</v>
      </c>
      <c r="C12" s="10">
        <f>pricer_sf!E13</f>
        <v>-1</v>
      </c>
      <c r="D12" s="10" t="s">
        <v>217</v>
      </c>
      <c r="E12" s="10" t="str">
        <f>pricer_sf!G13</f>
        <v>cuo</v>
      </c>
      <c r="F12" s="10">
        <f>pricer_sf!H13</f>
        <v>100</v>
      </c>
      <c r="G12" s="10">
        <f>pricer_sf!I13</f>
        <v>100</v>
      </c>
      <c r="H12" s="10">
        <f>pricer_sf!J13</f>
        <v>118</v>
      </c>
      <c r="I12" s="10">
        <f>pricer_sf!K13</f>
        <v>118.75808286013783</v>
      </c>
      <c r="J12" s="10">
        <f>pricer_sf!L13</f>
        <v>0</v>
      </c>
      <c r="K12" s="38">
        <f ca="1">pricer_sf!M13</f>
        <v>43231</v>
      </c>
      <c r="L12" s="38">
        <f ca="1">pricer_sf!N13</f>
        <v>43322</v>
      </c>
      <c r="M12" s="10">
        <f>pricer_sf!O13</f>
        <v>91</v>
      </c>
      <c r="N12" s="10">
        <f>pricer_sf!P13</f>
        <v>0.24931506849315069</v>
      </c>
      <c r="O12" s="10">
        <f>pricer_sf!Q13</f>
        <v>0</v>
      </c>
      <c r="P12" s="10">
        <f>pricer_sf!R13</f>
        <v>0.21</v>
      </c>
      <c r="Q12" s="10">
        <f>pricer_sf!S13</f>
        <v>-2.429130538035877</v>
      </c>
      <c r="R12" s="10">
        <f>pricer_sf!T13</f>
        <v>200.54945054945054</v>
      </c>
      <c r="S12" s="10">
        <f>pricer_sf!U13</f>
        <v>0.49999999999999994</v>
      </c>
      <c r="T12" s="13">
        <f>pricer_sf!V13</f>
        <v>2.929130538035877</v>
      </c>
      <c r="U12" s="10"/>
    </row>
    <row r="13" spans="1:21">
      <c r="A13" s="6" t="str">
        <f>pricer_sf!C14</f>
        <v>Example</v>
      </c>
      <c r="B13" s="10" t="str">
        <f>pricer_sf!D14</f>
        <v>中金卖出</v>
      </c>
      <c r="C13" s="10">
        <f>pricer_sf!E14</f>
        <v>-1</v>
      </c>
      <c r="D13" s="10" t="s">
        <v>215</v>
      </c>
      <c r="E13" s="10" t="str">
        <f>pricer_sf!G14</f>
        <v>cuo</v>
      </c>
      <c r="F13" s="10">
        <f>pricer_sf!H14</f>
        <v>100</v>
      </c>
      <c r="G13" s="10">
        <f>pricer_sf!I14</f>
        <v>100</v>
      </c>
      <c r="H13" s="10">
        <f>pricer_sf!J14</f>
        <v>118</v>
      </c>
      <c r="I13" s="10">
        <f>pricer_sf!K14</f>
        <v>118.97557113438837</v>
      </c>
      <c r="J13" s="10">
        <f>pricer_sf!L14</f>
        <v>0</v>
      </c>
      <c r="K13" s="38">
        <f ca="1">pricer_sf!M14</f>
        <v>43231</v>
      </c>
      <c r="L13" s="38">
        <f ca="1">pricer_sf!N14</f>
        <v>43414</v>
      </c>
      <c r="M13" s="10">
        <f>pricer_sf!O14</f>
        <v>183</v>
      </c>
      <c r="N13" s="10">
        <f>pricer_sf!P14</f>
        <v>0.50136986301369868</v>
      </c>
      <c r="O13" s="10">
        <f>pricer_sf!Q14</f>
        <v>0</v>
      </c>
      <c r="P13" s="10">
        <f>pricer_sf!R14</f>
        <v>0.27</v>
      </c>
      <c r="Q13" s="10">
        <f>pricer_sf!S14</f>
        <v>-1.0363206281910617</v>
      </c>
      <c r="R13" s="10">
        <f>pricer_sf!T14</f>
        <v>99.726775956284158</v>
      </c>
      <c r="S13" s="10">
        <f>pricer_sf!U14</f>
        <v>0.50000000000000011</v>
      </c>
      <c r="T13" s="13">
        <f>pricer_sf!V14</f>
        <v>1.5363206281910617</v>
      </c>
      <c r="U13" s="10"/>
    </row>
    <row r="14" spans="1:21">
      <c r="A14" s="6" t="str">
        <f>pricer_sf!C15</f>
        <v>Example</v>
      </c>
      <c r="B14" s="10" t="str">
        <f>pricer_sf!D15</f>
        <v>中金卖出</v>
      </c>
      <c r="C14" s="10">
        <f>pricer_sf!E15</f>
        <v>-1</v>
      </c>
      <c r="D14" s="10" t="s">
        <v>216</v>
      </c>
      <c r="E14" s="10" t="str">
        <f>pricer_sf!G15</f>
        <v>cuo</v>
      </c>
      <c r="F14" s="10">
        <f>pricer_sf!H15</f>
        <v>100</v>
      </c>
      <c r="G14" s="10">
        <f>pricer_sf!I15</f>
        <v>100</v>
      </c>
      <c r="H14" s="10">
        <f>pricer_sf!J15</f>
        <v>118</v>
      </c>
      <c r="I14" s="10">
        <f>pricer_sf!K15</f>
        <v>118.83053474115295</v>
      </c>
      <c r="J14" s="10">
        <f>pricer_sf!L15</f>
        <v>0</v>
      </c>
      <c r="K14" s="38">
        <f ca="1">pricer_sf!M15</f>
        <v>43231</v>
      </c>
      <c r="L14" s="38">
        <f ca="1">pricer_sf!N15</f>
        <v>43414</v>
      </c>
      <c r="M14" s="10">
        <f>pricer_sf!O15</f>
        <v>183</v>
      </c>
      <c r="N14" s="10">
        <f>pricer_sf!P15</f>
        <v>0.50136986301369868</v>
      </c>
      <c r="O14" s="10">
        <f>pricer_sf!Q15</f>
        <v>0</v>
      </c>
      <c r="P14" s="10">
        <f>pricer_sf!R15</f>
        <v>0.23</v>
      </c>
      <c r="Q14" s="10">
        <f>pricer_sf!S15</f>
        <v>-1.3855950829873169</v>
      </c>
      <c r="R14" s="10">
        <f>pricer_sf!T15</f>
        <v>99.726775956284158</v>
      </c>
      <c r="S14" s="10">
        <f>pricer_sf!U15</f>
        <v>0.50000000000000011</v>
      </c>
      <c r="T14" s="13">
        <f>pricer_sf!V15</f>
        <v>1.8855950829873169</v>
      </c>
      <c r="U14" s="10"/>
    </row>
    <row r="15" spans="1:21">
      <c r="A15" s="6" t="str">
        <f>pricer_sf!C16</f>
        <v>Example</v>
      </c>
      <c r="B15" s="10" t="str">
        <f>pricer_sf!D16</f>
        <v>中金卖出</v>
      </c>
      <c r="C15" s="10">
        <f>pricer_sf!E16</f>
        <v>-1</v>
      </c>
      <c r="D15" s="10" t="s">
        <v>217</v>
      </c>
      <c r="E15" s="10" t="str">
        <f>pricer_sf!G16</f>
        <v>cuo</v>
      </c>
      <c r="F15" s="10">
        <f>pricer_sf!H16</f>
        <v>100</v>
      </c>
      <c r="G15" s="10">
        <f>pricer_sf!I16</f>
        <v>100</v>
      </c>
      <c r="H15" s="10">
        <f>pricer_sf!J16</f>
        <v>118</v>
      </c>
      <c r="I15" s="10">
        <f>pricer_sf!K16</f>
        <v>118.75808286013783</v>
      </c>
      <c r="J15" s="10">
        <f>pricer_sf!L16</f>
        <v>0</v>
      </c>
      <c r="K15" s="38">
        <f ca="1">pricer_sf!M16</f>
        <v>43231</v>
      </c>
      <c r="L15" s="38">
        <f ca="1">pricer_sf!N16</f>
        <v>43414</v>
      </c>
      <c r="M15" s="10">
        <f>pricer_sf!O16</f>
        <v>183</v>
      </c>
      <c r="N15" s="10">
        <f>pricer_sf!P16</f>
        <v>0.50136986301369868</v>
      </c>
      <c r="O15" s="10">
        <f>pricer_sf!Q16</f>
        <v>0</v>
      </c>
      <c r="P15" s="10">
        <f>pricer_sf!R16</f>
        <v>0.21</v>
      </c>
      <c r="Q15" s="10">
        <f>pricer_sf!S16</f>
        <v>-1.6027351301156738</v>
      </c>
      <c r="R15" s="10">
        <f>pricer_sf!T16</f>
        <v>99.726775956284158</v>
      </c>
      <c r="S15" s="10">
        <f>pricer_sf!U16</f>
        <v>0.50000000000000011</v>
      </c>
      <c r="T15" s="13">
        <f>pricer_sf!V16</f>
        <v>2.1027351301156738</v>
      </c>
      <c r="U15" s="10"/>
    </row>
  </sheetData>
  <mergeCells count="1">
    <mergeCell ref="B1:D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10" workbookViewId="0">
      <selection activeCell="C38" sqref="C38"/>
    </sheetView>
  </sheetViews>
  <sheetFormatPr defaultRowHeight="13.5"/>
  <cols>
    <col min="1" max="1" width="10.875" bestFit="1" customWidth="1"/>
  </cols>
  <sheetData>
    <row r="1" spans="1:6" ht="15.75" thickBot="1">
      <c r="A1" s="65">
        <v>43087</v>
      </c>
      <c r="B1" s="66"/>
      <c r="C1" s="67" t="s">
        <v>49</v>
      </c>
      <c r="D1" s="66"/>
      <c r="E1" s="67" t="s">
        <v>50</v>
      </c>
      <c r="F1" s="68"/>
    </row>
    <row r="2" spans="1:6" ht="15.75" thickBot="1">
      <c r="A2" s="69" t="s">
        <v>51</v>
      </c>
      <c r="B2" s="70" t="s">
        <v>52</v>
      </c>
      <c r="C2" s="71" t="s">
        <v>53</v>
      </c>
      <c r="D2" s="71" t="s">
        <v>54</v>
      </c>
      <c r="E2" s="71" t="s">
        <v>55</v>
      </c>
      <c r="F2" s="72" t="s">
        <v>56</v>
      </c>
    </row>
    <row r="3" spans="1:6" ht="15.75" thickBot="1">
      <c r="A3" s="73" t="s">
        <v>57</v>
      </c>
      <c r="B3" s="74" t="s">
        <v>58</v>
      </c>
      <c r="C3" s="75">
        <v>0.20499999999999999</v>
      </c>
      <c r="D3" s="75">
        <v>0.25</v>
      </c>
      <c r="E3" s="75">
        <v>0.21</v>
      </c>
      <c r="F3" s="77">
        <v>0.25</v>
      </c>
    </row>
    <row r="4" spans="1:6" ht="15.75" thickBot="1">
      <c r="A4" s="69" t="s">
        <v>59</v>
      </c>
      <c r="B4" s="70" t="s">
        <v>60</v>
      </c>
      <c r="C4" s="78">
        <v>0.13750000000000001</v>
      </c>
      <c r="D4" s="78">
        <v>0.1825</v>
      </c>
      <c r="E4" s="78">
        <v>0.14499999999999999</v>
      </c>
      <c r="F4" s="79">
        <v>0.185</v>
      </c>
    </row>
    <row r="5" spans="1:6" ht="15.75" thickBot="1">
      <c r="A5" s="73" t="s">
        <v>61</v>
      </c>
      <c r="B5" s="74" t="s">
        <v>62</v>
      </c>
      <c r="C5" s="76"/>
      <c r="D5" s="76"/>
      <c r="E5" s="76"/>
      <c r="F5" s="80"/>
    </row>
    <row r="6" spans="1:6" ht="15.75" thickBot="1">
      <c r="A6" s="69" t="s">
        <v>63</v>
      </c>
      <c r="B6" s="70" t="s">
        <v>64</v>
      </c>
      <c r="C6" s="81">
        <v>0.29499999999999998</v>
      </c>
      <c r="D6" s="81">
        <v>0.35499999999999998</v>
      </c>
      <c r="E6" s="81">
        <v>0.26500000000000001</v>
      </c>
      <c r="F6" s="82">
        <v>0.315</v>
      </c>
    </row>
    <row r="7" spans="1:6" ht="15.75" thickBot="1">
      <c r="A7" s="73" t="s">
        <v>65</v>
      </c>
      <c r="B7" s="74" t="s">
        <v>66</v>
      </c>
      <c r="C7" s="75">
        <v>0.15</v>
      </c>
      <c r="D7" s="75">
        <v>0.19</v>
      </c>
      <c r="E7" s="75">
        <v>0.155</v>
      </c>
      <c r="F7" s="77">
        <v>0.19</v>
      </c>
    </row>
    <row r="8" spans="1:6" ht="15.75" thickBot="1">
      <c r="A8" s="69" t="s">
        <v>67</v>
      </c>
      <c r="B8" s="70" t="s">
        <v>68</v>
      </c>
      <c r="C8" s="81">
        <v>0.32</v>
      </c>
      <c r="D8" s="81">
        <v>0.44</v>
      </c>
      <c r="E8" s="81">
        <v>0.32</v>
      </c>
      <c r="F8" s="82">
        <v>0.42</v>
      </c>
    </row>
    <row r="9" spans="1:6" ht="15.75" thickBot="1">
      <c r="A9" s="73" t="s">
        <v>69</v>
      </c>
      <c r="B9" s="74" t="s">
        <v>70</v>
      </c>
      <c r="C9" s="75">
        <v>0.32</v>
      </c>
      <c r="D9" s="75">
        <v>0.44</v>
      </c>
      <c r="E9" s="75">
        <v>0.32</v>
      </c>
      <c r="F9" s="77">
        <v>0.42</v>
      </c>
    </row>
    <row r="10" spans="1:6" ht="15.75" thickBot="1">
      <c r="A10" s="69" t="s">
        <v>71</v>
      </c>
      <c r="B10" s="70" t="s">
        <v>72</v>
      </c>
      <c r="C10" s="81">
        <v>0.24</v>
      </c>
      <c r="D10" s="81">
        <v>0.32</v>
      </c>
      <c r="E10" s="81">
        <v>0.27</v>
      </c>
      <c r="F10" s="82">
        <v>0.34</v>
      </c>
    </row>
    <row r="11" spans="1:6" ht="15.75" thickBot="1">
      <c r="A11" s="73" t="s">
        <v>73</v>
      </c>
      <c r="B11" s="74" t="s">
        <v>74</v>
      </c>
      <c r="C11" s="75">
        <v>0.32250000000000001</v>
      </c>
      <c r="D11" s="75">
        <v>0.39750000000000002</v>
      </c>
      <c r="E11" s="75">
        <v>0.32500000000000001</v>
      </c>
      <c r="F11" s="77">
        <v>0.39500000000000002</v>
      </c>
    </row>
    <row r="12" spans="1:6" ht="15.75" thickBot="1">
      <c r="A12" s="69" t="s">
        <v>75</v>
      </c>
      <c r="B12" s="70" t="s">
        <v>76</v>
      </c>
      <c r="C12" s="81">
        <v>0.215</v>
      </c>
      <c r="D12" s="81">
        <v>0.28499999999999998</v>
      </c>
      <c r="E12" s="81">
        <v>0.23499999999999999</v>
      </c>
      <c r="F12" s="82">
        <v>0.30499999999999999</v>
      </c>
    </row>
    <row r="13" spans="1:6" ht="15.75" thickBot="1">
      <c r="A13" s="73" t="s">
        <v>77</v>
      </c>
      <c r="B13" s="74" t="s">
        <v>78</v>
      </c>
      <c r="C13" s="75">
        <v>9.2499999999999999E-2</v>
      </c>
      <c r="D13" s="75">
        <v>0.1225</v>
      </c>
      <c r="E13" s="75">
        <v>0.1</v>
      </c>
      <c r="F13" s="77">
        <v>0.13</v>
      </c>
    </row>
    <row r="14" spans="1:6" ht="15.75" thickBot="1">
      <c r="A14" s="69" t="s">
        <v>79</v>
      </c>
      <c r="B14" s="70" t="s">
        <v>80</v>
      </c>
      <c r="C14" s="78">
        <v>0.11</v>
      </c>
      <c r="D14" s="78">
        <v>0.17</v>
      </c>
      <c r="E14" s="78">
        <v>0.14499999999999999</v>
      </c>
      <c r="F14" s="79">
        <v>0.19500000000000001</v>
      </c>
    </row>
    <row r="15" spans="1:6" ht="15.75" thickBot="1">
      <c r="A15" s="73" t="s">
        <v>81</v>
      </c>
      <c r="B15" s="74" t="s">
        <v>82</v>
      </c>
      <c r="C15" s="76"/>
      <c r="D15" s="76"/>
      <c r="E15" s="76"/>
      <c r="F15" s="80"/>
    </row>
    <row r="16" spans="1:6" ht="15.75" thickBot="1">
      <c r="A16" s="69" t="s">
        <v>83</v>
      </c>
      <c r="B16" s="70" t="s">
        <v>84</v>
      </c>
      <c r="C16" s="81">
        <v>0.13</v>
      </c>
      <c r="D16" s="81">
        <v>0.19</v>
      </c>
      <c r="E16" s="81">
        <v>0.185</v>
      </c>
      <c r="F16" s="82">
        <v>0.23499999999999999</v>
      </c>
    </row>
    <row r="17" spans="1:6" ht="15.75" thickBot="1">
      <c r="A17" s="73" t="s">
        <v>85</v>
      </c>
      <c r="B17" s="74" t="s">
        <v>86</v>
      </c>
      <c r="C17" s="83">
        <v>0.14749999999999999</v>
      </c>
      <c r="D17" s="83">
        <v>0.19750000000000001</v>
      </c>
      <c r="E17" s="83">
        <v>0.16</v>
      </c>
      <c r="F17" s="84">
        <v>0.21</v>
      </c>
    </row>
    <row r="18" spans="1:6" ht="15.75" thickBot="1">
      <c r="A18" s="69" t="s">
        <v>87</v>
      </c>
      <c r="B18" s="70" t="s">
        <v>88</v>
      </c>
      <c r="C18" s="85"/>
      <c r="D18" s="85"/>
      <c r="E18" s="85"/>
      <c r="F18" s="86"/>
    </row>
    <row r="19" spans="1:6" ht="15.75" thickBot="1">
      <c r="A19" s="73" t="s">
        <v>89</v>
      </c>
      <c r="B19" s="74" t="s">
        <v>90</v>
      </c>
      <c r="C19" s="76"/>
      <c r="D19" s="76"/>
      <c r="E19" s="76"/>
      <c r="F19" s="80"/>
    </row>
    <row r="20" spans="1:6" ht="15.75" thickBot="1">
      <c r="A20" s="69" t="s">
        <v>91</v>
      </c>
      <c r="B20" s="70" t="s">
        <v>92</v>
      </c>
      <c r="C20" s="78">
        <v>0.09</v>
      </c>
      <c r="D20" s="78">
        <v>0.17</v>
      </c>
      <c r="E20" s="78">
        <v>0.11</v>
      </c>
      <c r="F20" s="79">
        <v>0.19</v>
      </c>
    </row>
    <row r="21" spans="1:6" ht="15.75" thickBot="1">
      <c r="A21" s="73" t="s">
        <v>93</v>
      </c>
      <c r="B21" s="74" t="s">
        <v>94</v>
      </c>
      <c r="C21" s="76"/>
      <c r="D21" s="76"/>
      <c r="E21" s="76"/>
      <c r="F21" s="80"/>
    </row>
    <row r="22" spans="1:6" ht="15.75" thickBot="1">
      <c r="A22" s="69" t="s">
        <v>95</v>
      </c>
      <c r="B22" s="70" t="s">
        <v>96</v>
      </c>
      <c r="C22" s="81">
        <v>0.12</v>
      </c>
      <c r="D22" s="81">
        <v>0.16</v>
      </c>
      <c r="E22" s="81">
        <v>0.13500000000000001</v>
      </c>
      <c r="F22" s="82">
        <v>0.17</v>
      </c>
    </row>
    <row r="23" spans="1:6" ht="15.75" thickBot="1">
      <c r="A23" s="73" t="s">
        <v>97</v>
      </c>
      <c r="B23" s="74" t="s">
        <v>98</v>
      </c>
      <c r="C23" s="75">
        <v>0.12</v>
      </c>
      <c r="D23" s="75">
        <v>0.16</v>
      </c>
      <c r="E23" s="75">
        <v>0.13500000000000001</v>
      </c>
      <c r="F23" s="77">
        <v>0.17499999999999999</v>
      </c>
    </row>
    <row r="24" spans="1:6" ht="15.75" thickBot="1">
      <c r="A24" s="69" t="s">
        <v>39</v>
      </c>
      <c r="B24" s="70" t="s">
        <v>99</v>
      </c>
      <c r="C24" s="81">
        <v>7.7499999999999999E-2</v>
      </c>
      <c r="D24" s="81">
        <v>0.1225</v>
      </c>
      <c r="E24" s="81">
        <v>8.5000000000000006E-2</v>
      </c>
      <c r="F24" s="82">
        <v>0.125</v>
      </c>
    </row>
    <row r="25" spans="1:6" ht="15.75" thickBot="1">
      <c r="A25" s="73" t="s">
        <v>100</v>
      </c>
      <c r="B25" s="74" t="s">
        <v>101</v>
      </c>
      <c r="C25" s="75">
        <v>0.1</v>
      </c>
      <c r="D25" s="75">
        <v>0.15</v>
      </c>
      <c r="E25" s="75">
        <v>0.105</v>
      </c>
      <c r="F25" s="77">
        <v>0.155</v>
      </c>
    </row>
    <row r="26" spans="1:6" ht="15.75" thickBot="1">
      <c r="A26" s="69" t="s">
        <v>102</v>
      </c>
      <c r="B26" s="70" t="s">
        <v>103</v>
      </c>
      <c r="C26" s="78">
        <v>0.2</v>
      </c>
      <c r="D26" s="78">
        <v>0.28000000000000003</v>
      </c>
      <c r="E26" s="78">
        <v>0.2</v>
      </c>
      <c r="F26" s="79">
        <v>0.27</v>
      </c>
    </row>
    <row r="27" spans="1:6" ht="15.75" thickBot="1">
      <c r="A27" s="73" t="s">
        <v>104</v>
      </c>
      <c r="B27" s="74" t="s">
        <v>105</v>
      </c>
      <c r="C27" s="87"/>
      <c r="D27" s="87"/>
      <c r="E27" s="87"/>
      <c r="F27" s="88"/>
    </row>
    <row r="28" spans="1:6" ht="15.75" thickBot="1">
      <c r="A28" s="69" t="s">
        <v>106</v>
      </c>
      <c r="B28" s="70" t="s">
        <v>107</v>
      </c>
      <c r="C28" s="89"/>
      <c r="D28" s="89"/>
      <c r="E28" s="89"/>
      <c r="F28" s="90"/>
    </row>
    <row r="29" spans="1:6" ht="15.75" thickBot="1">
      <c r="A29" s="73" t="s">
        <v>108</v>
      </c>
      <c r="B29" s="74" t="s">
        <v>109</v>
      </c>
      <c r="C29" s="75">
        <v>0.23250000000000001</v>
      </c>
      <c r="D29" s="75">
        <v>0.28749999999999998</v>
      </c>
      <c r="E29" s="75">
        <v>0.22</v>
      </c>
      <c r="F29" s="77">
        <v>0.27</v>
      </c>
    </row>
    <row r="30" spans="1:6" ht="15.75" thickBot="1">
      <c r="A30" s="69" t="s">
        <v>110</v>
      </c>
      <c r="B30" s="70" t="s">
        <v>111</v>
      </c>
      <c r="C30" s="78">
        <v>0.19</v>
      </c>
      <c r="D30" s="78">
        <v>0.23</v>
      </c>
      <c r="E30" s="78">
        <v>0.2</v>
      </c>
      <c r="F30" s="79">
        <v>0.24</v>
      </c>
    </row>
    <row r="31" spans="1:6" ht="15.75" thickBot="1">
      <c r="A31" s="73" t="s">
        <v>112</v>
      </c>
      <c r="B31" s="74" t="s">
        <v>113</v>
      </c>
      <c r="C31" s="76"/>
      <c r="D31" s="76"/>
      <c r="E31" s="76"/>
      <c r="F31" s="80"/>
    </row>
    <row r="32" spans="1:6" ht="15.75" thickBot="1">
      <c r="A32" s="69" t="s">
        <v>114</v>
      </c>
      <c r="B32" s="70" t="s">
        <v>115</v>
      </c>
      <c r="C32" s="81">
        <v>0.3</v>
      </c>
      <c r="D32" s="81">
        <v>0.4</v>
      </c>
      <c r="E32" s="81">
        <v>0.30499999999999999</v>
      </c>
      <c r="F32" s="82">
        <v>0.39500000000000002</v>
      </c>
    </row>
    <row r="33" spans="1:6" ht="15.75" thickBot="1">
      <c r="A33" s="73" t="s">
        <v>116</v>
      </c>
      <c r="B33" s="74" t="s">
        <v>117</v>
      </c>
      <c r="C33" s="75">
        <v>0.1225</v>
      </c>
      <c r="D33" s="75">
        <v>0.16250000000000001</v>
      </c>
      <c r="E33" s="75">
        <v>0.13</v>
      </c>
      <c r="F33" s="77">
        <v>0.17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workbookViewId="0">
      <selection activeCell="V16" sqref="C11:V16"/>
    </sheetView>
  </sheetViews>
  <sheetFormatPr defaultColWidth="9"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>
      <c r="B1" s="146" t="s">
        <v>38</v>
      </c>
      <c r="C1" s="146"/>
    </row>
    <row r="2" spans="1:25" ht="12" thickTop="1">
      <c r="B2" s="3" t="s">
        <v>0</v>
      </c>
      <c r="C2" s="4">
        <v>43061</v>
      </c>
    </row>
    <row r="3" spans="1:25">
      <c r="B3" s="3" t="s">
        <v>1</v>
      </c>
      <c r="C3" s="3">
        <v>0.02</v>
      </c>
    </row>
    <row r="4" spans="1:25" ht="12" thickBot="1">
      <c r="B4" s="5" t="s">
        <v>18</v>
      </c>
      <c r="C4" s="5">
        <v>0.01</v>
      </c>
    </row>
    <row r="5" spans="1:25" ht="12" thickTop="1"/>
    <row r="6" spans="1:25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3900</v>
      </c>
      <c r="I8" s="19">
        <v>3800</v>
      </c>
      <c r="J8" s="19">
        <v>3890</v>
      </c>
      <c r="K8" s="19">
        <f>_xll.dnetDiscreteAdjustedBarrier($H8,$J8,$R8,1/365)</f>
        <v>3854.5749992553683</v>
      </c>
      <c r="L8" s="36">
        <v>0.02</v>
      </c>
      <c r="M8" s="21">
        <f ca="1">TODAY()</f>
        <v>43231</v>
      </c>
      <c r="N8" s="21">
        <f ca="1">M8+O8</f>
        <v>43261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-78</v>
      </c>
      <c r="T8" s="25">
        <v>80</v>
      </c>
      <c r="U8" s="24">
        <f>T8/10000*P8*H8</f>
        <v>2.5643835616438357</v>
      </c>
      <c r="V8" s="24">
        <f>IF(S8&lt;=0,ABS(S8)+U8,S8-U8)</f>
        <v>80.564383561643837</v>
      </c>
      <c r="W8" s="26">
        <f>V8/H8</f>
        <v>2.0657534246575342E-2</v>
      </c>
      <c r="X8" s="24">
        <f>_xll.dnetStandardBarrierNGreeks("delta",G8,H8,I8,K8,L8*H8,P8,$C$3,Q8,R8,$C$4)</f>
        <v>0</v>
      </c>
      <c r="Y8" s="24">
        <f>_xll.dnetStandardBarrierNGreeks("vega",G8,H8,I8,K8,L8*H8,P8,$C$3,Q8,R8,$C$4)</f>
        <v>0</v>
      </c>
    </row>
    <row r="9" spans="1:2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43231</v>
      </c>
      <c r="N9" s="8">
        <f ca="1">M9+O9</f>
        <v>43411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>
      <c r="A11" s="34"/>
      <c r="B11" s="13" t="s">
        <v>172</v>
      </c>
      <c r="C11" s="10" t="s">
        <v>162</v>
      </c>
      <c r="D11" s="10" t="s">
        <v>31</v>
      </c>
      <c r="E11" s="10">
        <f t="shared" ref="E11:E16" si="0">IF(D11="中金买入",1,-1)</f>
        <v>-1</v>
      </c>
      <c r="F11" s="10" t="s">
        <v>212</v>
      </c>
      <c r="G11" s="10" t="s">
        <v>48</v>
      </c>
      <c r="H11" s="11">
        <v>100</v>
      </c>
      <c r="I11" s="10">
        <v>100</v>
      </c>
      <c r="J11" s="10">
        <v>118</v>
      </c>
      <c r="K11" s="10">
        <f>_xll.dnetDiscreteAdjustedBarrier($H11,$J11,$R11,1/365)</f>
        <v>118.97557113438837</v>
      </c>
      <c r="L11" s="37">
        <v>0</v>
      </c>
      <c r="M11" s="8">
        <f t="shared" ref="M11:M16" ca="1" si="1">TODAY()</f>
        <v>43231</v>
      </c>
      <c r="N11" s="8">
        <f t="shared" ref="N11:N16" ca="1" si="2">M11+O11</f>
        <v>43322</v>
      </c>
      <c r="O11" s="10">
        <v>91</v>
      </c>
      <c r="P11" s="12">
        <f t="shared" ref="P11:P16" si="3">O11/365</f>
        <v>0.24931506849315069</v>
      </c>
      <c r="Q11" s="12">
        <v>0</v>
      </c>
      <c r="R11" s="9">
        <v>0.27</v>
      </c>
      <c r="S11" s="13">
        <f>_xll.dnetStandardBarrierNGreeks("price",G11,H11,I11,K11,L11*H11,P11,$C$3,Q11,R11,$C$4)*E11</f>
        <v>-1.9129556509179371</v>
      </c>
      <c r="T11" s="15">
        <f>50*365/O11</f>
        <v>200.54945054945054</v>
      </c>
      <c r="U11" s="13">
        <f t="shared" ref="U11:U16" si="4">T11/10000*P11*H11</f>
        <v>0.49999999999999994</v>
      </c>
      <c r="V11" s="13">
        <f t="shared" ref="V11:V16" si="5">IF(S11&lt;=0,ABS(S11)+U11,S11-U11)</f>
        <v>2.4129556509179371</v>
      </c>
      <c r="W11" s="14">
        <f t="shared" ref="W11:W16" si="6">V11/H11</f>
        <v>2.4129556509179372E-2</v>
      </c>
      <c r="X11" s="13">
        <f>_xll.dnetStandardBarrierNGreeks("delta",G11,H11,I11,K11,L11*H11,P11,$C$3,Q11,R11,$C$4)</f>
        <v>5.6102419511372403E-2</v>
      </c>
      <c r="Y11" s="13">
        <f>_xll.dnetStandardBarrierNGreeks("vega",G11,H11,I11,K11,L11*H11,P11,$C$3,Q11,R11,$C$4)</f>
        <v>-9.5908124536094208E-2</v>
      </c>
    </row>
    <row r="12" spans="1:25">
      <c r="A12" s="34"/>
      <c r="B12" s="13" t="s">
        <v>172</v>
      </c>
      <c r="C12" s="10" t="s">
        <v>162</v>
      </c>
      <c r="D12" s="10" t="s">
        <v>31</v>
      </c>
      <c r="E12" s="10">
        <f t="shared" si="0"/>
        <v>-1</v>
      </c>
      <c r="F12" s="10" t="s">
        <v>213</v>
      </c>
      <c r="G12" s="10" t="s">
        <v>48</v>
      </c>
      <c r="H12" s="11">
        <v>100</v>
      </c>
      <c r="I12" s="10">
        <v>100</v>
      </c>
      <c r="J12" s="10">
        <v>118</v>
      </c>
      <c r="K12" s="10">
        <f>_xll.dnetDiscreteAdjustedBarrier($H12,$J12,$R12,1/365)</f>
        <v>118.83053474115295</v>
      </c>
      <c r="L12" s="37">
        <v>0</v>
      </c>
      <c r="M12" s="8">
        <f t="shared" ca="1" si="1"/>
        <v>43231</v>
      </c>
      <c r="N12" s="8">
        <f t="shared" ca="1" si="2"/>
        <v>43322</v>
      </c>
      <c r="O12" s="10">
        <v>91</v>
      </c>
      <c r="P12" s="12">
        <f t="shared" si="3"/>
        <v>0.24931506849315069</v>
      </c>
      <c r="Q12" s="12">
        <v>0</v>
      </c>
      <c r="R12" s="9">
        <v>0.23</v>
      </c>
      <c r="S12" s="13">
        <f>_xll.dnetStandardBarrierNGreeks("price",G12,H12,I12,K12,L12*H12,P12,$C$3,Q12,R12,$C$4)*E12</f>
        <v>-2.268083861152451</v>
      </c>
      <c r="T12" s="15">
        <f t="shared" ref="T12:T16" si="7">50*365/O12</f>
        <v>200.54945054945054</v>
      </c>
      <c r="U12" s="13">
        <f t="shared" si="4"/>
        <v>0.49999999999999994</v>
      </c>
      <c r="V12" s="13">
        <f t="shared" si="5"/>
        <v>2.768083861152451</v>
      </c>
      <c r="W12" s="14">
        <f t="shared" si="6"/>
        <v>2.7680838611524511E-2</v>
      </c>
      <c r="X12" s="13">
        <f>_xll.dnetStandardBarrierNGreeks("delta",G12,H12,I12,K12,L12*H12,P12,$C$3,Q12,R12,$C$4)</f>
        <v>0.12152567414362991</v>
      </c>
      <c r="Y12" s="13">
        <f>_xll.dnetStandardBarrierNGreeks("vega",G12,H12,I12,K12,L12*H12,P12,$C$3,Q12,R12,$C$4)</f>
        <v>-9.3231985931003347E-2</v>
      </c>
    </row>
    <row r="13" spans="1:25">
      <c r="A13" s="34"/>
      <c r="B13" s="13" t="s">
        <v>172</v>
      </c>
      <c r="C13" s="10" t="s">
        <v>162</v>
      </c>
      <c r="D13" s="10" t="s">
        <v>31</v>
      </c>
      <c r="E13" s="10">
        <f t="shared" si="0"/>
        <v>-1</v>
      </c>
      <c r="F13" s="10" t="s">
        <v>214</v>
      </c>
      <c r="G13" s="10" t="s">
        <v>48</v>
      </c>
      <c r="H13" s="11">
        <v>100</v>
      </c>
      <c r="I13" s="10">
        <v>100</v>
      </c>
      <c r="J13" s="10">
        <v>118</v>
      </c>
      <c r="K13" s="10">
        <f>_xll.dnetDiscreteAdjustedBarrier($H13,$J13,$R13,1/365)</f>
        <v>118.75808286013783</v>
      </c>
      <c r="L13" s="37">
        <v>0</v>
      </c>
      <c r="M13" s="8">
        <f t="shared" ca="1" si="1"/>
        <v>43231</v>
      </c>
      <c r="N13" s="8">
        <f t="shared" ca="1" si="2"/>
        <v>43322</v>
      </c>
      <c r="O13" s="10">
        <v>91</v>
      </c>
      <c r="P13" s="12">
        <f t="shared" si="3"/>
        <v>0.24931506849315069</v>
      </c>
      <c r="Q13" s="12">
        <v>0</v>
      </c>
      <c r="R13" s="9">
        <v>0.21</v>
      </c>
      <c r="S13" s="13">
        <f>_xll.dnetStandardBarrierNGreeks("price",G13,H13,I13,K13,L13*H13,P13,$C$3,Q13,R13,$C$4)*E13</f>
        <v>-2.429130538035877</v>
      </c>
      <c r="T13" s="15">
        <f t="shared" si="7"/>
        <v>200.54945054945054</v>
      </c>
      <c r="U13" s="13">
        <f t="shared" si="4"/>
        <v>0.49999999999999994</v>
      </c>
      <c r="V13" s="13">
        <f t="shared" si="5"/>
        <v>2.929130538035877</v>
      </c>
      <c r="W13" s="14">
        <f t="shared" si="6"/>
        <v>2.9291305380358769E-2</v>
      </c>
      <c r="X13" s="13">
        <f>_xll.dnetStandardBarrierNGreeks("delta",G13,H13,I13,K13,L13*H13,P13,$C$3,Q13,R13,$C$4)</f>
        <v>0.16955154890030411</v>
      </c>
      <c r="Y13" s="13">
        <f>_xll.dnetStandardBarrierNGreeks("vega",G13,H13,I13,K13,L13*H13,P13,$C$3,Q13,R13,$C$4)</f>
        <v>-8.0274776725061558E-2</v>
      </c>
    </row>
    <row r="14" spans="1:25">
      <c r="A14" s="34"/>
      <c r="B14" s="13" t="s">
        <v>172</v>
      </c>
      <c r="C14" s="10" t="s">
        <v>162</v>
      </c>
      <c r="D14" s="10" t="s">
        <v>31</v>
      </c>
      <c r="E14" s="10">
        <f t="shared" si="0"/>
        <v>-1</v>
      </c>
      <c r="F14" s="10" t="s">
        <v>212</v>
      </c>
      <c r="G14" s="10" t="s">
        <v>48</v>
      </c>
      <c r="H14" s="11">
        <v>100</v>
      </c>
      <c r="I14" s="10">
        <v>100</v>
      </c>
      <c r="J14" s="10">
        <v>118</v>
      </c>
      <c r="K14" s="10">
        <f>_xll.dnetDiscreteAdjustedBarrier($H14,$J14,$R14,1/365)</f>
        <v>118.97557113438837</v>
      </c>
      <c r="L14" s="37">
        <v>0</v>
      </c>
      <c r="M14" s="8">
        <f t="shared" ca="1" si="1"/>
        <v>43231</v>
      </c>
      <c r="N14" s="8">
        <f t="shared" ca="1" si="2"/>
        <v>43414</v>
      </c>
      <c r="O14" s="10">
        <v>183</v>
      </c>
      <c r="P14" s="12">
        <f t="shared" si="3"/>
        <v>0.50136986301369868</v>
      </c>
      <c r="Q14" s="12">
        <v>0</v>
      </c>
      <c r="R14" s="9">
        <v>0.27</v>
      </c>
      <c r="S14" s="13">
        <f>_xll.dnetStandardBarrierNGreeks("price",G14,H14,I14,K14,L14*H14,P14,$C$3,Q14,R14,$C$4)*E14</f>
        <v>-1.0363206281910617</v>
      </c>
      <c r="T14" s="15">
        <f t="shared" si="7"/>
        <v>99.726775956284158</v>
      </c>
      <c r="U14" s="13">
        <f t="shared" si="4"/>
        <v>0.50000000000000011</v>
      </c>
      <c r="V14" s="13">
        <f t="shared" si="5"/>
        <v>1.5363206281910617</v>
      </c>
      <c r="W14" s="14">
        <f t="shared" si="6"/>
        <v>1.5363206281910617E-2</v>
      </c>
      <c r="X14" s="13">
        <f>_xll.dnetStandardBarrierNGreeks("delta",G14,H14,I14,K14,L14*H14,P14,$C$3,Q14,R14,$C$4)</f>
        <v>-8.979327686908789E-3</v>
      </c>
      <c r="Y14" s="13">
        <f>_xll.dnetStandardBarrierNGreeks("vega",G14,H14,I14,K14,L14*H14,P14,$C$3,Q14,R14,$C$4)</f>
        <v>-7.9718746239311411E-2</v>
      </c>
    </row>
    <row r="15" spans="1:25">
      <c r="A15" s="34"/>
      <c r="B15" s="13" t="s">
        <v>172</v>
      </c>
      <c r="C15" s="10" t="s">
        <v>162</v>
      </c>
      <c r="D15" s="10" t="s">
        <v>31</v>
      </c>
      <c r="E15" s="10">
        <f t="shared" si="0"/>
        <v>-1</v>
      </c>
      <c r="F15" s="10" t="s">
        <v>213</v>
      </c>
      <c r="G15" s="10" t="s">
        <v>48</v>
      </c>
      <c r="H15" s="11">
        <v>100</v>
      </c>
      <c r="I15" s="10">
        <v>100</v>
      </c>
      <c r="J15" s="10">
        <v>118</v>
      </c>
      <c r="K15" s="10">
        <f>_xll.dnetDiscreteAdjustedBarrier($H15,$J15,$R15,1/365)</f>
        <v>118.83053474115295</v>
      </c>
      <c r="L15" s="37">
        <v>0</v>
      </c>
      <c r="M15" s="8">
        <f t="shared" ca="1" si="1"/>
        <v>43231</v>
      </c>
      <c r="N15" s="8">
        <f t="shared" ca="1" si="2"/>
        <v>43414</v>
      </c>
      <c r="O15" s="10">
        <v>183</v>
      </c>
      <c r="P15" s="12">
        <f t="shared" si="3"/>
        <v>0.50136986301369868</v>
      </c>
      <c r="Q15" s="12">
        <v>0</v>
      </c>
      <c r="R15" s="9">
        <v>0.23</v>
      </c>
      <c r="S15" s="13">
        <f>_xll.dnetStandardBarrierNGreeks("price",G15,H15,I15,K15,L15*H15,P15,$C$3,Q15,R15,$C$4)*E15</f>
        <v>-1.3855950829873169</v>
      </c>
      <c r="T15" s="15">
        <f t="shared" si="7"/>
        <v>99.726775956284158</v>
      </c>
      <c r="U15" s="13">
        <f t="shared" si="4"/>
        <v>0.50000000000000011</v>
      </c>
      <c r="V15" s="13">
        <f t="shared" si="5"/>
        <v>1.8855950829873169</v>
      </c>
      <c r="W15" s="14">
        <f t="shared" si="6"/>
        <v>1.885595082987317E-2</v>
      </c>
      <c r="X15" s="13">
        <f>_xll.dnetStandardBarrierNGreeks("delta",G15,H15,I15,K15,L15*H15,P15,$C$3,Q15,R15,$C$4)</f>
        <v>7.5959108423395705E-3</v>
      </c>
      <c r="Y15" s="13">
        <f>_xll.dnetStandardBarrierNGreeks("vega",G15,H15,I15,K15,L15*H15,P15,$C$3,Q15,R15,$C$4)</f>
        <v>-0.10820566193518943</v>
      </c>
    </row>
    <row r="16" spans="1:25">
      <c r="A16" s="34"/>
      <c r="B16" s="13" t="s">
        <v>172</v>
      </c>
      <c r="C16" s="10" t="s">
        <v>162</v>
      </c>
      <c r="D16" s="10" t="s">
        <v>31</v>
      </c>
      <c r="E16" s="10">
        <f t="shared" si="0"/>
        <v>-1</v>
      </c>
      <c r="F16" s="10" t="s">
        <v>214</v>
      </c>
      <c r="G16" s="10" t="s">
        <v>48</v>
      </c>
      <c r="H16" s="11">
        <v>100</v>
      </c>
      <c r="I16" s="10">
        <v>100</v>
      </c>
      <c r="J16" s="10">
        <v>118</v>
      </c>
      <c r="K16" s="10">
        <f>_xll.dnetDiscreteAdjustedBarrier($H16,$J16,$R16,1/365)</f>
        <v>118.75808286013783</v>
      </c>
      <c r="L16" s="37">
        <v>0</v>
      </c>
      <c r="M16" s="8">
        <f t="shared" ca="1" si="1"/>
        <v>43231</v>
      </c>
      <c r="N16" s="8">
        <f t="shared" ca="1" si="2"/>
        <v>43414</v>
      </c>
      <c r="O16" s="10">
        <v>183</v>
      </c>
      <c r="P16" s="12">
        <f t="shared" si="3"/>
        <v>0.50136986301369868</v>
      </c>
      <c r="Q16" s="12">
        <v>0</v>
      </c>
      <c r="R16" s="9">
        <v>0.21</v>
      </c>
      <c r="S16" s="13">
        <f>_xll.dnetStandardBarrierNGreeks("price",G16,H16,I16,K16,L16*H16,P16,$C$3,Q16,R16,$C$4)*E16</f>
        <v>-1.6027351301156738</v>
      </c>
      <c r="T16" s="15">
        <f t="shared" si="7"/>
        <v>99.726775956284158</v>
      </c>
      <c r="U16" s="13">
        <f t="shared" si="4"/>
        <v>0.50000000000000011</v>
      </c>
      <c r="V16" s="13">
        <f t="shared" si="5"/>
        <v>2.1027351301156738</v>
      </c>
      <c r="W16" s="14">
        <f t="shared" si="6"/>
        <v>2.1027351301156738E-2</v>
      </c>
      <c r="X16" s="13">
        <f>_xll.dnetStandardBarrierNGreeks("delta",G16,H16,I16,K16,L16*H16,P16,$C$3,Q16,R16,$C$4)</f>
        <v>2.4612309731497639E-2</v>
      </c>
      <c r="Y16" s="13">
        <f>_xll.dnetStandardBarrierNGreeks("vega",G16,H16,I16,K16,L16*H16,P16,$C$3,Q16,R16,$C$4)</f>
        <v>-0.12284663697839449</v>
      </c>
    </row>
    <row r="17" spans="2:2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R7" sqref="R7"/>
    </sheetView>
  </sheetViews>
  <sheetFormatPr defaultRowHeight="13.5"/>
  <cols>
    <col min="1" max="1" width="9" style="1"/>
  </cols>
  <sheetData>
    <row r="1" spans="1:16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>
      <c r="A3" s="2" t="s">
        <v>5</v>
      </c>
      <c r="C3" s="2" t="s">
        <v>153</v>
      </c>
    </row>
    <row r="4" spans="1:16">
      <c r="A4" s="2" t="s">
        <v>4</v>
      </c>
      <c r="C4" s="2" t="s">
        <v>154</v>
      </c>
    </row>
    <row r="5" spans="1:16">
      <c r="A5" s="2" t="s">
        <v>6</v>
      </c>
    </row>
    <row r="6" spans="1:16">
      <c r="A6" s="2" t="s">
        <v>35</v>
      </c>
    </row>
    <row r="7" spans="1:16">
      <c r="A7" s="2" t="s">
        <v>42</v>
      </c>
    </row>
    <row r="8" spans="1:16">
      <c r="A8" s="2" t="s">
        <v>43</v>
      </c>
    </row>
    <row r="9" spans="1:16">
      <c r="A9" s="2" t="s">
        <v>161</v>
      </c>
    </row>
    <row r="10" spans="1:16">
      <c r="A10" s="2" t="s">
        <v>169</v>
      </c>
    </row>
    <row r="11" spans="1:16">
      <c r="A11" s="2" t="s">
        <v>176</v>
      </c>
    </row>
    <row r="12" spans="1:16">
      <c r="A12" s="2" t="s">
        <v>177</v>
      </c>
    </row>
    <row r="13" spans="1:16">
      <c r="A13" s="2" t="s">
        <v>178</v>
      </c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quate_van</vt:lpstr>
      <vt:lpstr>recap</vt:lpstr>
      <vt:lpstr>pricer_van</vt:lpstr>
      <vt:lpstr>Sheet1</vt:lpstr>
      <vt:lpstr>pricer_combo</vt:lpstr>
      <vt:lpstr>quote_sf</vt:lpstr>
      <vt:lpstr>ref_vol_table</vt:lpstr>
      <vt:lpstr>pricer_sf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2018-05-11T07:08:27Z</dcterms:modified>
</cp:coreProperties>
</file>