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G51" i="1" l="1"/>
  <c r="G52" i="1"/>
  <c r="X52" i="1" s="1"/>
  <c r="G53" i="1"/>
  <c r="X53" i="1" s="1"/>
  <c r="G54" i="1"/>
  <c r="G55" i="1"/>
  <c r="X55" i="1" s="1"/>
  <c r="G56" i="1"/>
  <c r="X56" i="1" s="1"/>
  <c r="G57" i="1"/>
  <c r="G58" i="1"/>
  <c r="X58" i="1" s="1"/>
  <c r="G50" i="1"/>
  <c r="X50" i="1" s="1"/>
  <c r="G49" i="1"/>
  <c r="X49" i="1" s="1"/>
  <c r="R53" i="1"/>
  <c r="I53" i="1"/>
  <c r="E53" i="1"/>
  <c r="F53" i="1" s="1"/>
  <c r="R52" i="1"/>
  <c r="I52" i="1"/>
  <c r="E52" i="1"/>
  <c r="F52" i="1" s="1"/>
  <c r="R58" i="1"/>
  <c r="I58" i="1"/>
  <c r="E58" i="1"/>
  <c r="F58" i="1" s="1"/>
  <c r="E56" i="1"/>
  <c r="F56" i="1" s="1"/>
  <c r="I56" i="1"/>
  <c r="R56" i="1"/>
  <c r="R55" i="1"/>
  <c r="I55" i="1"/>
  <c r="E55" i="1"/>
  <c r="F55" i="1" s="1"/>
  <c r="R50" i="1"/>
  <c r="I50" i="1"/>
  <c r="E50" i="1"/>
  <c r="F50" i="1" s="1"/>
  <c r="R49" i="1"/>
  <c r="I49" i="1"/>
  <c r="E49" i="1"/>
  <c r="F49" i="1" s="1"/>
  <c r="L52" i="1"/>
  <c r="L55" i="1"/>
  <c r="L58" i="1"/>
  <c r="V58" i="1"/>
  <c r="V50" i="1"/>
  <c r="U53" i="1"/>
  <c r="U58" i="1"/>
  <c r="V55" i="1"/>
  <c r="L53" i="1"/>
  <c r="L49" i="1"/>
  <c r="L56" i="1"/>
  <c r="V52" i="1"/>
  <c r="U50" i="1"/>
  <c r="L50" i="1"/>
  <c r="Y50" i="1" l="1"/>
  <c r="Y58" i="1"/>
  <c r="Y53" i="1"/>
  <c r="Z49" i="1"/>
  <c r="N56" i="1"/>
  <c r="O56" i="1" s="1"/>
  <c r="T56" i="1" s="1"/>
  <c r="N55" i="1"/>
  <c r="O55" i="1" s="1"/>
  <c r="T55" i="1" s="1"/>
  <c r="N52" i="1"/>
  <c r="O52" i="1" s="1"/>
  <c r="T52" i="1" s="1"/>
  <c r="Z52" i="1"/>
  <c r="N50" i="1"/>
  <c r="O50" i="1" s="1"/>
  <c r="T50" i="1" s="1"/>
  <c r="N49" i="1"/>
  <c r="O49" i="1" s="1"/>
  <c r="T49" i="1" s="1"/>
  <c r="N58" i="1"/>
  <c r="O58" i="1" s="1"/>
  <c r="T58" i="1" s="1"/>
  <c r="N53" i="1"/>
  <c r="O53" i="1" s="1"/>
  <c r="T53" i="1" s="1"/>
  <c r="D30" i="9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U56" i="1"/>
  <c r="U49" i="1"/>
  <c r="V53" i="1"/>
  <c r="U52" i="1"/>
  <c r="P26" i="9"/>
  <c r="V56" i="1"/>
  <c r="U55" i="1"/>
  <c r="V49" i="1"/>
  <c r="P29" i="9"/>
  <c r="L29" i="9" s="1"/>
  <c r="Y55" i="1" l="1"/>
  <c r="Z55" i="1"/>
  <c r="Y52" i="1"/>
  <c r="Y49" i="1"/>
  <c r="Y56" i="1"/>
  <c r="E30" i="9"/>
  <c r="E31" i="9" s="1"/>
  <c r="O29" i="9"/>
  <c r="P30" i="9"/>
  <c r="P27" i="9"/>
  <c r="F26" i="9"/>
  <c r="F27" i="9" s="1"/>
  <c r="F28" i="9" s="1"/>
  <c r="H28" i="9"/>
  <c r="I30" i="9"/>
  <c r="I31" i="9" s="1"/>
  <c r="L27" i="9"/>
  <c r="U26" i="9"/>
  <c r="U30" i="9"/>
  <c r="V29" i="9"/>
  <c r="V30" i="9"/>
  <c r="V27" i="9"/>
  <c r="U29" i="9"/>
  <c r="U27" i="9"/>
  <c r="L26" i="9"/>
  <c r="L30" i="9"/>
  <c r="V26" i="9"/>
  <c r="O26" i="9" l="1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X44" i="1"/>
  <c r="R44" i="1"/>
  <c r="I44" i="1"/>
  <c r="E44" i="1"/>
  <c r="F44" i="1" s="1"/>
  <c r="P44" i="1"/>
  <c r="P47" i="1"/>
  <c r="P45" i="1"/>
  <c r="P46" i="1"/>
  <c r="L47" i="1"/>
  <c r="U46" i="1"/>
  <c r="L45" i="1"/>
  <c r="O28" i="9" l="1"/>
  <c r="T28" i="9" s="1"/>
  <c r="O31" i="9"/>
  <c r="T31" i="9" s="1"/>
  <c r="Z44" i="1"/>
  <c r="Z46" i="1"/>
  <c r="Y46" i="1"/>
  <c r="N47" i="1"/>
  <c r="O47" i="1" s="1"/>
  <c r="T47" i="1" s="1"/>
  <c r="N46" i="1"/>
  <c r="N45" i="1"/>
  <c r="O45" i="1" s="1"/>
  <c r="T45" i="1" s="1"/>
  <c r="N44" i="1"/>
  <c r="V44" i="1"/>
  <c r="V46" i="1"/>
  <c r="V45" i="1"/>
  <c r="V47" i="1"/>
  <c r="L44" i="1"/>
  <c r="U44" i="1"/>
  <c r="U47" i="1"/>
  <c r="U45" i="1"/>
  <c r="L46" i="1"/>
  <c r="O44" i="1" l="1"/>
  <c r="T44" i="1" s="1"/>
  <c r="O46" i="1"/>
  <c r="T46" i="1" s="1"/>
  <c r="Y44" i="1"/>
  <c r="Y47" i="1"/>
  <c r="Y45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0" i="1"/>
  <c r="L42" i="1"/>
  <c r="V41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L41" i="1"/>
  <c r="U40" i="1"/>
  <c r="P36" i="1"/>
  <c r="P38" i="1"/>
  <c r="U41" i="1"/>
  <c r="V42" i="1"/>
  <c r="P37" i="1"/>
  <c r="U42" i="1"/>
  <c r="L38" i="1"/>
  <c r="Z41" i="1" l="1"/>
  <c r="Z40" i="1"/>
  <c r="Y42" i="1"/>
  <c r="Y41" i="1"/>
  <c r="Y40" i="1"/>
  <c r="O41" i="1"/>
  <c r="T41" i="1" s="1"/>
  <c r="N38" i="1"/>
  <c r="O38" i="1" s="1"/>
  <c r="T38" i="1" s="1"/>
  <c r="D55" i="2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P29" i="1"/>
  <c r="P28" i="1"/>
  <c r="V38" i="1"/>
  <c r="U38" i="1"/>
  <c r="V37" i="1"/>
  <c r="L34" i="1"/>
  <c r="V32" i="1"/>
  <c r="L31" i="1"/>
  <c r="L36" i="1"/>
  <c r="Y38" i="1" l="1"/>
  <c r="N28" i="1"/>
  <c r="N29" i="1"/>
  <c r="O34" i="1"/>
  <c r="T34" i="1" s="1"/>
  <c r="O36" i="1"/>
  <c r="T36" i="1" s="1"/>
  <c r="O31" i="1"/>
  <c r="T31" i="1" s="1"/>
  <c r="U31" i="1"/>
  <c r="U32" i="1"/>
  <c r="U28" i="1"/>
  <c r="U29" i="1"/>
  <c r="L32" i="1"/>
  <c r="V36" i="1"/>
  <c r="U37" i="1"/>
  <c r="L28" i="1"/>
  <c r="U36" i="1"/>
  <c r="V28" i="1"/>
  <c r="L29" i="1"/>
  <c r="U34" i="1"/>
  <c r="V29" i="1"/>
  <c r="L37" i="1"/>
  <c r="V31" i="1"/>
  <c r="V34" i="1"/>
  <c r="Y31" i="1" l="1"/>
  <c r="Y36" i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19" i="1"/>
  <c r="P21" i="1"/>
  <c r="P20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U21" i="1"/>
  <c r="L20" i="1"/>
  <c r="V16" i="1"/>
  <c r="L13" i="1"/>
  <c r="U23" i="1"/>
  <c r="V13" i="1"/>
  <c r="V14" i="1"/>
  <c r="L18" i="1"/>
  <c r="U16" i="1"/>
  <c r="V21" i="1"/>
  <c r="V25" i="1"/>
  <c r="U25" i="1"/>
  <c r="V18" i="1"/>
  <c r="L16" i="1"/>
  <c r="V19" i="1"/>
  <c r="V20" i="1"/>
  <c r="U20" i="1"/>
  <c r="L19" i="1"/>
  <c r="L25" i="1"/>
  <c r="U13" i="1"/>
  <c r="L23" i="1"/>
  <c r="V23" i="1"/>
  <c r="U14" i="1"/>
  <c r="U18" i="1"/>
  <c r="L14" i="1"/>
  <c r="L21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L11" i="1"/>
  <c r="P8" i="1"/>
  <c r="N8" i="1" l="1"/>
  <c r="N11" i="1"/>
  <c r="O11" i="1" s="1"/>
  <c r="T11" i="1" s="1"/>
  <c r="V11" i="1"/>
  <c r="L8" i="1"/>
  <c r="U11" i="1"/>
  <c r="U8" i="1"/>
  <c r="V8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21" i="9"/>
  <c r="U19" i="9"/>
  <c r="L19" i="9"/>
  <c r="V21" i="9"/>
  <c r="U18" i="9"/>
  <c r="V19" i="9"/>
  <c r="U21" i="9"/>
  <c r="V18" i="9"/>
  <c r="L18" i="9"/>
  <c r="L22" i="9"/>
  <c r="U22" i="9"/>
  <c r="V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4" i="8"/>
  <c r="K11" i="8"/>
  <c r="K16" i="8"/>
  <c r="K15" i="8"/>
  <c r="K12" i="8"/>
  <c r="K13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3" i="8"/>
  <c r="U14" i="9"/>
  <c r="S14" i="8"/>
  <c r="Y14" i="8"/>
  <c r="X13" i="8"/>
  <c r="L14" i="9"/>
  <c r="V14" i="9"/>
  <c r="Y16" i="8"/>
  <c r="S16" i="8"/>
  <c r="S11" i="8"/>
  <c r="X16" i="8"/>
  <c r="Y11" i="8"/>
  <c r="S13" i="8"/>
  <c r="X15" i="8"/>
  <c r="X12" i="8"/>
  <c r="X14" i="8"/>
  <c r="S15" i="8"/>
  <c r="Y15" i="8"/>
  <c r="X11" i="8"/>
  <c r="S12" i="8"/>
  <c r="Y12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9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U9" i="7"/>
  <c r="T10" i="7"/>
  <c r="O10" i="7"/>
  <c r="H8" i="7"/>
  <c r="H8" i="8"/>
  <c r="T9" i="7"/>
  <c r="K9" i="8"/>
  <c r="U10" i="7"/>
  <c r="U8" i="8" l="1"/>
  <c r="Q9" i="7"/>
  <c r="R9" i="7" s="1"/>
  <c r="S9" i="7" s="1"/>
  <c r="Q10" i="7"/>
  <c r="R10" i="7" s="1"/>
  <c r="S10" i="7" s="1"/>
  <c r="Q8" i="7"/>
  <c r="Y9" i="8"/>
  <c r="S9" i="8"/>
  <c r="U8" i="7"/>
  <c r="X9" i="8"/>
  <c r="O8" i="7"/>
  <c r="K8" i="8"/>
  <c r="T8" i="7"/>
  <c r="V9" i="8" l="1"/>
  <c r="W9" i="8" s="1"/>
  <c r="R8" i="7"/>
  <c r="S8" i="7" s="1"/>
  <c r="Y8" i="8"/>
  <c r="S8" i="8"/>
  <c r="X8" i="8"/>
  <c r="V8" i="8" l="1"/>
  <c r="W8" i="8" s="1"/>
  <c r="G12" i="9" l="1"/>
  <c r="G13" i="9" s="1"/>
  <c r="U11" i="9"/>
  <c r="L11" i="9"/>
  <c r="V12" i="9"/>
  <c r="L12" i="9"/>
  <c r="U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<sst xmlns="http://schemas.openxmlformats.org/spreadsheetml/2006/main" count="1409" uniqueCount="259">
  <si>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</si>
  <si>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</si>
  <si>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</si>
  <si>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</si>
  <si>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</si>
  <si>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</si>
  <si>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</si>
  <si>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</si>
  <si>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</si>
  <si>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</si>
  <si>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</si>
  <si>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</si>
  <si>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</si>
  <si>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</si>
  <si>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</si>
  <si>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</si>
  <si>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</si>
  <si>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</si>
  <si>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</si>
  <si>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</si>
  <si>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</si>
  <si>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</si>
  <si>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</si>
  <si>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</si>
  <si>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</si>
  <si>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</si>
  <si>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</si>
  <si>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</si>
  <si>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</si>
  <si>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</si>
  <si>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</si>
  <si>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</si>
  <si>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</si>
  <si>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</si>
  <si>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</si>
  <si>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</si>
  <si>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</si>
  <si>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</si>
  <si>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</si>
  <si>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</si>
  <si>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</si>
  <si>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</si>
  <si>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</si>
  <si>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</si>
  <si>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</si>
  <si>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</si>
  <si>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</si>
  <si>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</si>
  <si>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</si>
  <si>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</si>
  <si>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</si>
  <si>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</si>
  <si>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</si>
  <si>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</si>
  <si>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</si>
  <si>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</si>
  <si>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</si>
  <si>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</si>
  <si>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</si>
  <si>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</si>
  <si>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</si>
  <si>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</si>
  <si>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</si>
  <si>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</si>
  <si>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</si>
  <si>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</si>
  <si>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</si>
  <si>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</si>
  <si>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</si>
  <si>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</si>
  <si>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</si>
  <si>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</si>
  <si>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</si>
  <si>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</si>
  <si>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</si>
  <si>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</si>
  <si>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</si>
  <si>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</si>
  <si>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</si>
  <si>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</si>
  <si>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</si>
  <si>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</si>
  <si>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</si>
  <si>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</si>
  <si>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</si>
  <si>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</si>
  <si>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</si>
  <si>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</si>
  <si>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</si>
  <si>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</si>
  <si>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</si>
  <si>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</si>
  <si>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</si>
  <si>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</si>
  <si>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</si>
  <si>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</si>
  <si>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</si>
  <si>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</si>
  <si>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</si>
  <si>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</si>
  <si>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</si>
  <si>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</si>
  <si>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</si>
  <si>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</si>
  <si>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</si>
  <si>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</si>
  <si>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</si>
  <si>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</si>
  <si>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</si>
  <si>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</si>
  <si>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</si>
  <si>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</si>
  <si>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</si>
  <si>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</si>
  <si>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</si>
  <si>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</si>
  <si>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</si>
  <si>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</si>
  <si>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</si>
  <si>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</si>
  <si>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</si>
  <si>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</si>
  <si>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</si>
  <si>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</si>
  <si>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</si>
  <si>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</si>
  <si>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</si>
  <si>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</si>
  <si>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</si>
  <si>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</si>
  <si>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</si>
  <si>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</si>
  <si>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</si>
  <si>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</si>
  <si>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</si>
  <si>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</si>
  <si>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</si>
  <si>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</si>
  <si>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</si>
  <si>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</si>
  <si>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</si>
  <si>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</si>
  <si>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</si>
  <si>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</si>
  <si>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</si>
  <si>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</si>
  <si>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</si>
  <si>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</si>
  <si>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</si>
  <si>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</si>
  <si>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</si>
  <si>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</si>
  <si>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</si>
  <si>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</si>
  <si>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</si>
  <si>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</si>
  <si>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</si>
  <si>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</si>
  <si>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</si>
  <si>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</si>
  <si>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</si>
  <si>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</si>
  <si>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</si>
  <si>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</si>
  <si>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</si>
  <si>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</si>
  <si>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</si>
  <si>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</si>
  <si>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</si>
  <si>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</si>
  <si>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</si>
  <si>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</si>
  <si>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</si>
  <si>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</si>
  <si>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</si>
  <si>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</si>
  <si>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</si>
  <si>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</si>
  <si>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</si>
  <si>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</si>
  <si>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</si>
  <si>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</si>
  <si>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</si>
  <si>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</si>
  <si>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</si>
  <si>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</si>
  <si>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</si>
  <si>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</si>
  <si>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</si>
  <si>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</si>
  <si>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</si>
  <si>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</si>
  <si>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</si>
  <si>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</si>
  <si>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</si>
  <si>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</si>
  <si>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</si>
  <si>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</si>
  <si>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</si>
  <si>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</si>
  <si>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</si>
  <si>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</si>
  <si>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</si>
  <si>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</si>
  <si>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</si>
  <si>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</si>
  <si>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</si>
  <si>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</si>
  <si>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</si>
  <si>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</si>
  <si>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</si>
  <si>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</si>
  <si>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</si>
  <si>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</si>
  <si>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</si>
  <si>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</si>
  <si>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</si>
  <si>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</si>
  <si>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</si>
  <si>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</si>
  <si>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</si>
  <si>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</si>
  <si>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</si>
  <si>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</si>
  <si>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</si>
  <si>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RB1810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</si>
  <si>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</si>
  <si>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</si>
  <si>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</si>
  <si>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</si>
  <si>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</si>
  <si>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sc1809</t>
    <phoneticPr fontId="2" type="noConversion"/>
  </si>
  <si>
    <t>ta809</t>
  </si>
  <si>
    <t>ta809</t>
    <phoneticPr fontId="2" type="noConversion"/>
  </si>
  <si>
    <t>zc809</t>
  </si>
  <si>
    <t>zc809</t>
    <phoneticPr fontId="2" type="noConversion"/>
  </si>
  <si>
    <t>pp1809</t>
  </si>
  <si>
    <t>pp1809</t>
    <phoneticPr fontId="2" type="noConversion"/>
  </si>
  <si>
    <t>v1809</t>
  </si>
  <si>
    <t>cu1807</t>
    <phoneticPr fontId="2" type="noConversion"/>
  </si>
  <si>
    <t>i1809</t>
  </si>
  <si>
    <t>j1809</t>
  </si>
  <si>
    <t>j1809</t>
    <phoneticPr fontId="2" type="noConversion"/>
  </si>
  <si>
    <t>成交回报 l</t>
    <phoneticPr fontId="2" type="noConversion"/>
  </si>
  <si>
    <t>成交回报 2</t>
    <phoneticPr fontId="2" type="noConversion"/>
  </si>
  <si>
    <t>ru1809</t>
  </si>
  <si>
    <t>ru1901</t>
    <phoneticPr fontId="2" type="noConversion"/>
  </si>
  <si>
    <t>cf809</t>
  </si>
  <si>
    <t>cf809</t>
    <phoneticPr fontId="2" type="noConversion"/>
  </si>
  <si>
    <t>ap901</t>
    <phoneticPr fontId="2" type="noConversion"/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</si>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</sst>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9" fontId="36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0" fontId="35" fillId="4" borderId="2" xfId="0" applyFont="1" applyFill="1" applyBorder="1"/>
    <xf numFmtId="10" fontId="6" fillId="6" borderId="0" xfId="0" applyNumberFormat="1" applyFont="1" applyFill="1"/>
    <xf numFmtId="181" fontId="6" fillId="6" borderId="0" xfId="0" applyNumberFormat="1" applyFont="1" applyFill="1"/>
    <xf numFmtId="182" fontId="13" fillId="9" borderId="6" xfId="0" applyNumberFormat="1" applyFont="1" applyFill="1" applyBorder="1"/>
    <xf numFmtId="182" fontId="13" fillId="9" borderId="2" xfId="0" applyNumberFormat="1" applyFont="1" applyFill="1" applyBorder="1"/>
    <xf numFmtId="0" fontId="6" fillId="6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11600</v>
        <stp/>
        <stp>ru1809</stp>
        <stp>LastPrice</stp>
        <tr r="P37" s="1"/>
        <tr r="P36" s="1"/>
      </tp>
      <tp>
        <v>13565</v>
        <stp/>
        <stp>ru1901</stp>
        <stp>LastPrice</stp>
        <tr r="P38" s="1"/>
      </tp>
      <tp>
        <v>14700</v>
        <stp/>
        <stp>al1808</stp>
        <stp>LastPrice</stp>
        <tr r="P9" s="1"/>
        <tr r="P8" s="1"/>
      </tp>
      <tp>
        <v>488</v>
        <stp/>
        <stp>i1809</stp>
        <stp>LastPrice</stp>
        <tr r="P11" s="9"/>
        <tr r="P28" s="1"/>
        <tr r="P29" s="1"/>
      </tp>
      <tp>
        <v>9258</v>
        <stp/>
        <stp>ap901</stp>
        <stp>LastPrice</stp>
        <tr r="P46" s="1"/>
        <tr r="P45" s="1"/>
        <tr r="P47" s="1"/>
        <tr r="P44" s="1"/>
      </tp>
      <tp>
        <v>3030</v>
        <stp/>
        <stp>m1809</stp>
        <stp>LastPrice</stp>
        <tr r="P21" s="9"/>
        <tr r="P18" s="9"/>
        <tr r="P29" s="9"/>
        <tr r="P26" s="9"/>
      </tp>
      <tp>
        <v>3667</v>
        <stp/>
        <stp>rb1810</stp>
        <stp>LastPrice</stp>
        <tr r="P14" s="9"/>
        <tr r="P20" s="1"/>
        <tr r="P21" s="1"/>
        <tr r="P19" s="1"/>
      </tp>
      <tp>
        <v>3900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15"/>
  <sheetViews>
    <sheetView topLeftCell="A83" zoomScaleNormal="100" workbookViewId="0">
      <selection activeCell="C103" sqref="C103:R11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3" t="s">
        <v>158</v>
      </c>
      <c r="C1" s="123"/>
      <c r="D1" s="123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250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250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250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252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252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252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250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250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250</v>
      </c>
      <c r="D74" s="93">
        <v>43230</v>
      </c>
      <c r="E74" s="93">
        <v>43261</v>
      </c>
      <c r="F74" s="92" t="s">
        <v>253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250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250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250</v>
      </c>
      <c r="D77" s="93">
        <v>43230</v>
      </c>
      <c r="E77" s="93">
        <v>43322</v>
      </c>
      <c r="F77" s="92" t="s">
        <v>253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250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250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250</v>
      </c>
      <c r="D82" s="93">
        <v>43230</v>
      </c>
      <c r="E82" s="93">
        <v>43261</v>
      </c>
      <c r="F82" s="92" t="s">
        <v>254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250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250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250</v>
      </c>
      <c r="D85" s="93">
        <v>43230</v>
      </c>
      <c r="E85" s="93">
        <v>43322</v>
      </c>
      <c r="F85" s="92" t="s">
        <v>254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255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256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257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257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250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250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247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258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234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234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234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234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236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236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18" x14ac:dyDescent="0.15">
      <c r="B113" s="92" t="s">
        <v>160</v>
      </c>
      <c r="C113" s="92" t="s">
        <v>232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18" x14ac:dyDescent="0.15">
      <c r="B114" s="92"/>
      <c r="C114" s="92"/>
      <c r="D114" s="93"/>
      <c r="E114" s="93"/>
      <c r="F114" s="92"/>
      <c r="G114" s="92"/>
      <c r="H114" s="92"/>
      <c r="I114" s="92"/>
      <c r="J114" s="92"/>
      <c r="K114" s="92"/>
      <c r="L114" s="92"/>
      <c r="M114" s="92"/>
      <c r="N114" s="99"/>
      <c r="O114" s="92"/>
      <c r="P114" s="92"/>
      <c r="Q114" s="92"/>
      <c r="R114" s="92"/>
    </row>
    <row r="115" spans="2:18" x14ac:dyDescent="0.15">
      <c r="B115" s="92"/>
      <c r="C115" s="92"/>
      <c r="D115" s="93"/>
      <c r="E115" s="93"/>
      <c r="F115" s="92"/>
      <c r="G115" s="92"/>
      <c r="H115" s="92"/>
      <c r="I115" s="92"/>
      <c r="J115" s="92"/>
      <c r="K115" s="92"/>
      <c r="L115" s="92"/>
      <c r="M115" s="92"/>
      <c r="N115" s="99"/>
      <c r="O115" s="92"/>
      <c r="P115" s="92"/>
      <c r="Q115" s="92"/>
      <c r="R115" s="92"/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8" t="s">
        <v>37</v>
      </c>
      <c r="C1" s="148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3900</v>
      </c>
      <c r="I8" s="19">
        <v>3800</v>
      </c>
      <c r="J8" s="21">
        <f ca="1">TODAY()</f>
        <v>43234</v>
      </c>
      <c r="K8" s="21">
        <f ca="1">J8+L8</f>
        <v>43264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189.76341985366889</v>
      </c>
      <c r="P8" s="25">
        <v>80</v>
      </c>
      <c r="Q8" s="24">
        <f>P8/10000*M8*H8*(-E8)</f>
        <v>2.5643835616438357</v>
      </c>
      <c r="R8" s="24">
        <f>O8+Q8</f>
        <v>192.32780341531273</v>
      </c>
      <c r="S8" s="26">
        <f>R8/H8</f>
        <v>4.9314821388541728E-2</v>
      </c>
      <c r="T8" s="24">
        <f>_xll.dnetGBlackScholesNGreeks("delta",$G8,$H8,$I8,$M8,$C$3,$C$4,$N8,$C$4)</f>
        <v>0.63802132026467007</v>
      </c>
      <c r="U8" s="24">
        <f>_xll.dnetGBlackScholesNGreeks("vega",$G8,$H8,$I8,$M8,$C$3,$C$4,$N8)</f>
        <v>4.1851263761293467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43234</v>
      </c>
      <c r="K9" s="8">
        <f ca="1">J9+L9</f>
        <v>43264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43234</v>
      </c>
      <c r="K10" s="8">
        <f ca="1">J10+L10</f>
        <v>43264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zoomScale="115" zoomScaleNormal="115" workbookViewId="0">
      <pane ySplit="17" topLeftCell="A28" activePane="bottomLeft" state="frozen"/>
      <selection pane="bottomLeft" activeCell="G55" sqref="G55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44" t="s">
        <v>120</v>
      </c>
      <c r="H3" s="144"/>
      <c r="I3" s="144"/>
      <c r="J3" s="144"/>
      <c r="L3" s="140" t="s">
        <v>165</v>
      </c>
      <c r="M3" s="140"/>
      <c r="N3" s="140"/>
      <c r="O3" s="140"/>
      <c r="Q3" s="144" t="s">
        <v>166</v>
      </c>
      <c r="R3" s="144"/>
      <c r="S3" s="144"/>
      <c r="T3" s="144"/>
    </row>
    <row r="4" spans="2:20" ht="12" thickTop="1" thickBot="1" x14ac:dyDescent="0.2">
      <c r="B4" s="141" t="s">
        <v>121</v>
      </c>
      <c r="C4" s="141"/>
      <c r="D4" s="141"/>
      <c r="E4" s="141"/>
      <c r="G4" s="141" t="s">
        <v>34</v>
      </c>
      <c r="H4" s="141"/>
      <c r="I4" s="141"/>
      <c r="J4" s="141"/>
      <c r="L4" s="141" t="s">
        <v>121</v>
      </c>
      <c r="M4" s="141"/>
      <c r="N4" s="141"/>
      <c r="O4" s="141"/>
      <c r="Q4" s="141" t="s">
        <v>34</v>
      </c>
      <c r="R4" s="141"/>
      <c r="S4" s="141"/>
      <c r="T4" s="141"/>
    </row>
    <row r="5" spans="2:20" ht="15" customHeight="1" thickTop="1" x14ac:dyDescent="0.15">
      <c r="B5" s="138" t="s">
        <v>122</v>
      </c>
      <c r="C5" s="138"/>
      <c r="D5" s="142"/>
      <c r="E5" s="143"/>
      <c r="G5" s="138" t="s">
        <v>123</v>
      </c>
      <c r="H5" s="138"/>
      <c r="I5" s="103"/>
      <c r="J5" s="104"/>
      <c r="L5" s="101" t="s">
        <v>122</v>
      </c>
      <c r="M5" s="102"/>
      <c r="N5" s="103"/>
      <c r="O5" s="104"/>
      <c r="Q5" s="138" t="s">
        <v>123</v>
      </c>
      <c r="R5" s="138"/>
      <c r="S5" s="103"/>
      <c r="T5" s="104"/>
    </row>
    <row r="6" spans="2:20" x14ac:dyDescent="0.15">
      <c r="B6" s="138" t="s">
        <v>124</v>
      </c>
      <c r="C6" s="138"/>
      <c r="D6" s="136" t="s">
        <v>125</v>
      </c>
      <c r="E6" s="137"/>
      <c r="G6" s="138" t="s">
        <v>126</v>
      </c>
      <c r="H6" s="138"/>
      <c r="I6" s="136"/>
      <c r="J6" s="137"/>
      <c r="L6" s="138" t="s">
        <v>124</v>
      </c>
      <c r="M6" s="138"/>
      <c r="N6" s="136" t="s">
        <v>125</v>
      </c>
      <c r="O6" s="137"/>
      <c r="Q6" s="138" t="s">
        <v>126</v>
      </c>
      <c r="R6" s="138"/>
      <c r="S6" s="136"/>
      <c r="T6" s="137"/>
    </row>
    <row r="7" spans="2:20" ht="2.25" customHeight="1" x14ac:dyDescent="0.15">
      <c r="B7" s="138" t="s">
        <v>127</v>
      </c>
      <c r="C7" s="138"/>
      <c r="D7" s="136" t="s">
        <v>125</v>
      </c>
      <c r="E7" s="137"/>
      <c r="G7" s="138" t="s">
        <v>128</v>
      </c>
      <c r="H7" s="138"/>
      <c r="I7" s="136"/>
      <c r="J7" s="137"/>
      <c r="L7" s="138" t="s">
        <v>127</v>
      </c>
      <c r="M7" s="138"/>
      <c r="N7" s="136" t="s">
        <v>125</v>
      </c>
      <c r="O7" s="137"/>
      <c r="Q7" s="138" t="s">
        <v>128</v>
      </c>
      <c r="R7" s="138"/>
      <c r="S7" s="136"/>
      <c r="T7" s="137"/>
    </row>
    <row r="8" spans="2:20" hidden="1" x14ac:dyDescent="0.15">
      <c r="B8" s="138" t="s">
        <v>129</v>
      </c>
      <c r="C8" s="138"/>
      <c r="D8" s="136">
        <f>D13*D15</f>
        <v>305000</v>
      </c>
      <c r="E8" s="137"/>
      <c r="G8" s="138" t="s">
        <v>130</v>
      </c>
      <c r="H8" s="138"/>
      <c r="I8" s="136"/>
      <c r="J8" s="137"/>
      <c r="L8" s="138" t="s">
        <v>129</v>
      </c>
      <c r="M8" s="138"/>
      <c r="N8" s="136">
        <f>N14*N16</f>
        <v>305000</v>
      </c>
      <c r="O8" s="137"/>
      <c r="Q8" s="138" t="s">
        <v>130</v>
      </c>
      <c r="R8" s="138"/>
      <c r="S8" s="136"/>
      <c r="T8" s="137"/>
    </row>
    <row r="9" spans="2:20" hidden="1" x14ac:dyDescent="0.15">
      <c r="B9" s="138" t="s">
        <v>131</v>
      </c>
      <c r="C9" s="138"/>
      <c r="D9" s="136" t="s">
        <v>132</v>
      </c>
      <c r="E9" s="137"/>
      <c r="G9" s="138" t="s">
        <v>133</v>
      </c>
      <c r="H9" s="138"/>
      <c r="I9" s="136"/>
      <c r="J9" s="137"/>
      <c r="L9" s="138" t="s">
        <v>131</v>
      </c>
      <c r="M9" s="138"/>
      <c r="N9" s="136" t="s">
        <v>132</v>
      </c>
      <c r="O9" s="137"/>
      <c r="Q9" s="138" t="s">
        <v>133</v>
      </c>
      <c r="R9" s="138"/>
      <c r="S9" s="136"/>
      <c r="T9" s="137"/>
    </row>
    <row r="10" spans="2:20" hidden="1" x14ac:dyDescent="0.15">
      <c r="B10" s="138" t="s">
        <v>134</v>
      </c>
      <c r="C10" s="138"/>
      <c r="D10" s="136">
        <v>43084</v>
      </c>
      <c r="E10" s="137"/>
      <c r="G10" s="105" t="s">
        <v>135</v>
      </c>
      <c r="H10" s="105"/>
      <c r="I10" s="136"/>
      <c r="J10" s="137"/>
      <c r="L10" s="138" t="s">
        <v>134</v>
      </c>
      <c r="M10" s="138"/>
      <c r="N10" s="136">
        <v>43084</v>
      </c>
      <c r="O10" s="137"/>
      <c r="Q10" s="105" t="s">
        <v>135</v>
      </c>
      <c r="R10" s="105"/>
      <c r="S10" s="136"/>
      <c r="T10" s="137"/>
    </row>
    <row r="11" spans="2:20" hidden="1" x14ac:dyDescent="0.15">
      <c r="B11" s="138" t="s">
        <v>136</v>
      </c>
      <c r="C11" s="138"/>
      <c r="D11" s="136">
        <v>3935</v>
      </c>
      <c r="E11" s="137"/>
      <c r="G11" s="138" t="s">
        <v>137</v>
      </c>
      <c r="H11" s="138"/>
      <c r="I11" s="136"/>
      <c r="J11" s="137"/>
      <c r="L11" s="138" t="s">
        <v>136</v>
      </c>
      <c r="M11" s="138"/>
      <c r="N11" s="136">
        <v>3935</v>
      </c>
      <c r="O11" s="137"/>
      <c r="Q11" s="138" t="s">
        <v>137</v>
      </c>
      <c r="R11" s="138"/>
      <c r="S11" s="136"/>
      <c r="T11" s="137"/>
    </row>
    <row r="12" spans="2:20" hidden="1" x14ac:dyDescent="0.15">
      <c r="B12" s="138" t="s">
        <v>138</v>
      </c>
      <c r="C12" s="138"/>
      <c r="D12" s="136">
        <v>3800</v>
      </c>
      <c r="E12" s="137"/>
      <c r="G12" s="138" t="s">
        <v>139</v>
      </c>
      <c r="H12" s="138"/>
      <c r="I12" s="136"/>
      <c r="J12" s="137"/>
      <c r="L12" s="138" t="s">
        <v>163</v>
      </c>
      <c r="M12" s="138"/>
      <c r="N12" s="136">
        <v>3800</v>
      </c>
      <c r="O12" s="137"/>
      <c r="Q12" s="138" t="s">
        <v>167</v>
      </c>
      <c r="R12" s="138"/>
      <c r="S12" s="136"/>
      <c r="T12" s="137"/>
    </row>
    <row r="13" spans="2:20" hidden="1" x14ac:dyDescent="0.15">
      <c r="B13" s="138" t="s">
        <v>140</v>
      </c>
      <c r="C13" s="138"/>
      <c r="D13" s="136">
        <v>61</v>
      </c>
      <c r="E13" s="137"/>
      <c r="G13" s="138" t="s">
        <v>141</v>
      </c>
      <c r="H13" s="138"/>
      <c r="I13" s="136"/>
      <c r="J13" s="137"/>
      <c r="L13" s="138" t="s">
        <v>164</v>
      </c>
      <c r="M13" s="138"/>
      <c r="N13" s="136">
        <v>3800</v>
      </c>
      <c r="O13" s="137"/>
      <c r="Q13" s="138" t="s">
        <v>168</v>
      </c>
      <c r="R13" s="138"/>
      <c r="S13" s="136"/>
      <c r="T13" s="137"/>
    </row>
    <row r="14" spans="2:20" hidden="1" x14ac:dyDescent="0.15">
      <c r="B14" s="138" t="s">
        <v>142</v>
      </c>
      <c r="C14" s="138"/>
      <c r="D14" s="136" t="s">
        <v>143</v>
      </c>
      <c r="E14" s="137"/>
      <c r="G14" s="138" t="s">
        <v>144</v>
      </c>
      <c r="H14" s="138"/>
      <c r="I14" s="106"/>
      <c r="J14" s="107"/>
      <c r="L14" s="138" t="s">
        <v>140</v>
      </c>
      <c r="M14" s="138"/>
      <c r="N14" s="136">
        <v>61</v>
      </c>
      <c r="O14" s="137"/>
      <c r="Q14" s="138" t="s">
        <v>141</v>
      </c>
      <c r="R14" s="138"/>
      <c r="S14" s="136"/>
      <c r="T14" s="137"/>
    </row>
    <row r="15" spans="2:20" hidden="1" x14ac:dyDescent="0.15">
      <c r="B15" s="138" t="s">
        <v>145</v>
      </c>
      <c r="C15" s="138"/>
      <c r="D15" s="136">
        <v>5000</v>
      </c>
      <c r="E15" s="137"/>
      <c r="G15" s="138" t="s">
        <v>146</v>
      </c>
      <c r="H15" s="138"/>
      <c r="I15" s="136"/>
      <c r="J15" s="137"/>
      <c r="L15" s="138" t="s">
        <v>142</v>
      </c>
      <c r="M15" s="138"/>
      <c r="N15" s="136" t="s">
        <v>143</v>
      </c>
      <c r="O15" s="137"/>
      <c r="Q15" s="138" t="s">
        <v>144</v>
      </c>
      <c r="R15" s="138"/>
      <c r="S15" s="106"/>
      <c r="T15" s="107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8" t="s">
        <v>145</v>
      </c>
      <c r="M16" s="138"/>
      <c r="N16" s="136">
        <v>5000</v>
      </c>
      <c r="O16" s="137"/>
      <c r="Q16" s="138" t="s">
        <v>146</v>
      </c>
      <c r="R16" s="138"/>
      <c r="S16" s="136"/>
      <c r="T16" s="137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1" t="s">
        <v>221</v>
      </c>
      <c r="C22" s="131"/>
      <c r="D22" s="131"/>
      <c r="E22" s="131"/>
      <c r="G22" s="131" t="s">
        <v>189</v>
      </c>
      <c r="H22" s="131"/>
      <c r="I22" s="131"/>
      <c r="J22" s="131"/>
      <c r="L22" s="141" t="s">
        <v>189</v>
      </c>
      <c r="M22" s="141"/>
      <c r="N22" s="141"/>
      <c r="O22" s="141"/>
      <c r="Q22" s="131" t="s">
        <v>188</v>
      </c>
      <c r="R22" s="131"/>
      <c r="S22" s="131"/>
      <c r="T22" s="131"/>
      <c r="V22" s="141" t="s">
        <v>189</v>
      </c>
      <c r="W22" s="141"/>
      <c r="X22" s="141"/>
      <c r="Y22" s="141"/>
    </row>
    <row r="23" spans="2:25" ht="12" thickTop="1" x14ac:dyDescent="0.15">
      <c r="B23" s="124" t="s">
        <v>122</v>
      </c>
      <c r="C23" s="124"/>
      <c r="D23" s="130">
        <v>43209</v>
      </c>
      <c r="E23" s="132"/>
      <c r="G23" s="124" t="s">
        <v>122</v>
      </c>
      <c r="H23" s="124"/>
      <c r="I23" s="130">
        <f ca="1">TODAY()</f>
        <v>43234</v>
      </c>
      <c r="J23" s="132"/>
      <c r="L23" s="124" t="s">
        <v>122</v>
      </c>
      <c r="M23" s="124"/>
      <c r="N23" s="130">
        <f ca="1">TODAY()</f>
        <v>43234</v>
      </c>
      <c r="O23" s="132"/>
      <c r="Q23" s="124" t="s">
        <v>122</v>
      </c>
      <c r="R23" s="124"/>
      <c r="S23" s="130">
        <f ca="1">TODAY()-1</f>
        <v>43233</v>
      </c>
      <c r="T23" s="132"/>
      <c r="V23" s="124" t="s">
        <v>122</v>
      </c>
      <c r="W23" s="124"/>
      <c r="X23" s="130">
        <f ca="1">TODAY()-1</f>
        <v>43233</v>
      </c>
      <c r="Y23" s="132"/>
    </row>
    <row r="24" spans="2:25" ht="11.25" x14ac:dyDescent="0.15">
      <c r="B24" s="124" t="s">
        <v>124</v>
      </c>
      <c r="C24" s="124"/>
      <c r="D24" s="125" t="s">
        <v>186</v>
      </c>
      <c r="E24" s="126"/>
      <c r="G24" s="124" t="s">
        <v>124</v>
      </c>
      <c r="H24" s="124"/>
      <c r="I24" s="125" t="s">
        <v>186</v>
      </c>
      <c r="J24" s="126"/>
      <c r="L24" s="124" t="s">
        <v>124</v>
      </c>
      <c r="M24" s="124"/>
      <c r="N24" s="125" t="s">
        <v>36</v>
      </c>
      <c r="O24" s="126"/>
      <c r="Q24" s="124" t="s">
        <v>124</v>
      </c>
      <c r="R24" s="124"/>
      <c r="S24" s="125" t="s">
        <v>36</v>
      </c>
      <c r="T24" s="126"/>
      <c r="V24" s="124" t="s">
        <v>124</v>
      </c>
      <c r="W24" s="124"/>
      <c r="X24" s="125" t="s">
        <v>36</v>
      </c>
      <c r="Y24" s="126"/>
    </row>
    <row r="25" spans="2:25" ht="11.25" x14ac:dyDescent="0.15">
      <c r="B25" s="124" t="s">
        <v>127</v>
      </c>
      <c r="C25" s="124"/>
      <c r="D25" s="125" t="s">
        <v>222</v>
      </c>
      <c r="E25" s="126"/>
      <c r="G25" s="124" t="s">
        <v>127</v>
      </c>
      <c r="H25" s="124"/>
      <c r="I25" s="125" t="s">
        <v>5</v>
      </c>
      <c r="J25" s="126"/>
      <c r="L25" s="124" t="s">
        <v>127</v>
      </c>
      <c r="M25" s="124"/>
      <c r="N25" s="125" t="s">
        <v>195</v>
      </c>
      <c r="O25" s="126"/>
      <c r="Q25" s="124" t="s">
        <v>127</v>
      </c>
      <c r="R25" s="124"/>
      <c r="S25" s="125" t="s">
        <v>187</v>
      </c>
      <c r="T25" s="126"/>
      <c r="V25" s="124" t="s">
        <v>127</v>
      </c>
      <c r="W25" s="124"/>
      <c r="X25" s="125" t="s">
        <v>187</v>
      </c>
      <c r="Y25" s="126"/>
    </row>
    <row r="26" spans="2:25" ht="11.25" x14ac:dyDescent="0.15">
      <c r="B26" s="124" t="s">
        <v>129</v>
      </c>
      <c r="C26" s="124"/>
      <c r="D26" s="125">
        <f>D31*D33</f>
        <v>290000</v>
      </c>
      <c r="E26" s="126"/>
      <c r="G26" s="124" t="s">
        <v>179</v>
      </c>
      <c r="H26" s="124"/>
      <c r="I26" s="125">
        <f>I31*I33</f>
        <v>271800</v>
      </c>
      <c r="J26" s="126"/>
      <c r="L26" s="124" t="s">
        <v>129</v>
      </c>
      <c r="M26" s="124"/>
      <c r="N26" s="125">
        <f>N31*N33</f>
        <v>275000</v>
      </c>
      <c r="O26" s="126"/>
      <c r="Q26" s="124" t="s">
        <v>129</v>
      </c>
      <c r="R26" s="124"/>
      <c r="S26" s="125">
        <f>S31*S33</f>
        <v>235799.99999999997</v>
      </c>
      <c r="T26" s="126"/>
      <c r="V26" s="124" t="s">
        <v>129</v>
      </c>
      <c r="W26" s="124"/>
      <c r="X26" s="125">
        <f>X31*X33</f>
        <v>235799.99999999997</v>
      </c>
      <c r="Y26" s="126"/>
    </row>
    <row r="27" spans="2:25" ht="11.25" x14ac:dyDescent="0.15">
      <c r="B27" s="124" t="s">
        <v>131</v>
      </c>
      <c r="C27" s="124"/>
      <c r="D27" s="125" t="s">
        <v>191</v>
      </c>
      <c r="E27" s="126"/>
      <c r="F27" s="100">
        <f>1160*250</f>
        <v>290000</v>
      </c>
      <c r="G27" s="124" t="s">
        <v>131</v>
      </c>
      <c r="H27" s="124"/>
      <c r="I27" s="125" t="s">
        <v>197</v>
      </c>
      <c r="J27" s="126"/>
      <c r="L27" s="124" t="s">
        <v>131</v>
      </c>
      <c r="M27" s="124"/>
      <c r="N27" s="125" t="s">
        <v>190</v>
      </c>
      <c r="O27" s="126"/>
      <c r="Q27" s="124" t="s">
        <v>131</v>
      </c>
      <c r="R27" s="124"/>
      <c r="S27" s="125" t="s">
        <v>191</v>
      </c>
      <c r="T27" s="126"/>
      <c r="V27" s="124" t="s">
        <v>131</v>
      </c>
      <c r="W27" s="124"/>
      <c r="X27" s="125" t="s">
        <v>190</v>
      </c>
      <c r="Y27" s="126"/>
    </row>
    <row r="28" spans="2:25" ht="11.25" x14ac:dyDescent="0.15">
      <c r="B28" s="124" t="s">
        <v>134</v>
      </c>
      <c r="C28" s="124"/>
      <c r="D28" s="130">
        <v>43222</v>
      </c>
      <c r="E28" s="126"/>
      <c r="G28" s="124" t="s">
        <v>134</v>
      </c>
      <c r="H28" s="124"/>
      <c r="I28" s="130">
        <v>43182</v>
      </c>
      <c r="J28" s="126"/>
      <c r="L28" s="124" t="s">
        <v>134</v>
      </c>
      <c r="M28" s="124"/>
      <c r="N28" s="130">
        <v>43219</v>
      </c>
      <c r="O28" s="126"/>
      <c r="Q28" s="124" t="s">
        <v>134</v>
      </c>
      <c r="R28" s="124"/>
      <c r="S28" s="130">
        <v>43201</v>
      </c>
      <c r="T28" s="126"/>
      <c r="V28" s="124" t="s">
        <v>134</v>
      </c>
      <c r="W28" s="124"/>
      <c r="X28" s="130">
        <v>43201</v>
      </c>
      <c r="Y28" s="126"/>
    </row>
    <row r="29" spans="2:25" ht="11.25" x14ac:dyDescent="0.15">
      <c r="B29" s="124" t="s">
        <v>136</v>
      </c>
      <c r="C29" s="124"/>
      <c r="D29" s="125">
        <v>108500</v>
      </c>
      <c r="E29" s="126"/>
      <c r="G29" s="124" t="s">
        <v>136</v>
      </c>
      <c r="H29" s="124"/>
      <c r="I29" s="125">
        <v>3856</v>
      </c>
      <c r="J29" s="126"/>
      <c r="L29" s="124" t="s">
        <v>136</v>
      </c>
      <c r="M29" s="124"/>
      <c r="N29" s="125">
        <v>3760</v>
      </c>
      <c r="O29" s="126"/>
      <c r="Q29" s="124" t="s">
        <v>136</v>
      </c>
      <c r="R29" s="124"/>
      <c r="S29" s="125">
        <v>524</v>
      </c>
      <c r="T29" s="126"/>
      <c r="V29" s="124" t="s">
        <v>136</v>
      </c>
      <c r="W29" s="124"/>
      <c r="X29" s="125">
        <v>524</v>
      </c>
      <c r="Y29" s="126"/>
    </row>
    <row r="30" spans="2:25" ht="11.25" x14ac:dyDescent="0.15">
      <c r="B30" s="124" t="s">
        <v>138</v>
      </c>
      <c r="C30" s="124"/>
      <c r="D30" s="125">
        <v>110000</v>
      </c>
      <c r="E30" s="126"/>
      <c r="G30" s="124" t="s">
        <v>138</v>
      </c>
      <c r="H30" s="124"/>
      <c r="I30" s="125">
        <v>3930</v>
      </c>
      <c r="J30" s="126"/>
      <c r="L30" s="124" t="s">
        <v>138</v>
      </c>
      <c r="M30" s="124"/>
      <c r="N30" s="125">
        <v>3700</v>
      </c>
      <c r="O30" s="126"/>
      <c r="Q30" s="124" t="s">
        <v>138</v>
      </c>
      <c r="R30" s="124"/>
      <c r="S30" s="125">
        <v>524</v>
      </c>
      <c r="T30" s="126"/>
      <c r="V30" s="124" t="s">
        <v>138</v>
      </c>
      <c r="W30" s="124"/>
      <c r="X30" s="125">
        <v>524</v>
      </c>
      <c r="Y30" s="126"/>
    </row>
    <row r="31" spans="2:25" ht="11.25" x14ac:dyDescent="0.15">
      <c r="B31" s="124" t="s">
        <v>140</v>
      </c>
      <c r="C31" s="124"/>
      <c r="D31" s="125">
        <v>1160</v>
      </c>
      <c r="E31" s="126"/>
      <c r="G31" s="124" t="s">
        <v>198</v>
      </c>
      <c r="H31" s="124"/>
      <c r="I31" s="125">
        <v>27.18</v>
      </c>
      <c r="J31" s="126"/>
      <c r="L31" s="124" t="s">
        <v>140</v>
      </c>
      <c r="M31" s="124"/>
      <c r="N31" s="125">
        <v>55</v>
      </c>
      <c r="O31" s="126"/>
      <c r="Q31" s="124" t="s">
        <v>140</v>
      </c>
      <c r="R31" s="124"/>
      <c r="S31" s="125">
        <v>23.58</v>
      </c>
      <c r="T31" s="126"/>
      <c r="V31" s="124" t="s">
        <v>140</v>
      </c>
      <c r="W31" s="124"/>
      <c r="X31" s="125">
        <v>23.58</v>
      </c>
      <c r="Y31" s="126"/>
    </row>
    <row r="32" spans="2:25" ht="11.25" x14ac:dyDescent="0.15">
      <c r="B32" s="124" t="s">
        <v>142</v>
      </c>
      <c r="C32" s="124"/>
      <c r="D32" s="125" t="s">
        <v>209</v>
      </c>
      <c r="E32" s="126"/>
      <c r="G32" s="124" t="s">
        <v>199</v>
      </c>
      <c r="H32" s="124"/>
      <c r="I32" s="125" t="s">
        <v>196</v>
      </c>
      <c r="J32" s="126"/>
      <c r="L32" s="124" t="s">
        <v>142</v>
      </c>
      <c r="M32" s="124"/>
      <c r="N32" s="125" t="s">
        <v>194</v>
      </c>
      <c r="O32" s="126"/>
      <c r="Q32" s="124" t="s">
        <v>142</v>
      </c>
      <c r="R32" s="124"/>
      <c r="S32" s="125" t="s">
        <v>192</v>
      </c>
      <c r="T32" s="126"/>
      <c r="V32" s="124" t="s">
        <v>142</v>
      </c>
      <c r="W32" s="124"/>
      <c r="X32" s="125" t="s">
        <v>192</v>
      </c>
      <c r="Y32" s="126"/>
    </row>
    <row r="33" spans="2:25" ht="11.25" x14ac:dyDescent="0.15">
      <c r="B33" s="124" t="s">
        <v>145</v>
      </c>
      <c r="C33" s="124"/>
      <c r="D33" s="125">
        <v>250</v>
      </c>
      <c r="E33" s="126"/>
      <c r="G33" s="124" t="s">
        <v>200</v>
      </c>
      <c r="H33" s="124"/>
      <c r="I33" s="125">
        <v>10000</v>
      </c>
      <c r="J33" s="126"/>
      <c r="L33" s="124" t="s">
        <v>145</v>
      </c>
      <c r="M33" s="124"/>
      <c r="N33" s="125">
        <v>5000</v>
      </c>
      <c r="O33" s="126"/>
      <c r="Q33" s="124" t="s">
        <v>145</v>
      </c>
      <c r="R33" s="124"/>
      <c r="S33" s="125">
        <v>10000</v>
      </c>
      <c r="T33" s="126"/>
      <c r="V33" s="124" t="s">
        <v>145</v>
      </c>
      <c r="W33" s="124"/>
      <c r="X33" s="125">
        <v>10000</v>
      </c>
      <c r="Y33" s="126"/>
    </row>
    <row r="34" spans="2:25" ht="12" thickBot="1" x14ac:dyDescent="0.2">
      <c r="B34" s="127" t="s">
        <v>147</v>
      </c>
      <c r="C34" s="127"/>
      <c r="D34" s="128" t="s">
        <v>148</v>
      </c>
      <c r="E34" s="129"/>
      <c r="G34" s="127" t="s">
        <v>147</v>
      </c>
      <c r="H34" s="127"/>
      <c r="I34" s="128" t="s">
        <v>148</v>
      </c>
      <c r="J34" s="129"/>
      <c r="L34" s="127" t="s">
        <v>147</v>
      </c>
      <c r="M34" s="127"/>
      <c r="N34" s="128" t="s">
        <v>148</v>
      </c>
      <c r="O34" s="129"/>
      <c r="Q34" s="127" t="s">
        <v>147</v>
      </c>
      <c r="R34" s="127"/>
      <c r="S34" s="128" t="s">
        <v>148</v>
      </c>
      <c r="T34" s="129"/>
      <c r="V34" s="127" t="s">
        <v>147</v>
      </c>
      <c r="W34" s="127"/>
      <c r="X34" s="128" t="s">
        <v>148</v>
      </c>
      <c r="Y34" s="129"/>
    </row>
    <row r="35" spans="2:25" ht="11.25" thickTop="1" x14ac:dyDescent="0.15"/>
    <row r="36" spans="2:25" ht="12" thickBot="1" x14ac:dyDescent="0.2">
      <c r="B36" s="131" t="s">
        <v>243</v>
      </c>
      <c r="C36" s="131"/>
      <c r="D36" s="131"/>
      <c r="E36" s="131"/>
      <c r="G36" s="131" t="s">
        <v>244</v>
      </c>
      <c r="H36" s="131"/>
      <c r="I36" s="131"/>
      <c r="J36" s="131"/>
      <c r="L36" s="131" t="s">
        <v>206</v>
      </c>
      <c r="M36" s="131"/>
      <c r="N36" s="131"/>
      <c r="O36" s="131"/>
      <c r="Q36" s="131" t="s">
        <v>121</v>
      </c>
      <c r="R36" s="131"/>
      <c r="S36" s="131"/>
      <c r="T36" s="131"/>
    </row>
    <row r="37" spans="2:25" ht="12" thickTop="1" x14ac:dyDescent="0.15">
      <c r="B37" s="124" t="s">
        <v>122</v>
      </c>
      <c r="C37" s="124"/>
      <c r="D37" s="130">
        <v>43229</v>
      </c>
      <c r="E37" s="132"/>
      <c r="G37" s="124" t="s">
        <v>122</v>
      </c>
      <c r="H37" s="124"/>
      <c r="I37" s="130">
        <v>43229</v>
      </c>
      <c r="J37" s="132"/>
      <c r="L37" s="124" t="s">
        <v>122</v>
      </c>
      <c r="M37" s="124"/>
      <c r="N37" s="130">
        <v>43214</v>
      </c>
      <c r="O37" s="132"/>
      <c r="Q37" s="124" t="s">
        <v>122</v>
      </c>
      <c r="R37" s="124"/>
      <c r="S37" s="130">
        <v>43209</v>
      </c>
      <c r="T37" s="132"/>
    </row>
    <row r="38" spans="2:25" ht="11.25" x14ac:dyDescent="0.15">
      <c r="B38" s="124" t="s">
        <v>124</v>
      </c>
      <c r="C38" s="124"/>
      <c r="D38" s="125" t="s">
        <v>187</v>
      </c>
      <c r="E38" s="126"/>
      <c r="G38" s="124" t="s">
        <v>124</v>
      </c>
      <c r="H38" s="124"/>
      <c r="I38" s="125" t="s">
        <v>187</v>
      </c>
      <c r="J38" s="126"/>
      <c r="L38" s="124" t="s">
        <v>124</v>
      </c>
      <c r="M38" s="124"/>
      <c r="N38" s="125" t="s">
        <v>204</v>
      </c>
      <c r="O38" s="126"/>
      <c r="Q38" s="124" t="s">
        <v>124</v>
      </c>
      <c r="R38" s="124"/>
      <c r="S38" s="125" t="s">
        <v>218</v>
      </c>
      <c r="T38" s="126"/>
    </row>
    <row r="39" spans="2:25" ht="11.25" x14ac:dyDescent="0.15">
      <c r="B39" s="124" t="s">
        <v>127</v>
      </c>
      <c r="C39" s="124"/>
      <c r="D39" s="125" t="s">
        <v>226</v>
      </c>
      <c r="E39" s="126"/>
      <c r="G39" s="124" t="s">
        <v>127</v>
      </c>
      <c r="H39" s="124"/>
      <c r="I39" s="125" t="s">
        <v>204</v>
      </c>
      <c r="J39" s="126"/>
      <c r="L39" s="124" t="s">
        <v>127</v>
      </c>
      <c r="M39" s="124"/>
      <c r="N39" s="125" t="s">
        <v>4</v>
      </c>
      <c r="O39" s="126"/>
      <c r="Q39" s="124" t="s">
        <v>127</v>
      </c>
      <c r="R39" s="124"/>
      <c r="S39" s="125" t="s">
        <v>204</v>
      </c>
      <c r="T39" s="126"/>
    </row>
    <row r="40" spans="2:25" ht="11.25" x14ac:dyDescent="0.15">
      <c r="B40" s="124" t="s">
        <v>179</v>
      </c>
      <c r="C40" s="124"/>
      <c r="D40" s="125">
        <f>D47*D45</f>
        <v>410500.00000000006</v>
      </c>
      <c r="E40" s="126"/>
      <c r="G40" s="124" t="s">
        <v>179</v>
      </c>
      <c r="H40" s="124"/>
      <c r="I40" s="125">
        <f>I45*I47</f>
        <v>410500.00000000006</v>
      </c>
      <c r="J40" s="126"/>
      <c r="L40" s="124" t="s">
        <v>129</v>
      </c>
      <c r="M40" s="124"/>
      <c r="N40" s="125">
        <f>N45*N47</f>
        <v>2117500</v>
      </c>
      <c r="O40" s="126"/>
      <c r="Q40" s="124" t="s">
        <v>179</v>
      </c>
      <c r="R40" s="124"/>
      <c r="S40" s="125">
        <f>S45*S47</f>
        <v>1045200</v>
      </c>
      <c r="T40" s="126"/>
    </row>
    <row r="41" spans="2:25" ht="11.25" x14ac:dyDescent="0.15">
      <c r="B41" s="124" t="s">
        <v>131</v>
      </c>
      <c r="C41" s="124"/>
      <c r="D41" s="125" t="s">
        <v>227</v>
      </c>
      <c r="E41" s="126"/>
      <c r="G41" s="124" t="s">
        <v>131</v>
      </c>
      <c r="H41" s="124"/>
      <c r="I41" s="125" t="s">
        <v>219</v>
      </c>
      <c r="J41" s="126"/>
      <c r="L41" s="124" t="s">
        <v>131</v>
      </c>
      <c r="M41" s="124"/>
      <c r="N41" s="125" t="s">
        <v>208</v>
      </c>
      <c r="O41" s="126"/>
      <c r="Q41" s="124" t="s">
        <v>131</v>
      </c>
      <c r="R41" s="124"/>
      <c r="S41" s="125" t="s">
        <v>219</v>
      </c>
      <c r="T41" s="126"/>
    </row>
    <row r="42" spans="2:25" ht="11.25" x14ac:dyDescent="0.15">
      <c r="B42" s="124" t="s">
        <v>134</v>
      </c>
      <c r="C42" s="124"/>
      <c r="D42" s="130">
        <f>D37+98</f>
        <v>43327</v>
      </c>
      <c r="E42" s="126"/>
      <c r="G42" s="124" t="s">
        <v>134</v>
      </c>
      <c r="H42" s="124"/>
      <c r="I42" s="130">
        <f>I37+98</f>
        <v>43327</v>
      </c>
      <c r="J42" s="126"/>
      <c r="L42" s="124" t="s">
        <v>134</v>
      </c>
      <c r="M42" s="124"/>
      <c r="N42" s="130">
        <v>43266</v>
      </c>
      <c r="O42" s="126"/>
      <c r="Q42" s="124" t="s">
        <v>134</v>
      </c>
      <c r="R42" s="124"/>
      <c r="S42" s="130">
        <v>43266</v>
      </c>
      <c r="T42" s="126"/>
    </row>
    <row r="43" spans="2:25" ht="11.25" x14ac:dyDescent="0.15">
      <c r="B43" s="124" t="s">
        <v>136</v>
      </c>
      <c r="C43" s="124"/>
      <c r="D43" s="125">
        <v>470.5</v>
      </c>
      <c r="E43" s="126"/>
      <c r="G43" s="124" t="s">
        <v>136</v>
      </c>
      <c r="H43" s="124"/>
      <c r="I43" s="125">
        <v>470.5</v>
      </c>
      <c r="J43" s="126"/>
      <c r="L43" s="124" t="s">
        <v>136</v>
      </c>
      <c r="M43" s="145"/>
      <c r="N43" s="125">
        <v>14535</v>
      </c>
      <c r="O43" s="126"/>
      <c r="Q43" s="124" t="s">
        <v>136</v>
      </c>
      <c r="R43" s="124"/>
      <c r="S43" s="125">
        <v>15250</v>
      </c>
      <c r="T43" s="126"/>
    </row>
    <row r="44" spans="2:25" ht="11.25" x14ac:dyDescent="0.15">
      <c r="B44" s="124" t="s">
        <v>138</v>
      </c>
      <c r="C44" s="124"/>
      <c r="D44" s="125">
        <v>470.5</v>
      </c>
      <c r="E44" s="126"/>
      <c r="F44" s="100">
        <f>D44*1.55/100</f>
        <v>7.2927499999999998</v>
      </c>
      <c r="G44" s="124" t="s">
        <v>138</v>
      </c>
      <c r="H44" s="124"/>
      <c r="I44" s="125">
        <v>470.5</v>
      </c>
      <c r="J44" s="126"/>
      <c r="L44" s="124" t="s">
        <v>138</v>
      </c>
      <c r="M44" s="124"/>
      <c r="N44" s="125">
        <v>14500</v>
      </c>
      <c r="O44" s="126"/>
      <c r="Q44" s="124" t="s">
        <v>138</v>
      </c>
      <c r="R44" s="124"/>
      <c r="S44" s="125">
        <v>14500</v>
      </c>
      <c r="T44" s="126"/>
    </row>
    <row r="45" spans="2:25" ht="11.25" x14ac:dyDescent="0.15">
      <c r="B45" s="124" t="s">
        <v>140</v>
      </c>
      <c r="C45" s="124"/>
      <c r="D45" s="125">
        <v>32.840000000000003</v>
      </c>
      <c r="E45" s="126"/>
      <c r="G45" s="124" t="s">
        <v>140</v>
      </c>
      <c r="H45" s="124"/>
      <c r="I45" s="125">
        <v>32.840000000000003</v>
      </c>
      <c r="J45" s="126"/>
      <c r="L45" s="124" t="s">
        <v>140</v>
      </c>
      <c r="M45" s="124"/>
      <c r="N45" s="125">
        <v>423.5</v>
      </c>
      <c r="O45" s="126"/>
      <c r="Q45" s="124" t="s">
        <v>198</v>
      </c>
      <c r="R45" s="124"/>
      <c r="S45" s="125">
        <v>209.04</v>
      </c>
      <c r="T45" s="126"/>
    </row>
    <row r="46" spans="2:25" ht="11.25" x14ac:dyDescent="0.15">
      <c r="B46" s="124" t="s">
        <v>199</v>
      </c>
      <c r="C46" s="124"/>
      <c r="D46" s="125" t="s">
        <v>202</v>
      </c>
      <c r="E46" s="126"/>
      <c r="G46" s="124" t="s">
        <v>142</v>
      </c>
      <c r="H46" s="124"/>
      <c r="I46" s="125" t="s">
        <v>202</v>
      </c>
      <c r="J46" s="126"/>
      <c r="L46" s="124" t="s">
        <v>142</v>
      </c>
      <c r="M46" s="124"/>
      <c r="N46" s="125" t="s">
        <v>210</v>
      </c>
      <c r="O46" s="126"/>
      <c r="Q46" s="124" t="s">
        <v>142</v>
      </c>
      <c r="R46" s="124"/>
      <c r="S46" s="125" t="s">
        <v>220</v>
      </c>
      <c r="T46" s="126"/>
    </row>
    <row r="47" spans="2:25" ht="11.25" x14ac:dyDescent="0.15">
      <c r="B47" s="124" t="s">
        <v>145</v>
      </c>
      <c r="C47" s="124"/>
      <c r="D47" s="125">
        <v>12500</v>
      </c>
      <c r="E47" s="126"/>
      <c r="G47" s="124" t="s">
        <v>145</v>
      </c>
      <c r="H47" s="124"/>
      <c r="I47" s="125">
        <v>12500</v>
      </c>
      <c r="J47" s="126"/>
      <c r="L47" s="124" t="s">
        <v>145</v>
      </c>
      <c r="M47" s="124"/>
      <c r="N47" s="125">
        <v>5000</v>
      </c>
      <c r="O47" s="126"/>
      <c r="Q47" s="124" t="s">
        <v>145</v>
      </c>
      <c r="R47" s="124"/>
      <c r="S47" s="125">
        <v>5000</v>
      </c>
      <c r="T47" s="126"/>
    </row>
    <row r="48" spans="2:25" ht="12" thickBot="1" x14ac:dyDescent="0.2">
      <c r="B48" s="127" t="s">
        <v>147</v>
      </c>
      <c r="C48" s="127"/>
      <c r="D48" s="128" t="s">
        <v>228</v>
      </c>
      <c r="E48" s="129"/>
      <c r="G48" s="127" t="s">
        <v>147</v>
      </c>
      <c r="H48" s="127"/>
      <c r="I48" s="128" t="s">
        <v>207</v>
      </c>
      <c r="J48" s="129"/>
      <c r="L48" s="127" t="s">
        <v>147</v>
      </c>
      <c r="M48" s="127"/>
      <c r="N48" s="128" t="s">
        <v>205</v>
      </c>
      <c r="O48" s="129"/>
      <c r="Q48" s="127" t="s">
        <v>147</v>
      </c>
      <c r="R48" s="127"/>
      <c r="S48" s="128" t="s">
        <v>207</v>
      </c>
      <c r="T48" s="129"/>
    </row>
    <row r="49" spans="2:5" ht="12.75" thickTop="1" thickBot="1" x14ac:dyDescent="0.2">
      <c r="B49" s="131" t="s">
        <v>244</v>
      </c>
      <c r="C49" s="131"/>
      <c r="D49" s="131"/>
      <c r="E49" s="131"/>
    </row>
    <row r="50" spans="2:5" ht="12" thickTop="1" x14ac:dyDescent="0.15">
      <c r="B50" s="124" t="s">
        <v>122</v>
      </c>
      <c r="C50" s="124"/>
      <c r="D50" s="130">
        <v>43229</v>
      </c>
      <c r="E50" s="132"/>
    </row>
    <row r="51" spans="2:5" ht="11.25" x14ac:dyDescent="0.15">
      <c r="B51" s="124" t="s">
        <v>124</v>
      </c>
      <c r="C51" s="124"/>
      <c r="D51" s="125" t="s">
        <v>187</v>
      </c>
      <c r="E51" s="126"/>
    </row>
    <row r="52" spans="2:5" ht="11.25" x14ac:dyDescent="0.15">
      <c r="B52" s="124" t="s">
        <v>127</v>
      </c>
      <c r="C52" s="124"/>
      <c r="D52" s="125" t="s">
        <v>204</v>
      </c>
      <c r="E52" s="126"/>
    </row>
    <row r="53" spans="2:5" ht="11.25" x14ac:dyDescent="0.15">
      <c r="B53" s="124" t="s">
        <v>179</v>
      </c>
      <c r="C53" s="124"/>
      <c r="D53" s="125">
        <f>D58*D60</f>
        <v>410500.00000000006</v>
      </c>
      <c r="E53" s="126"/>
    </row>
    <row r="54" spans="2:5" ht="11.25" x14ac:dyDescent="0.15">
      <c r="B54" s="124" t="s">
        <v>131</v>
      </c>
      <c r="C54" s="124"/>
      <c r="D54" s="125" t="s">
        <v>190</v>
      </c>
      <c r="E54" s="126"/>
    </row>
    <row r="55" spans="2:5" ht="11.25" x14ac:dyDescent="0.15">
      <c r="B55" s="124" t="s">
        <v>134</v>
      </c>
      <c r="C55" s="124"/>
      <c r="D55" s="130">
        <f>D50+98</f>
        <v>43327</v>
      </c>
      <c r="E55" s="126"/>
    </row>
    <row r="56" spans="2:5" ht="11.25" x14ac:dyDescent="0.15">
      <c r="B56" s="124" t="s">
        <v>136</v>
      </c>
      <c r="C56" s="124"/>
      <c r="D56" s="125">
        <v>470.5</v>
      </c>
      <c r="E56" s="126"/>
    </row>
    <row r="57" spans="2:5" ht="11.25" x14ac:dyDescent="0.15">
      <c r="B57" s="124" t="s">
        <v>138</v>
      </c>
      <c r="C57" s="124"/>
      <c r="D57" s="125">
        <v>470.5</v>
      </c>
      <c r="E57" s="126"/>
    </row>
    <row r="58" spans="2:5" ht="11.25" x14ac:dyDescent="0.15">
      <c r="B58" s="124" t="s">
        <v>140</v>
      </c>
      <c r="C58" s="124"/>
      <c r="D58" s="125">
        <v>32.840000000000003</v>
      </c>
      <c r="E58" s="126"/>
    </row>
    <row r="59" spans="2:5" ht="11.25" x14ac:dyDescent="0.15">
      <c r="B59" s="124" t="s">
        <v>142</v>
      </c>
      <c r="C59" s="124"/>
      <c r="D59" s="125" t="s">
        <v>202</v>
      </c>
      <c r="E59" s="126"/>
    </row>
    <row r="60" spans="2:5" ht="11.25" x14ac:dyDescent="0.15">
      <c r="B60" s="124" t="s">
        <v>145</v>
      </c>
      <c r="C60" s="124"/>
      <c r="D60" s="125">
        <v>12500</v>
      </c>
      <c r="E60" s="126"/>
    </row>
    <row r="61" spans="2:5" ht="12" thickBot="1" x14ac:dyDescent="0.2">
      <c r="B61" s="127" t="s">
        <v>147</v>
      </c>
      <c r="C61" s="127"/>
      <c r="D61" s="128" t="s">
        <v>207</v>
      </c>
      <c r="E61" s="129"/>
    </row>
    <row r="62" spans="2:5" ht="11.25" thickTop="1" x14ac:dyDescent="0.15"/>
  </sheetData>
  <mergeCells count="35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83"/>
  <sheetViews>
    <sheetView tabSelected="1" topLeftCell="A10" zoomScaleNormal="100" workbookViewId="0">
      <selection activeCell="C33" sqref="C3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6" t="s">
        <v>37</v>
      </c>
      <c r="C1" s="146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43234</v>
      </c>
      <c r="F8" s="8">
        <f t="shared" ref="F8" ca="1" si="1">E8+H8</f>
        <v>43325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-4.3929856249942532</v>
      </c>
      <c r="M8" s="15"/>
      <c r="N8" s="13">
        <f t="shared" ref="N8" si="2">M8/10000*I8*P8</f>
        <v>0</v>
      </c>
      <c r="O8" s="13">
        <f>IF(L8&lt;=0,ABS(L8)+N8,L8-N8)</f>
        <v>4.3929856249942532</v>
      </c>
      <c r="P8" s="11">
        <f>RTD("wdf.rtq",,D8,"LastPrice")</f>
        <v>14700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2.988425595234186E-4</v>
      </c>
      <c r="U8" s="13">
        <f>_xll.dnetGBlackScholesNGreeks("delta",$Q8,$P8,$G8,$I8,$C$3,$J8,$K8,$C$4)*R8</f>
        <v>8.2973723522172804E-3</v>
      </c>
      <c r="V8" s="13">
        <f>_xll.dnetGBlackScholesNGreeks("vega",$Q8,$P8,$G8,$I8,$C$3,$J8,$K8,$C$4)*R8</f>
        <v>-1.6688089457280881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43234</v>
      </c>
      <c r="F9" s="8">
        <f t="shared" ref="F9" ca="1" si="5">E9+H9</f>
        <v>43325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-4.3929856249942532</v>
      </c>
      <c r="M9" s="15"/>
      <c r="N9" s="13">
        <f t="shared" ref="N9:N10" si="6">M9/10000*I9*P9</f>
        <v>0</v>
      </c>
      <c r="O9" s="13">
        <f>IF(L9&lt;=0,ABS(L9)+N9,L9-N9)</f>
        <v>4.3929856249942532</v>
      </c>
      <c r="P9" s="11">
        <f>RTD("wdf.rtq",,D9,"LastPrice")</f>
        <v>14700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2.988425595234186E-4</v>
      </c>
      <c r="U9" s="13">
        <f>_xll.dnetGBlackScholesNGreeks("delta",$Q9,$P9,$G9,$I9,$C$3,$J9,$K9,$C$4)*R9</f>
        <v>8.2973723522172804E-3</v>
      </c>
      <c r="V9" s="13">
        <f>_xll.dnetGBlackScholesNGreeks("vega",$Q9,$P9,$G9,$I9,$C$3,$J9,$K9,$C$4)*R9</f>
        <v>-1.6688089457280881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43234</v>
      </c>
      <c r="F11" s="8">
        <f t="shared" ref="F11" ca="1" si="9">E11+H11</f>
        <v>43235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43234</v>
      </c>
      <c r="F13" s="8">
        <f t="shared" ref="F13" ca="1" si="13">E13+H13</f>
        <v>43265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43234</v>
      </c>
      <c r="F14" s="8">
        <f t="shared" ref="F14" ca="1" si="17">E14+H14</f>
        <v>43294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43234</v>
      </c>
      <c r="F16" s="8">
        <f t="shared" ref="F16" ca="1" si="22">E16+H16</f>
        <v>43265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 x14ac:dyDescent="0.15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43234</v>
      </c>
      <c r="F18" s="8">
        <f t="shared" ref="F18:F21" ca="1" si="26">E18+H18</f>
        <v>43265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 x14ac:dyDescent="0.15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43234</v>
      </c>
      <c r="F19" s="8">
        <f t="shared" ca="1" si="26"/>
        <v>43262</v>
      </c>
      <c r="G19" s="11">
        <v>3300</v>
      </c>
      <c r="H19" s="10">
        <v>28</v>
      </c>
      <c r="I19" s="12">
        <f>H19/365</f>
        <v>7.6712328767123292E-2</v>
      </c>
      <c r="J19" s="12">
        <v>0</v>
      </c>
      <c r="K19" s="9">
        <v>0.22</v>
      </c>
      <c r="L19" s="13">
        <f>_xll.dnetGBlackScholesNGreeks("price",$Q19,$P19,$G19,$I19,$C$3,$J19,$K19,$C$4)*R19</f>
        <v>3.5897281315199336</v>
      </c>
      <c r="M19" s="15"/>
      <c r="N19" s="13">
        <f t="shared" si="27"/>
        <v>0</v>
      </c>
      <c r="O19" s="13">
        <f>IF(L19&lt;=0,ABS(L19)+N19,L19-N19)</f>
        <v>3.5897281315199336</v>
      </c>
      <c r="P19" s="11">
        <f>RTD("wdf.rtq",,D19,"LastPrice")</f>
        <v>3667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9.7892776970819029E-4</v>
      </c>
      <c r="U19" s="13">
        <f>_xll.dnetGBlackScholesNGreeks("delta",$Q19,$P19,$G19,$I19,$C$3,$J19,$K19,$C$4)*R19</f>
        <v>-3.9053435655489466E-2</v>
      </c>
      <c r="V19" s="13">
        <f>_xll.dnetGBlackScholesNGreeks("vega",$Q19,$P19,$G19,$I19,$C$3,$J19,$K19,$C$4)*R19</f>
        <v>0.85809052397934948</v>
      </c>
      <c r="W19" s="114">
        <v>37.799999999999997</v>
      </c>
      <c r="X19" s="115">
        <f>G19-W19</f>
        <v>3262.2</v>
      </c>
      <c r="Y19" s="6">
        <f>500*U19</f>
        <v>-19.526717827744733</v>
      </c>
    </row>
    <row r="20" spans="1:26" ht="10.5" customHeight="1" x14ac:dyDescent="0.15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43234</v>
      </c>
      <c r="F20" s="8">
        <f t="shared" ca="1" si="26"/>
        <v>43262</v>
      </c>
      <c r="G20" s="11">
        <v>3350</v>
      </c>
      <c r="H20" s="10">
        <v>28</v>
      </c>
      <c r="I20" s="12">
        <f>H20/365</f>
        <v>7.6712328767123292E-2</v>
      </c>
      <c r="J20" s="12">
        <v>0</v>
      </c>
      <c r="K20" s="9">
        <v>0.2225</v>
      </c>
      <c r="L20" s="13">
        <f>_xll.dnetGBlackScholesNGreeks("price",$Q20,$P20,$G20,$I20,$C$3,$J20,$K20,$C$4)*R20</f>
        <v>6.8068524723980204</v>
      </c>
      <c r="M20" s="15"/>
      <c r="N20" s="13">
        <f t="shared" si="27"/>
        <v>0</v>
      </c>
      <c r="O20" s="13">
        <f>IF(L20&lt;=0,ABS(L20)+N20,L20-N20)</f>
        <v>6.8068524723980204</v>
      </c>
      <c r="P20" s="11">
        <f>RTD("wdf.rtq",,D20,"LastPrice")</f>
        <v>3667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1.8562455610575458E-3</v>
      </c>
      <c r="U20" s="13">
        <f>_xll.dnetGBlackScholesNGreeks("delta",$Q20,$P20,$G20,$I20,$C$3,$J20,$K20,$C$4)*R20</f>
        <v>-6.6970209016403714E-2</v>
      </c>
      <c r="V20" s="13">
        <f>_xll.dnetGBlackScholesNGreeks("vega",$Q20,$P20,$G20,$I20,$C$3,$J20,$K20,$C$4)*R20</f>
        <v>1.3166593446108692</v>
      </c>
      <c r="W20" s="114">
        <v>37.799999999999997</v>
      </c>
      <c r="X20" s="115">
        <f>G20-W20</f>
        <v>3312.2</v>
      </c>
      <c r="Y20" s="6">
        <f>500*U20</f>
        <v>-33.485104508201857</v>
      </c>
    </row>
    <row r="21" spans="1:26" ht="10.5" customHeight="1" x14ac:dyDescent="0.15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43234</v>
      </c>
      <c r="F21" s="8">
        <f t="shared" ca="1" si="26"/>
        <v>43262</v>
      </c>
      <c r="G21" s="11">
        <v>3400</v>
      </c>
      <c r="H21" s="10">
        <v>28</v>
      </c>
      <c r="I21" s="12">
        <f>H21/365</f>
        <v>7.6712328767123292E-2</v>
      </c>
      <c r="J21" s="12">
        <v>0</v>
      </c>
      <c r="K21" s="9">
        <v>0.22500000000000001</v>
      </c>
      <c r="L21" s="13">
        <f>_xll.dnetGBlackScholesNGreeks("price",$Q21,$P21,$G21,$I21,$C$3,$J21,$K21,$C$4)*R21</f>
        <v>11.994525865916387</v>
      </c>
      <c r="M21" s="15"/>
      <c r="N21" s="13">
        <f t="shared" si="27"/>
        <v>0</v>
      </c>
      <c r="O21" s="13">
        <f>IF(L21&lt;=0,ABS(L21)+N21,L21-N21)</f>
        <v>11.994525865916387</v>
      </c>
      <c r="P21" s="11">
        <f>RTD("wdf.rtq",,D21,"LastPrice")</f>
        <v>3667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3.270936969161818E-3</v>
      </c>
      <c r="U21" s="13">
        <f>_xll.dnetGBlackScholesNGreeks("delta",$Q21,$P21,$G21,$I21,$C$3,$J21,$K21,$C$4)*R21</f>
        <v>-0.10653789397849778</v>
      </c>
      <c r="V21" s="13">
        <f>_xll.dnetGBlackScholesNGreeks("vega",$Q21,$P21,$G21,$I21,$C$3,$J21,$K21,$C$4)*R21</f>
        <v>1.8641474629947652</v>
      </c>
      <c r="W21" s="114">
        <v>37.799999999999997</v>
      </c>
      <c r="X21" s="115">
        <f>G21-W21</f>
        <v>3362.2</v>
      </c>
      <c r="Y21" s="6">
        <f>500*U21</f>
        <v>-53.268946989248889</v>
      </c>
    </row>
    <row r="22" spans="1:26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 x14ac:dyDescent="0.15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43234</v>
      </c>
      <c r="F23" s="8">
        <f t="shared" ref="F23" ca="1" si="30">E23+H23</f>
        <v>43265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 x14ac:dyDescent="0.15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43234</v>
      </c>
      <c r="F25" s="8">
        <f t="shared" ref="F25" ca="1" si="34">E25+H25</f>
        <v>43264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0.14474294812471111</v>
      </c>
      <c r="U27" s="12">
        <f>T27/2</f>
        <v>7.2371474062355556E-2</v>
      </c>
      <c r="V27" s="13"/>
    </row>
    <row r="28" spans="1:26" ht="10.5" customHeight="1" x14ac:dyDescent="0.15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43234</v>
      </c>
      <c r="F28" s="8">
        <f t="shared" ref="F28:F37" ca="1" si="39">E28+H28</f>
        <v>43332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-41.285146515999003</v>
      </c>
      <c r="M28" s="15"/>
      <c r="N28" s="13">
        <f t="shared" ref="N28:N37" si="40">M28/10000*I28*P28</f>
        <v>0</v>
      </c>
      <c r="O28" s="13">
        <f>IF(L28&lt;=0,ABS(L28)+N28,L28-N28)</f>
        <v>41.285146515999003</v>
      </c>
      <c r="P28" s="11">
        <f>RTD("wdf.rtq",,D28,"LastPrice")</f>
        <v>488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8.4600710073768445E-2</v>
      </c>
      <c r="U28" s="13">
        <f>_xll.dnetGBlackScholesNGreeks("delta",$Q28,$P28,$G28,$I28,$C$3,$J28,$K28,$C$4)*R28</f>
        <v>0.51577010058423411</v>
      </c>
      <c r="V28" s="13">
        <f>_xll.dnetGBlackScholesNGreeks("vega",$Q28,$P28,$G28,$I28,$C$3,$J28,$K28,$C$4)*R28</f>
        <v>-1.0022841449771533</v>
      </c>
      <c r="W28" s="114">
        <v>37.799999999999997</v>
      </c>
      <c r="X28" s="115">
        <f>G28-W28</f>
        <v>462.2</v>
      </c>
      <c r="Y28" s="6">
        <f>500*U28</f>
        <v>257.88505029211706</v>
      </c>
      <c r="Z28" s="119">
        <f>U28+U29</f>
        <v>3.6895672243986155E-2</v>
      </c>
    </row>
    <row r="29" spans="1:26" ht="10.5" customHeight="1" x14ac:dyDescent="0.15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43234</v>
      </c>
      <c r="F29" s="8">
        <f t="shared" ca="1" si="39"/>
        <v>43332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-29.349412168860027</v>
      </c>
      <c r="M29" s="15"/>
      <c r="N29" s="13">
        <f t="shared" si="40"/>
        <v>0</v>
      </c>
      <c r="O29" s="13">
        <f>IF(L29&lt;=0,ABS(L29)+N29,L29-N29)</f>
        <v>29.349412168860027</v>
      </c>
      <c r="P29" s="11">
        <f>RTD("wdf.rtq",,D29,"LastPrice")</f>
        <v>488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6.0142238050942681E-2</v>
      </c>
      <c r="U29" s="13">
        <f>_xll.dnetGBlackScholesNGreeks("delta",$Q29,$P29,$G29,$I29,$C$3,$J29,$K29,$C$4)*R29</f>
        <v>-0.47887442834024796</v>
      </c>
      <c r="V29" s="13">
        <f>_xll.dnetGBlackScholesNGreeks("vega",$Q29,$P29,$G29,$I29,$C$3,$J29,$K29,$C$4)*R29</f>
        <v>-1.0022841449771533</v>
      </c>
      <c r="W29" s="114">
        <v>37.799999999999997</v>
      </c>
      <c r="X29" s="115">
        <f>G29-W29</f>
        <v>462.2</v>
      </c>
      <c r="Y29" s="6">
        <f>500*U29</f>
        <v>-239.43721417012398</v>
      </c>
    </row>
    <row r="30" spans="1:26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 x14ac:dyDescent="0.15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43234</v>
      </c>
      <c r="F31" s="8">
        <f t="shared" ca="1" si="39"/>
        <v>43264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 x14ac:dyDescent="0.15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43234</v>
      </c>
      <c r="F32" s="8">
        <f t="shared" ca="1" si="39"/>
        <v>43264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 x14ac:dyDescent="0.15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43234</v>
      </c>
      <c r="F34" s="8">
        <f t="shared" ca="1" si="39"/>
        <v>43264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 x14ac:dyDescent="0.15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43234</v>
      </c>
      <c r="F36" s="8">
        <f t="shared" ca="1" si="39"/>
        <v>43264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-202.58986664822714</v>
      </c>
      <c r="M36" s="15">
        <v>70</v>
      </c>
      <c r="N36" s="13">
        <f t="shared" si="40"/>
        <v>6.6739726027397257</v>
      </c>
      <c r="O36" s="13">
        <f>IF(L36&lt;=0,ABS(L36)+N36,L36-N36)</f>
        <v>209.26383925096687</v>
      </c>
      <c r="P36" s="11">
        <f>RTD("wdf.rtq",,D36,"LastPrice")</f>
        <v>11600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1.8039986142324729E-2</v>
      </c>
      <c r="U36" s="13">
        <f>_xll.dnetGBlackScholesNGreeks("delta",$Q36,$P36,$G36,$I36,$C$3,$J36,$K36,$C$4)*R36</f>
        <v>-0.32493429198439117</v>
      </c>
      <c r="V36" s="13">
        <f>_xll.dnetGBlackScholesNGreeks("vega",$Q36,$P36,$G36,$I36,$C$3,$J36,$K36,$C$4)*R36</f>
        <v>-11.955268173986497</v>
      </c>
      <c r="W36" s="114">
        <v>37.799999999999997</v>
      </c>
      <c r="X36" s="115">
        <f>G36-W36</f>
        <v>12067.2</v>
      </c>
      <c r="Y36" s="6">
        <f>500*U36</f>
        <v>-162.46714599219558</v>
      </c>
    </row>
    <row r="37" spans="1:26" ht="10.5" customHeight="1" x14ac:dyDescent="0.15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43234</v>
      </c>
      <c r="F37" s="8">
        <f t="shared" ca="1" si="39"/>
        <v>43324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-499.81165553928076</v>
      </c>
      <c r="M37" s="15">
        <v>70</v>
      </c>
      <c r="N37" s="13">
        <f t="shared" si="40"/>
        <v>20.021917808219179</v>
      </c>
      <c r="O37" s="13">
        <f>IF(L37&lt;=0,ABS(L37)+N37,L37-N37)</f>
        <v>519.83357334749996</v>
      </c>
      <c r="P37" s="11">
        <f>RTD("wdf.rtq",,D37,"LastPrice")</f>
        <v>11600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4.4813239081681035E-2</v>
      </c>
      <c r="U37" s="13">
        <f>_xll.dnetGBlackScholesNGreeks("delta",$Q37,$P37,$G37,$I37,$C$3,$J37,$K37,$C$4)*R37</f>
        <v>-0.41872459050864563</v>
      </c>
      <c r="V37" s="13">
        <f>_xll.dnetGBlackScholesNGreeks("vega",$Q37,$P37,$G37,$I37,$C$3,$J37,$K37,$C$4)*R37</f>
        <v>-22.413512701150921</v>
      </c>
      <c r="W37" s="114">
        <v>37.799999999999997</v>
      </c>
      <c r="X37" s="115">
        <f>G37-W37</f>
        <v>12067.2</v>
      </c>
      <c r="Y37" s="6">
        <f>500*U37</f>
        <v>-209.36229525432282</v>
      </c>
    </row>
    <row r="38" spans="1:26" ht="10.5" customHeight="1" x14ac:dyDescent="0.15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43234</v>
      </c>
      <c r="F38" s="8">
        <f t="shared" ref="F38" ca="1" si="44">E38+H38</f>
        <v>43334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-1756.4433096703942</v>
      </c>
      <c r="M38" s="15">
        <v>70</v>
      </c>
      <c r="N38" s="13">
        <f t="shared" ref="N38" si="45">M38/10000*I38*P38</f>
        <v>26.015068493150686</v>
      </c>
      <c r="O38" s="13">
        <f>IF(L38&lt;=0,ABS(L38)+N38,L38-N38)</f>
        <v>1782.4583781635449</v>
      </c>
      <c r="P38" s="11">
        <f>RTD("wdf.rtq",,D38,"LastPrice")</f>
        <v>13565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0.13140128110309951</v>
      </c>
      <c r="U38" s="13">
        <f>_xll.dnetGBlackScholesNGreeks("delta",$Q38,$P38,$G38,$I38,$C$3,$J38,$K38,$C$4)*R38</f>
        <v>-0.77600326603715075</v>
      </c>
      <c r="V38" s="13">
        <f>_xll.dnetGBlackScholesNGreeks("vega",$Q38,$P38,$G38,$I38,$C$3,$J38,$K38,$C$4)*R38</f>
        <v>-20.889649371919404</v>
      </c>
      <c r="W38" s="114">
        <v>37.799999999999997</v>
      </c>
      <c r="X38" s="115">
        <f>G38-W38</f>
        <v>12067.2</v>
      </c>
      <c r="Y38" s="6">
        <f>500*U38</f>
        <v>-388.00163301857538</v>
      </c>
    </row>
    <row r="40" spans="1:26" ht="10.5" customHeight="1" x14ac:dyDescent="0.15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43234</v>
      </c>
      <c r="F40" s="8">
        <f t="shared" ref="F40:F41" ca="1" si="48">E40+H40</f>
        <v>43266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1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 x14ac:dyDescent="0.15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43234</v>
      </c>
      <c r="F41" s="8">
        <f t="shared" ca="1" si="48"/>
        <v>43266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1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 x14ac:dyDescent="0.15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43234</v>
      </c>
      <c r="F42" s="8">
        <f t="shared" ref="F42" ca="1" si="52">E42+H42</f>
        <v>43266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1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 x14ac:dyDescent="0.15">
      <c r="E43" s="118"/>
      <c r="F43" s="118"/>
    </row>
    <row r="44" spans="1:26" ht="10.5" customHeight="1" x14ac:dyDescent="0.15">
      <c r="A44" s="34"/>
      <c r="B44" s="13" t="s">
        <v>172</v>
      </c>
      <c r="C44" s="10" t="s">
        <v>160</v>
      </c>
      <c r="D44" s="10" t="s">
        <v>249</v>
      </c>
      <c r="E44" s="8">
        <f ca="1">TODAY()</f>
        <v>43234</v>
      </c>
      <c r="F44" s="8">
        <f t="shared" ref="F44:F45" ca="1" si="56">E44+H44</f>
        <v>43326</v>
      </c>
      <c r="G44" s="11">
        <v>9000</v>
      </c>
      <c r="H44" s="10">
        <v>92</v>
      </c>
      <c r="I44" s="12">
        <f>H44/365</f>
        <v>0.25205479452054796</v>
      </c>
      <c r="J44" s="12">
        <v>0</v>
      </c>
      <c r="K44" s="117">
        <v>0.3</v>
      </c>
      <c r="L44" s="13">
        <f>_xll.dnetGBlackScholesNGreeks("price",$Q44,$P44,$G44,$I44,$C$3,$J44,$K44,$C$4)*R44</f>
        <v>-683.16308216391735</v>
      </c>
      <c r="M44" s="15"/>
      <c r="N44" s="13">
        <f t="shared" ref="N44:N45" si="57">M44/10000*I44*P44</f>
        <v>0</v>
      </c>
      <c r="O44" s="13">
        <f>IF(L44&lt;=0,ABS(L44)+N44,L44-N44)</f>
        <v>683.16308216391735</v>
      </c>
      <c r="P44" s="11">
        <f>RTD("wdf.rtq",,D44,"LastPrice")</f>
        <v>9258</v>
      </c>
      <c r="Q44" s="10" t="s">
        <v>39</v>
      </c>
      <c r="R44" s="10">
        <f t="shared" ref="R44:R45" si="58">IF(S44="中金买入",1,-1)</f>
        <v>-1</v>
      </c>
      <c r="S44" s="10" t="s">
        <v>20</v>
      </c>
      <c r="T44" s="14">
        <f t="shared" ref="T44:T45" si="59">O44/P44</f>
        <v>7.3791648537904223E-2</v>
      </c>
      <c r="U44" s="13">
        <f>_xll.dnetGBlackScholesNGreeks("delta",$Q44,$P44,$G44,$I44,$C$3,$J44,$K44,$C$4)*R44</f>
        <v>-0.60067401454944047</v>
      </c>
      <c r="V44" s="13">
        <f>_xll.dnetGBlackScholesNGreeks("vega",$Q44,$P44,$G44,$I44,$C$3,$J44,$K44,$C$4)*R44</f>
        <v>-17.822191209645098</v>
      </c>
      <c r="W44" s="114">
        <v>37.799999999999997</v>
      </c>
      <c r="X44" s="115">
        <f>G44-W44</f>
        <v>8962.2000000000007</v>
      </c>
      <c r="Y44" s="6">
        <f>500*U44</f>
        <v>-300.33700727472024</v>
      </c>
      <c r="Z44" s="6">
        <f>1000000/P44/10</f>
        <v>10.801468999783971</v>
      </c>
    </row>
    <row r="45" spans="1:26" ht="10.5" customHeight="1" x14ac:dyDescent="0.15">
      <c r="A45" s="34"/>
      <c r="B45" s="13" t="s">
        <v>172</v>
      </c>
      <c r="C45" s="10" t="s">
        <v>160</v>
      </c>
      <c r="D45" s="10" t="s">
        <v>249</v>
      </c>
      <c r="E45" s="8">
        <f ca="1">TODAY()</f>
        <v>43234</v>
      </c>
      <c r="F45" s="8">
        <f t="shared" ca="1" si="56"/>
        <v>43326</v>
      </c>
      <c r="G45" s="11">
        <v>10000</v>
      </c>
      <c r="H45" s="10">
        <v>92</v>
      </c>
      <c r="I45" s="12">
        <f>H45/365</f>
        <v>0.25205479452054796</v>
      </c>
      <c r="J45" s="12">
        <v>0</v>
      </c>
      <c r="K45" s="117">
        <v>0.3</v>
      </c>
      <c r="L45" s="13">
        <f>_xll.dnetGBlackScholesNGreeks("price",$Q45,$P45,$G45,$I45,$C$3,$J45,$K45,$C$4)*R45</f>
        <v>-279.54758330333971</v>
      </c>
      <c r="M45" s="15"/>
      <c r="N45" s="13">
        <f t="shared" si="57"/>
        <v>0</v>
      </c>
      <c r="O45" s="13">
        <f>IF(L45&lt;=0,ABS(L45)+N45,L45-N45)</f>
        <v>279.54758330333971</v>
      </c>
      <c r="P45" s="11">
        <f>RTD("wdf.rtq",,D45,"LastPrice")</f>
        <v>9258</v>
      </c>
      <c r="Q45" s="10" t="s">
        <v>39</v>
      </c>
      <c r="R45" s="10">
        <f t="shared" si="58"/>
        <v>-1</v>
      </c>
      <c r="S45" s="10" t="s">
        <v>20</v>
      </c>
      <c r="T45" s="14">
        <f t="shared" si="59"/>
        <v>3.019524555015551E-2</v>
      </c>
      <c r="U45" s="13">
        <f>_xll.dnetGBlackScholesNGreeks("delta",$Q45,$P45,$G45,$I45,$C$3,$J45,$K45,$C$4)*R45</f>
        <v>-0.32954490518477542</v>
      </c>
      <c r="V45" s="13">
        <f>_xll.dnetGBlackScholesNGreeks("vega",$Q45,$P45,$G45,$I45,$C$3,$J45,$K45,$C$4)*R45</f>
        <v>-16.770248059528967</v>
      </c>
      <c r="W45" s="114">
        <v>37.799999999999997</v>
      </c>
      <c r="X45" s="115">
        <f>G45-W45</f>
        <v>9962.2000000000007</v>
      </c>
      <c r="Y45" s="6">
        <f>500*U45</f>
        <v>-164.77245259238771</v>
      </c>
    </row>
    <row r="46" spans="1:26" ht="10.5" customHeight="1" x14ac:dyDescent="0.15">
      <c r="A46" s="34"/>
      <c r="B46" s="13" t="s">
        <v>172</v>
      </c>
      <c r="C46" s="10" t="s">
        <v>160</v>
      </c>
      <c r="D46" s="10" t="s">
        <v>249</v>
      </c>
      <c r="E46" s="8">
        <f ca="1">TODAY()</f>
        <v>43234</v>
      </c>
      <c r="F46" s="8">
        <f t="shared" ref="F46:F47" ca="1" si="60">E46+H46</f>
        <v>43417</v>
      </c>
      <c r="G46" s="11">
        <v>9000</v>
      </c>
      <c r="H46" s="10">
        <v>183</v>
      </c>
      <c r="I46" s="12">
        <f>H46/365</f>
        <v>0.50136986301369868</v>
      </c>
      <c r="J46" s="12">
        <v>0</v>
      </c>
      <c r="K46" s="117">
        <v>0.3</v>
      </c>
      <c r="L46" s="13">
        <f>_xll.dnetGBlackScholesNGreeks("price",$Q46,$P46,$G46,$I46,$C$3,$J46,$K46,$C$4)*R46</f>
        <v>-898.91810763322883</v>
      </c>
      <c r="M46" s="15"/>
      <c r="N46" s="13">
        <f t="shared" ref="N46:N47" si="61">M46/10000*I46*P46</f>
        <v>0</v>
      </c>
      <c r="O46" s="13">
        <f>IF(L46&lt;=0,ABS(L46)+N46,L46-N46)</f>
        <v>898.91810763322883</v>
      </c>
      <c r="P46" s="11">
        <f>RTD("wdf.rtq",,D46,"LastPrice")</f>
        <v>9258</v>
      </c>
      <c r="Q46" s="10" t="s">
        <v>39</v>
      </c>
      <c r="R46" s="10">
        <f t="shared" ref="R46:R47" si="62">IF(S46="中金买入",1,-1)</f>
        <v>-1</v>
      </c>
      <c r="S46" s="10" t="s">
        <v>20</v>
      </c>
      <c r="T46" s="14">
        <f t="shared" ref="T46:T47" si="63">O46/P46</f>
        <v>9.7096360729447925E-2</v>
      </c>
      <c r="U46" s="13">
        <f>_xll.dnetGBlackScholesNGreeks("delta",$Q46,$P46,$G46,$I46,$C$3,$J46,$K46,$C$4)*R46</f>
        <v>-0.58861769248323981</v>
      </c>
      <c r="V46" s="13">
        <f>_xll.dnetGBlackScholesNGreeks("vega",$Q46,$P46,$G46,$I46,$C$3,$J46,$K46,$C$4)*R46</f>
        <v>-25.160265101677396</v>
      </c>
      <c r="W46" s="114">
        <v>37.799999999999997</v>
      </c>
      <c r="X46" s="115">
        <f>G46-W46</f>
        <v>8962.2000000000007</v>
      </c>
      <c r="Y46" s="6">
        <f>500*U46</f>
        <v>-294.3088462416199</v>
      </c>
      <c r="Z46" s="6">
        <f>638*U46</f>
        <v>-375.538087804307</v>
      </c>
    </row>
    <row r="47" spans="1:26" ht="10.5" customHeight="1" x14ac:dyDescent="0.15">
      <c r="A47" s="34"/>
      <c r="B47" s="13" t="s">
        <v>172</v>
      </c>
      <c r="C47" s="10" t="s">
        <v>160</v>
      </c>
      <c r="D47" s="10" t="s">
        <v>249</v>
      </c>
      <c r="E47" s="8">
        <f ca="1">TODAY()</f>
        <v>43234</v>
      </c>
      <c r="F47" s="8">
        <f t="shared" ca="1" si="60"/>
        <v>43417</v>
      </c>
      <c r="G47" s="11">
        <v>10000</v>
      </c>
      <c r="H47" s="10">
        <v>183</v>
      </c>
      <c r="I47" s="12">
        <f>H47/365</f>
        <v>0.50136986301369868</v>
      </c>
      <c r="J47" s="12">
        <v>0</v>
      </c>
      <c r="K47" s="117">
        <v>0.3</v>
      </c>
      <c r="L47" s="13">
        <f>_xll.dnetGBlackScholesNGreeks("price",$Q47,$P47,$G47,$I47,$C$3,$J47,$K47,$C$4)*R47</f>
        <v>-491.35021583286834</v>
      </c>
      <c r="M47" s="15"/>
      <c r="N47" s="13">
        <f t="shared" si="61"/>
        <v>0</v>
      </c>
      <c r="O47" s="13">
        <f>IF(L47&lt;=0,ABS(L47)+N47,L47-N47)</f>
        <v>491.35021583286834</v>
      </c>
      <c r="P47" s="11">
        <f>RTD("wdf.rtq",,D47,"LastPrice")</f>
        <v>9258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5.3073041243558904E-2</v>
      </c>
      <c r="U47" s="13">
        <f>_xll.dnetGBlackScholesNGreeks("delta",$Q47,$P47,$G47,$I47,$C$3,$J47,$K47,$C$4)*R47</f>
        <v>-0.39471536958899378</v>
      </c>
      <c r="V47" s="13">
        <f>_xll.dnetGBlackScholesNGreeks("vega",$Q47,$P47,$G47,$I47,$C$3,$J47,$K47,$C$4)*R47</f>
        <v>-25.04999342119072</v>
      </c>
      <c r="W47" s="114">
        <v>37.799999999999997</v>
      </c>
      <c r="X47" s="115">
        <f>G47-W47</f>
        <v>9962.2000000000007</v>
      </c>
      <c r="Y47" s="6">
        <f>500*U47</f>
        <v>-197.35768479449689</v>
      </c>
    </row>
    <row r="49" spans="1:26" ht="10.5" customHeight="1" x14ac:dyDescent="0.15">
      <c r="A49" s="34"/>
      <c r="B49" s="13" t="s">
        <v>172</v>
      </c>
      <c r="C49" s="10" t="s">
        <v>160</v>
      </c>
      <c r="D49" s="10" t="s">
        <v>235</v>
      </c>
      <c r="E49" s="8">
        <f ca="1">TODAY()</f>
        <v>43234</v>
      </c>
      <c r="F49" s="8">
        <f t="shared" ref="F49:F60" ca="1" si="64">E49+H49</f>
        <v>43265</v>
      </c>
      <c r="G49" s="11">
        <f>P49</f>
        <v>100</v>
      </c>
      <c r="H49" s="10">
        <v>31</v>
      </c>
      <c r="I49" s="12">
        <f>H49/365</f>
        <v>8.4931506849315067E-2</v>
      </c>
      <c r="J49" s="12">
        <v>0</v>
      </c>
      <c r="K49" s="117">
        <v>0.17</v>
      </c>
      <c r="L49" s="13">
        <f>_xll.dnetGBlackScholesNGreeks("price",$Q49,$P49,$G49,$I49,$C$3,$J49,$K49,$C$4)*R49</f>
        <v>1.9729282070317495</v>
      </c>
      <c r="M49" s="15"/>
      <c r="N49" s="13">
        <f t="shared" ref="N49:N60" si="65">M49/10000*I49*P49</f>
        <v>0</v>
      </c>
      <c r="O49" s="13">
        <f>IF(L49&lt;=0,ABS(L49)+N49,L49-N49)</f>
        <v>1.9729282070317495</v>
      </c>
      <c r="P49" s="11">
        <v>100</v>
      </c>
      <c r="Q49" s="10" t="s">
        <v>39</v>
      </c>
      <c r="R49" s="10">
        <f t="shared" ref="R49:R60" si="66">IF(S49="中金买入",1,-1)</f>
        <v>1</v>
      </c>
      <c r="S49" s="10" t="s">
        <v>151</v>
      </c>
      <c r="T49" s="14">
        <f t="shared" ref="T49:T60" si="67">O49/P49</f>
        <v>1.9729282070317496E-2</v>
      </c>
      <c r="U49" s="13">
        <f>_xll.dnetGBlackScholesNGreeks("delta",$Q49,$P49,$G49,$I49,$C$3,$J49,$K49,$C$4)*R49</f>
        <v>0.50901602680397673</v>
      </c>
      <c r="V49" s="13">
        <f>_xll.dnetGBlackScholesNGreeks("vega",$Q49,$P49,$G49,$I49,$C$3,$J49,$K49,$C$4)*R49</f>
        <v>0.11603082311971136</v>
      </c>
      <c r="W49" s="114">
        <v>37.799999999999997</v>
      </c>
      <c r="X49" s="115">
        <f>G49-W49</f>
        <v>62.2</v>
      </c>
      <c r="Y49" s="6">
        <f>500*U49</f>
        <v>254.50801340198836</v>
      </c>
      <c r="Z49" s="6">
        <f>1000000/P49/10</f>
        <v>1000</v>
      </c>
    </row>
    <row r="50" spans="1:26" ht="10.5" customHeight="1" x14ac:dyDescent="0.15">
      <c r="A50" s="34"/>
      <c r="B50" s="13" t="s">
        <v>172</v>
      </c>
      <c r="C50" s="10" t="s">
        <v>160</v>
      </c>
      <c r="D50" s="10" t="s">
        <v>235</v>
      </c>
      <c r="E50" s="8">
        <f ca="1">TODAY()</f>
        <v>43234</v>
      </c>
      <c r="F50" s="8">
        <f t="shared" ca="1" si="64"/>
        <v>43265</v>
      </c>
      <c r="G50" s="11">
        <f>P50</f>
        <v>100</v>
      </c>
      <c r="H50" s="10">
        <v>31</v>
      </c>
      <c r="I50" s="12">
        <f>H50/365</f>
        <v>8.4931506849315067E-2</v>
      </c>
      <c r="J50" s="12">
        <v>0</v>
      </c>
      <c r="K50" s="117">
        <v>0.23</v>
      </c>
      <c r="L50" s="13">
        <f>_xll.dnetGBlackScholesNGreeks("price",$Q50,$P50,$G50,$I50,$C$3,$J50,$K50,$C$4)*R50</f>
        <v>-2.6690291414690392</v>
      </c>
      <c r="M50" s="15"/>
      <c r="N50" s="13">
        <f t="shared" si="65"/>
        <v>0</v>
      </c>
      <c r="O50" s="13">
        <f>IF(L50&lt;=0,ABS(L50)+N50,L50-N50)</f>
        <v>2.6690291414690392</v>
      </c>
      <c r="P50" s="11">
        <v>100</v>
      </c>
      <c r="Q50" s="10" t="s">
        <v>39</v>
      </c>
      <c r="R50" s="10">
        <f t="shared" si="66"/>
        <v>-1</v>
      </c>
      <c r="S50" s="10" t="s">
        <v>20</v>
      </c>
      <c r="T50" s="14">
        <f t="shared" si="67"/>
        <v>2.6690291414690391E-2</v>
      </c>
      <c r="U50" s="13">
        <f>_xll.dnetGBlackScholesNGreeks("delta",$Q50,$P50,$G50,$I50,$C$3,$J50,$K50,$C$4)*R50</f>
        <v>-0.51249653672087447</v>
      </c>
      <c r="V50" s="13">
        <f>_xll.dnetGBlackScholesNGreeks("vega",$Q50,$P50,$G50,$I50,$C$3,$J50,$K50,$C$4)*R50</f>
        <v>-0.1160012628887479</v>
      </c>
      <c r="W50" s="114">
        <v>37.799999999999997</v>
      </c>
      <c r="X50" s="115">
        <f>G50-W50</f>
        <v>62.2</v>
      </c>
      <c r="Y50" s="6">
        <f>500*U50</f>
        <v>-256.24826836043724</v>
      </c>
    </row>
    <row r="51" spans="1:26" ht="10.5" customHeight="1" x14ac:dyDescent="0.15">
      <c r="A51" s="34"/>
      <c r="B51" s="13"/>
      <c r="C51" s="10"/>
      <c r="D51" s="10"/>
      <c r="E51" s="8"/>
      <c r="F51" s="8"/>
      <c r="G51" s="11">
        <f t="shared" ref="G51:G58" si="68">P51</f>
        <v>100</v>
      </c>
      <c r="H51" s="10"/>
      <c r="I51" s="12"/>
      <c r="J51" s="12"/>
      <c r="K51" s="117"/>
      <c r="L51" s="13"/>
      <c r="M51" s="15"/>
      <c r="N51" s="13"/>
      <c r="O51" s="13"/>
      <c r="P51" s="11">
        <v>100</v>
      </c>
      <c r="Q51" s="10"/>
      <c r="R51" s="10"/>
      <c r="S51" s="10"/>
      <c r="T51" s="14"/>
      <c r="U51" s="13"/>
      <c r="V51" s="13"/>
      <c r="W51" s="114"/>
      <c r="X51" s="115"/>
    </row>
    <row r="52" spans="1:26" ht="10.5" customHeight="1" x14ac:dyDescent="0.15">
      <c r="A52" s="34"/>
      <c r="B52" s="13" t="s">
        <v>172</v>
      </c>
      <c r="C52" s="10" t="s">
        <v>160</v>
      </c>
      <c r="D52" s="10" t="s">
        <v>235</v>
      </c>
      <c r="E52" s="8">
        <f ca="1">TODAY()</f>
        <v>43234</v>
      </c>
      <c r="F52" s="8">
        <f t="shared" ref="F52:F53" ca="1" si="69">E52+H52</f>
        <v>43295</v>
      </c>
      <c r="G52" s="11">
        <f t="shared" si="68"/>
        <v>100</v>
      </c>
      <c r="H52" s="10">
        <v>61</v>
      </c>
      <c r="I52" s="12">
        <f>H52/365</f>
        <v>0.16712328767123288</v>
      </c>
      <c r="J52" s="12">
        <v>0</v>
      </c>
      <c r="K52" s="117">
        <v>0.17499999999999999</v>
      </c>
      <c r="L52" s="13">
        <f>_xll.dnetGBlackScholesNGreeks("price",$Q52,$P52,$G52,$I52,$C$3,$J52,$K52,$C$4)*R52</f>
        <v>2.8439527536967617</v>
      </c>
      <c r="M52" s="15"/>
      <c r="N52" s="13">
        <f t="shared" ref="N52:N53" si="70">M52/10000*I52*P52</f>
        <v>0</v>
      </c>
      <c r="O52" s="13">
        <f>IF(L52&lt;=0,ABS(L52)+N52,L52-N52)</f>
        <v>2.8439527536967617</v>
      </c>
      <c r="P52" s="11">
        <v>100</v>
      </c>
      <c r="Q52" s="10" t="s">
        <v>39</v>
      </c>
      <c r="R52" s="10">
        <f t="shared" ref="R52:R53" si="71">IF(S52="中金买入",1,-1)</f>
        <v>1</v>
      </c>
      <c r="S52" s="10" t="s">
        <v>151</v>
      </c>
      <c r="T52" s="14">
        <f t="shared" ref="T52:T53" si="72">O52/P52</f>
        <v>2.8439527536967615E-2</v>
      </c>
      <c r="U52" s="13">
        <f>_xll.dnetGBlackScholesNGreeks("delta",$Q52,$P52,$G52,$I52,$C$3,$J52,$K52,$C$4)*R52</f>
        <v>0.51255130691636452</v>
      </c>
      <c r="V52" s="13">
        <f>_xll.dnetGBlackScholesNGreeks("vega",$Q52,$P52,$G52,$I52,$C$3,$J52,$K52,$C$4)*R52</f>
        <v>0.16244217154652674</v>
      </c>
      <c r="W52" s="114">
        <v>37.799999999999997</v>
      </c>
      <c r="X52" s="115">
        <f>G52-W52</f>
        <v>62.2</v>
      </c>
      <c r="Y52" s="6">
        <f>500*U52</f>
        <v>256.27565345818226</v>
      </c>
      <c r="Z52" s="6">
        <f>1000000/P52/10</f>
        <v>1000</v>
      </c>
    </row>
    <row r="53" spans="1:26" ht="10.5" customHeight="1" x14ac:dyDescent="0.15">
      <c r="A53" s="34"/>
      <c r="B53" s="13" t="s">
        <v>172</v>
      </c>
      <c r="C53" s="10" t="s">
        <v>160</v>
      </c>
      <c r="D53" s="10" t="s">
        <v>235</v>
      </c>
      <c r="E53" s="8">
        <f ca="1">TODAY()</f>
        <v>43234</v>
      </c>
      <c r="F53" s="8">
        <f t="shared" ca="1" si="69"/>
        <v>43295</v>
      </c>
      <c r="G53" s="11">
        <f t="shared" si="68"/>
        <v>100</v>
      </c>
      <c r="H53" s="10">
        <v>61</v>
      </c>
      <c r="I53" s="12">
        <f>H53/365</f>
        <v>0.16712328767123288</v>
      </c>
      <c r="J53" s="12">
        <v>0</v>
      </c>
      <c r="K53" s="117">
        <v>0.24</v>
      </c>
      <c r="L53" s="13">
        <f>_xll.dnetGBlackScholesNGreeks("price",$Q53,$P53,$G53,$I53,$C$3,$J53,$K53,$C$4)*R53</f>
        <v>-3.8995456842853713</v>
      </c>
      <c r="M53" s="15"/>
      <c r="N53" s="13">
        <f t="shared" si="70"/>
        <v>0</v>
      </c>
      <c r="O53" s="13">
        <f>IF(L53&lt;=0,ABS(L53)+N53,L53-N53)</f>
        <v>3.8995456842853713</v>
      </c>
      <c r="P53" s="11">
        <v>100</v>
      </c>
      <c r="Q53" s="10" t="s">
        <v>39</v>
      </c>
      <c r="R53" s="10">
        <f t="shared" si="71"/>
        <v>-1</v>
      </c>
      <c r="S53" s="10" t="s">
        <v>20</v>
      </c>
      <c r="T53" s="14">
        <f t="shared" si="72"/>
        <v>3.8995456842853715E-2</v>
      </c>
      <c r="U53" s="13">
        <f>_xll.dnetGBlackScholesNGreeks("delta",$Q53,$P53,$G53,$I53,$C$3,$J53,$K53,$C$4)*R53</f>
        <v>-0.51782927533601253</v>
      </c>
      <c r="V53" s="13">
        <f>_xll.dnetGBlackScholesNGreeks("vega",$Q53,$P53,$G53,$I53,$C$3,$J53,$K53,$C$4)*R53</f>
        <v>-0.16235065823777362</v>
      </c>
      <c r="W53" s="114">
        <v>37.799999999999997</v>
      </c>
      <c r="X53" s="115">
        <f>G53-W53</f>
        <v>62.2</v>
      </c>
      <c r="Y53" s="6">
        <f>500*U53</f>
        <v>-258.91463766800626</v>
      </c>
    </row>
    <row r="54" spans="1:26" ht="10.5" customHeight="1" x14ac:dyDescent="0.15">
      <c r="A54" s="34"/>
      <c r="B54" s="13"/>
      <c r="C54" s="10"/>
      <c r="D54" s="10"/>
      <c r="E54" s="8"/>
      <c r="F54" s="8"/>
      <c r="G54" s="11">
        <f t="shared" si="68"/>
        <v>100</v>
      </c>
      <c r="H54" s="10"/>
      <c r="I54" s="12"/>
      <c r="J54" s="12"/>
      <c r="K54" s="117"/>
      <c r="L54" s="13"/>
      <c r="M54" s="15"/>
      <c r="N54" s="13"/>
      <c r="O54" s="13"/>
      <c r="P54" s="11">
        <v>100</v>
      </c>
      <c r="Q54" s="10"/>
      <c r="R54" s="10"/>
      <c r="S54" s="10"/>
      <c r="T54" s="14"/>
      <c r="U54" s="13"/>
      <c r="V54" s="13"/>
      <c r="W54" s="114"/>
      <c r="X54" s="115"/>
    </row>
    <row r="55" spans="1:26" ht="10.5" customHeight="1" x14ac:dyDescent="0.15">
      <c r="A55" s="34"/>
      <c r="B55" s="13" t="s">
        <v>172</v>
      </c>
      <c r="C55" s="10" t="s">
        <v>160</v>
      </c>
      <c r="D55" s="10" t="s">
        <v>237</v>
      </c>
      <c r="E55" s="8">
        <f ca="1">TODAY()</f>
        <v>43234</v>
      </c>
      <c r="F55" s="8">
        <f t="shared" ca="1" si="64"/>
        <v>43265</v>
      </c>
      <c r="G55" s="11">
        <f t="shared" si="68"/>
        <v>100</v>
      </c>
      <c r="H55" s="10">
        <v>31</v>
      </c>
      <c r="I55" s="12">
        <f>H55/365</f>
        <v>8.4931506849315067E-2</v>
      </c>
      <c r="J55" s="12">
        <v>0</v>
      </c>
      <c r="K55" s="117">
        <v>0.14899999999999999</v>
      </c>
      <c r="L55" s="13">
        <f>_xll.dnetGBlackScholesNGreeks("price",$Q55,$P55,$G55,$I55,$C$3,$J55,$K55,$C$4)*R55</f>
        <v>1.7292545372965478</v>
      </c>
      <c r="M55" s="15"/>
      <c r="N55" s="13">
        <f t="shared" si="65"/>
        <v>0</v>
      </c>
      <c r="O55" s="13">
        <f>IF(L55&lt;=0,ABS(L55)+N55,L55-N55)</f>
        <v>1.7292545372965478</v>
      </c>
      <c r="P55" s="11">
        <v>100</v>
      </c>
      <c r="Q55" s="10" t="s">
        <v>39</v>
      </c>
      <c r="R55" s="10">
        <f t="shared" si="66"/>
        <v>1</v>
      </c>
      <c r="S55" s="10" t="s">
        <v>151</v>
      </c>
      <c r="T55" s="14">
        <f t="shared" si="67"/>
        <v>1.7292545372965477E-2</v>
      </c>
      <c r="U55" s="13">
        <f>_xll.dnetGBlackScholesNGreeks("delta",$Q55,$P55,$G55,$I55,$C$3,$J55,$K55,$C$4)*R55</f>
        <v>0.50779765562225521</v>
      </c>
      <c r="V55" s="13">
        <f>_xll.dnetGBlackScholesNGreeks("vega",$Q55,$P55,$G55,$I55,$C$3,$J55,$K55,$C$4)*R55</f>
        <v>0.11603907546383851</v>
      </c>
      <c r="W55" s="114">
        <v>37.799999999999997</v>
      </c>
      <c r="X55" s="115">
        <f>G55-W55</f>
        <v>62.2</v>
      </c>
      <c r="Y55" s="6">
        <f>500*U55</f>
        <v>253.8988278111276</v>
      </c>
      <c r="Z55" s="6">
        <f>638*U55</f>
        <v>323.97490428699882</v>
      </c>
    </row>
    <row r="56" spans="1:26" ht="12" customHeight="1" x14ac:dyDescent="0.15">
      <c r="A56" s="34"/>
      <c r="B56" s="13" t="s">
        <v>172</v>
      </c>
      <c r="C56" s="10" t="s">
        <v>160</v>
      </c>
      <c r="D56" s="10" t="s">
        <v>237</v>
      </c>
      <c r="E56" s="8">
        <f ca="1">TODAY()</f>
        <v>43234</v>
      </c>
      <c r="F56" s="8">
        <f t="shared" ca="1" si="64"/>
        <v>43265</v>
      </c>
      <c r="G56" s="11">
        <f t="shared" si="68"/>
        <v>100</v>
      </c>
      <c r="H56" s="10">
        <v>31</v>
      </c>
      <c r="I56" s="12">
        <f>H56/365</f>
        <v>8.4931506849315067E-2</v>
      </c>
      <c r="J56" s="12">
        <v>0</v>
      </c>
      <c r="K56" s="117">
        <v>0.19900000000000001</v>
      </c>
      <c r="L56" s="13">
        <f>_xll.dnetGBlackScholesNGreeks("price",$Q56,$P56,$G56,$I56,$C$3,$J56,$K56,$C$4)*R56</f>
        <v>-2.3093991008004622</v>
      </c>
      <c r="M56" s="15"/>
      <c r="N56" s="13">
        <f t="shared" si="65"/>
        <v>0</v>
      </c>
      <c r="O56" s="13">
        <f>IF(L56&lt;=0,ABS(L56)+N56,L56-N56)</f>
        <v>2.3093991008004622</v>
      </c>
      <c r="P56" s="11">
        <v>100</v>
      </c>
      <c r="Q56" s="10" t="s">
        <v>39</v>
      </c>
      <c r="R56" s="10">
        <f t="shared" si="66"/>
        <v>-1</v>
      </c>
      <c r="S56" s="10" t="s">
        <v>20</v>
      </c>
      <c r="T56" s="14">
        <f t="shared" si="67"/>
        <v>2.3093991008004622E-2</v>
      </c>
      <c r="U56" s="13">
        <f>_xll.dnetGBlackScholesNGreeks("delta",$Q56,$P56,$G56,$I56,$C$3,$J56,$K56,$C$4)*R56</f>
        <v>-0.51069838420225722</v>
      </c>
      <c r="V56" s="13">
        <f>_xll.dnetGBlackScholesNGreeks("vega",$Q56,$P56,$G56,$I56,$C$3,$J56,$K56,$C$4)*R56</f>
        <v>-0.11601764202129061</v>
      </c>
      <c r="W56" s="114">
        <v>37.799999999999997</v>
      </c>
      <c r="X56" s="115">
        <f>G56-W56</f>
        <v>62.2</v>
      </c>
      <c r="Y56" s="6">
        <f>500*U56</f>
        <v>-255.34919210112861</v>
      </c>
    </row>
    <row r="57" spans="1:26" ht="12" customHeight="1" x14ac:dyDescent="0.15">
      <c r="A57" s="34"/>
      <c r="B57" s="13"/>
      <c r="C57" s="10"/>
      <c r="D57" s="10"/>
      <c r="E57" s="8"/>
      <c r="F57" s="8"/>
      <c r="G57" s="11">
        <f t="shared" si="68"/>
        <v>100</v>
      </c>
      <c r="H57" s="10"/>
      <c r="I57" s="12"/>
      <c r="J57" s="12"/>
      <c r="K57" s="117"/>
      <c r="L57" s="13"/>
      <c r="M57" s="15"/>
      <c r="N57" s="13"/>
      <c r="O57" s="13"/>
      <c r="P57" s="11">
        <v>100</v>
      </c>
      <c r="Q57" s="10"/>
      <c r="R57" s="10"/>
      <c r="S57" s="10"/>
      <c r="T57" s="14"/>
      <c r="U57" s="13"/>
      <c r="V57" s="13"/>
      <c r="W57" s="114"/>
      <c r="X57" s="115"/>
    </row>
    <row r="58" spans="1:26" ht="12" customHeight="1" x14ac:dyDescent="0.15">
      <c r="A58" s="34"/>
      <c r="B58" s="13" t="s">
        <v>172</v>
      </c>
      <c r="C58" s="10" t="s">
        <v>160</v>
      </c>
      <c r="D58" s="10" t="s">
        <v>233</v>
      </c>
      <c r="E58" s="8">
        <f ca="1">TODAY()</f>
        <v>43234</v>
      </c>
      <c r="F58" s="8">
        <f t="shared" ref="F58" ca="1" si="73">E58+H58</f>
        <v>43265</v>
      </c>
      <c r="G58" s="11">
        <f t="shared" si="68"/>
        <v>100</v>
      </c>
      <c r="H58" s="10">
        <v>31</v>
      </c>
      <c r="I58" s="12">
        <f>H58/365</f>
        <v>8.4931506849315067E-2</v>
      </c>
      <c r="J58" s="12">
        <v>0</v>
      </c>
      <c r="K58" s="117">
        <v>0.1075</v>
      </c>
      <c r="L58" s="13">
        <f>_xll.dnetGBlackScholesNGreeks("price",$Q58,$P58,$G58,$I58,$C$3,$J58,$K58,$C$4)*R58</f>
        <v>1.2476635246627694</v>
      </c>
      <c r="M58" s="15"/>
      <c r="N58" s="13">
        <f t="shared" ref="N58" si="74">M58/10000*I58*P58</f>
        <v>0</v>
      </c>
      <c r="O58" s="13">
        <f>IF(L58&lt;=0,ABS(L58)+N58,L58-N58)</f>
        <v>1.2476635246627694</v>
      </c>
      <c r="P58" s="11">
        <v>100</v>
      </c>
      <c r="Q58" s="10" t="s">
        <v>39</v>
      </c>
      <c r="R58" s="10">
        <f t="shared" ref="R58" si="75">IF(S58="中金买入",1,-1)</f>
        <v>1</v>
      </c>
      <c r="S58" s="10" t="s">
        <v>151</v>
      </c>
      <c r="T58" s="14">
        <f t="shared" ref="T58" si="76">O58/P58</f>
        <v>1.2476635246627694E-2</v>
      </c>
      <c r="U58" s="13">
        <f>_xll.dnetGBlackScholesNGreeks("delta",$Q58,$P58,$G58,$I58,$C$3,$J58,$K58,$C$4)*R58</f>
        <v>0.50538969170581538</v>
      </c>
      <c r="V58" s="13">
        <f>_xll.dnetGBlackScholesNGreeks("vega",$Q58,$P58,$G58,$I58,$C$3,$J58,$K58,$C$4)*R58</f>
        <v>0.11605218969397768</v>
      </c>
      <c r="W58" s="114">
        <v>37.799999999999997</v>
      </c>
      <c r="X58" s="115">
        <f>G58-W58</f>
        <v>62.2</v>
      </c>
      <c r="Y58" s="6">
        <f>500*U58</f>
        <v>252.69484585290769</v>
      </c>
    </row>
    <row r="59" spans="1:26" ht="10.5" customHeight="1" x14ac:dyDescent="0.15">
      <c r="A59" s="34"/>
      <c r="B59" s="13"/>
      <c r="C59" s="10"/>
      <c r="D59" s="10"/>
      <c r="E59" s="8"/>
      <c r="F59" s="8"/>
      <c r="G59" s="11"/>
      <c r="H59" s="10"/>
      <c r="I59" s="12"/>
      <c r="J59" s="12"/>
      <c r="K59" s="117"/>
      <c r="L59" s="13"/>
      <c r="M59" s="15"/>
      <c r="N59" s="13"/>
      <c r="O59" s="13"/>
      <c r="P59" s="11"/>
      <c r="Q59" s="10"/>
      <c r="R59" s="10"/>
      <c r="S59" s="10"/>
      <c r="T59" s="14"/>
      <c r="U59" s="13"/>
      <c r="V59" s="13"/>
      <c r="W59" s="114"/>
      <c r="X59" s="115"/>
    </row>
    <row r="60" spans="1:26" ht="10.5" customHeight="1" x14ac:dyDescent="0.15">
      <c r="A60" s="34"/>
      <c r="B60" s="13"/>
      <c r="C60" s="10"/>
      <c r="D60" s="10"/>
      <c r="E60" s="8"/>
      <c r="F60" s="8"/>
      <c r="G60" s="11"/>
      <c r="H60" s="10"/>
      <c r="I60" s="12"/>
      <c r="J60" s="12"/>
      <c r="K60" s="117"/>
      <c r="L60" s="13"/>
      <c r="M60" s="15"/>
      <c r="N60" s="13"/>
      <c r="O60" s="13"/>
      <c r="P60" s="11"/>
      <c r="Q60" s="10"/>
      <c r="R60" s="10"/>
      <c r="S60" s="10"/>
      <c r="T60" s="14"/>
      <c r="U60" s="13"/>
      <c r="V60" s="13"/>
      <c r="W60" s="114"/>
      <c r="X60" s="115"/>
    </row>
    <row r="61" spans="1:26" ht="10.5" customHeight="1" x14ac:dyDescent="0.15">
      <c r="A61" s="34"/>
      <c r="B61" s="13"/>
      <c r="C61" s="10"/>
      <c r="D61" s="10"/>
      <c r="E61" s="8"/>
      <c r="F61" s="8"/>
      <c r="G61" s="11"/>
      <c r="H61" s="10"/>
      <c r="I61" s="12"/>
      <c r="J61" s="12"/>
      <c r="K61" s="117"/>
      <c r="L61" s="13"/>
      <c r="M61" s="15"/>
      <c r="N61" s="13"/>
      <c r="O61" s="13"/>
      <c r="P61" s="11"/>
      <c r="Q61" s="10"/>
      <c r="R61" s="10"/>
      <c r="S61" s="10"/>
      <c r="T61" s="14"/>
      <c r="U61" s="13"/>
      <c r="V61" s="13"/>
      <c r="W61" s="114"/>
      <c r="X61" s="115"/>
    </row>
    <row r="62" spans="1:26" ht="10.5" customHeight="1" x14ac:dyDescent="0.15">
      <c r="A62" s="34"/>
      <c r="B62" s="13"/>
      <c r="C62" s="10"/>
      <c r="D62" s="10"/>
      <c r="E62" s="8"/>
      <c r="F62" s="8"/>
      <c r="G62" s="11"/>
      <c r="H62" s="10"/>
      <c r="I62" s="12"/>
      <c r="J62" s="12"/>
      <c r="K62" s="117"/>
      <c r="L62" s="13"/>
      <c r="M62" s="15"/>
      <c r="N62" s="13"/>
      <c r="O62" s="13"/>
      <c r="P62" s="11"/>
      <c r="Q62" s="10"/>
      <c r="R62" s="10"/>
      <c r="S62" s="10"/>
      <c r="T62" s="14"/>
      <c r="U62" s="13"/>
      <c r="V62" s="13"/>
      <c r="W62" s="114"/>
      <c r="X62" s="115"/>
    </row>
    <row r="63" spans="1:26" ht="10.5" customHeight="1" x14ac:dyDescent="0.15">
      <c r="A63" s="34"/>
      <c r="B63" s="13"/>
      <c r="C63" s="10"/>
      <c r="D63" s="10"/>
      <c r="E63" s="8"/>
      <c r="F63" s="8"/>
      <c r="G63" s="11"/>
      <c r="H63" s="10"/>
      <c r="I63" s="12"/>
      <c r="J63" s="12"/>
      <c r="K63" s="117"/>
      <c r="L63" s="13"/>
      <c r="M63" s="15"/>
      <c r="N63" s="13"/>
      <c r="O63" s="13"/>
      <c r="P63" s="11"/>
      <c r="Q63" s="10"/>
      <c r="R63" s="10"/>
      <c r="S63" s="10"/>
      <c r="T63" s="14"/>
      <c r="U63" s="13"/>
      <c r="V63" s="13"/>
      <c r="W63" s="114"/>
      <c r="X63" s="115"/>
    </row>
    <row r="64" spans="1:26" ht="10.5" customHeight="1" x14ac:dyDescent="0.15">
      <c r="A64" s="34"/>
      <c r="B64" s="13"/>
      <c r="C64" s="10"/>
      <c r="D64" s="10"/>
      <c r="E64" s="8"/>
      <c r="F64" s="8"/>
      <c r="G64" s="11"/>
      <c r="H64" s="10"/>
      <c r="I64" s="12"/>
      <c r="J64" s="12"/>
      <c r="K64" s="117"/>
      <c r="L64" s="13"/>
      <c r="M64" s="15"/>
      <c r="N64" s="13"/>
      <c r="O64" s="13"/>
      <c r="P64" s="11"/>
      <c r="Q64" s="10"/>
      <c r="R64" s="10"/>
      <c r="S64" s="10"/>
      <c r="T64" s="14"/>
      <c r="U64" s="13"/>
      <c r="V64" s="13"/>
      <c r="W64" s="114"/>
      <c r="X64" s="115"/>
    </row>
    <row r="65" spans="1:24" ht="10.5" customHeight="1" x14ac:dyDescent="0.15">
      <c r="A65" s="34"/>
      <c r="B65" s="13"/>
      <c r="C65" s="10"/>
      <c r="D65" s="10"/>
      <c r="E65" s="8"/>
      <c r="F65" s="8"/>
      <c r="G65" s="11"/>
      <c r="H65" s="10"/>
      <c r="I65" s="12"/>
      <c r="J65" s="12"/>
      <c r="K65" s="117"/>
      <c r="L65" s="13"/>
      <c r="M65" s="15"/>
      <c r="N65" s="13"/>
      <c r="O65" s="13"/>
      <c r="P65" s="11"/>
      <c r="Q65" s="10"/>
      <c r="R65" s="10"/>
      <c r="S65" s="10"/>
      <c r="T65" s="14"/>
      <c r="U65" s="13"/>
      <c r="V65" s="13"/>
      <c r="W65" s="114"/>
      <c r="X65" s="115"/>
    </row>
    <row r="66" spans="1:24" ht="10.5" customHeight="1" x14ac:dyDescent="0.15">
      <c r="A66" s="34"/>
      <c r="B66" s="13"/>
      <c r="C66" s="10"/>
      <c r="D66" s="10"/>
      <c r="E66" s="8"/>
      <c r="F66" s="8"/>
      <c r="G66" s="11"/>
      <c r="H66" s="10"/>
      <c r="I66" s="12"/>
      <c r="J66" s="12"/>
      <c r="K66" s="117"/>
      <c r="L66" s="13"/>
      <c r="M66" s="15"/>
      <c r="N66" s="13"/>
      <c r="O66" s="13"/>
      <c r="P66" s="11"/>
      <c r="Q66" s="10"/>
      <c r="R66" s="10"/>
      <c r="S66" s="10"/>
      <c r="T66" s="14"/>
      <c r="U66" s="13"/>
      <c r="V66" s="13"/>
      <c r="W66" s="114"/>
      <c r="X66" s="115"/>
    </row>
    <row r="68" spans="1:24" ht="10.5" customHeight="1" x14ac:dyDescent="0.15">
      <c r="A68" s="34"/>
      <c r="B68" s="13"/>
      <c r="C68" s="10"/>
      <c r="D68" s="10"/>
      <c r="E68" s="8"/>
      <c r="F68" s="8"/>
      <c r="G68" s="11"/>
      <c r="H68" s="10"/>
      <c r="I68" s="12"/>
      <c r="J68" s="12"/>
      <c r="K68" s="117"/>
      <c r="L68" s="13"/>
      <c r="M68" s="15"/>
      <c r="N68" s="13"/>
      <c r="O68" s="13"/>
      <c r="P68" s="11"/>
      <c r="Q68" s="10"/>
      <c r="R68" s="10"/>
      <c r="S68" s="10"/>
      <c r="T68" s="14"/>
      <c r="U68" s="13"/>
      <c r="V68" s="13"/>
      <c r="W68" s="114"/>
      <c r="X68" s="115"/>
    </row>
    <row r="74" spans="1:24" x14ac:dyDescent="0.15">
      <c r="F74" s="122"/>
      <c r="G74" s="122"/>
      <c r="H74" s="122"/>
      <c r="I74" s="122"/>
    </row>
    <row r="75" spans="1:24" x14ac:dyDescent="0.15">
      <c r="F75" s="118"/>
      <c r="G75" s="118"/>
    </row>
    <row r="76" spans="1:24" x14ac:dyDescent="0.15">
      <c r="F76" s="118"/>
      <c r="G76" s="118"/>
    </row>
    <row r="77" spans="1:24" x14ac:dyDescent="0.15">
      <c r="F77" s="118"/>
      <c r="G77" s="118"/>
    </row>
    <row r="79" spans="1:24" x14ac:dyDescent="0.15">
      <c r="F79" s="118"/>
      <c r="G79" s="118"/>
    </row>
    <row r="80" spans="1:24" x14ac:dyDescent="0.15">
      <c r="F80" s="118"/>
      <c r="G80" s="118"/>
    </row>
    <row r="81" spans="6:7" x14ac:dyDescent="0.15">
      <c r="F81" s="118"/>
      <c r="G81" s="118"/>
    </row>
    <row r="82" spans="6:7" x14ac:dyDescent="0.15">
      <c r="F82" s="118"/>
      <c r="G82" s="118"/>
    </row>
    <row r="83" spans="6:7" x14ac:dyDescent="0.15">
      <c r="F83" s="118"/>
      <c r="G83" s="118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S44:S47 S68 S49:S66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Q44:Q47 Q68 Q49:Q66</xm:sqref>
        </x14:dataValidation>
        <x14:dataValidation type="list" allowBlank="1" showInputMessage="1">
          <x14:formula1>
            <xm:f>configs!$A$1:$A$36</xm:f>
          </x14:formula1>
          <xm:sqref>C8:C9 C11 C13:C38 C40:C42 C44:C47 C68 C49:C66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46" sqref="N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7" t="s">
        <v>37</v>
      </c>
      <c r="C1" s="146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43234</v>
      </c>
      <c r="F8" s="46">
        <f ca="1">E8+H8</f>
        <v>43264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43234</v>
      </c>
      <c r="F9" s="54">
        <f ca="1">F8</f>
        <v>43264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43234</v>
      </c>
      <c r="F10" s="62">
        <f ca="1">F9</f>
        <v>43264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43234</v>
      </c>
      <c r="F11" s="46">
        <f ca="1">E11+H11</f>
        <v>43249</v>
      </c>
      <c r="G11" s="113">
        <f>P11-20</f>
        <v>468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-4.2324490294078316</v>
      </c>
      <c r="M11" s="49"/>
      <c r="N11" s="43"/>
      <c r="O11" s="43">
        <f t="shared" ref="O11:O13" si="1">IF(L11&lt;=0,ABS(L11)+N11,L11-N11)</f>
        <v>4.2324490294078316</v>
      </c>
      <c r="P11" s="110">
        <f>RTD("wdf.rtq",,D11,"LastPrice")</f>
        <v>488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0.23603112235264234</v>
      </c>
      <c r="V11" s="43">
        <f>_xll.dnetGBlackScholesNGreeks("vega",$Q11,$P11,$G11,$I11,$C$3,$J11,$K11,$C$4)*R11</f>
        <v>-0.30456206496206306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43234</v>
      </c>
      <c r="F12" s="54">
        <f t="shared" ca="1" si="2"/>
        <v>43249</v>
      </c>
      <c r="G12" s="52">
        <f>G11+50</f>
        <v>518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2.3913231595487758</v>
      </c>
      <c r="M12" s="57"/>
      <c r="N12" s="51"/>
      <c r="O12" s="51">
        <f t="shared" si="1"/>
        <v>2.3913231595487758</v>
      </c>
      <c r="P12" s="94">
        <f>P11</f>
        <v>488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0.16207669273313741</v>
      </c>
      <c r="V12" s="51">
        <f>_xll.dnetGBlackScholesNGreeks("vega",$Q12,$P12,$G12,$I12,$C$3,$J12,$K12,$C$4)*R12</f>
        <v>0.24257033287273799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43234</v>
      </c>
      <c r="F13" s="62">
        <f t="shared" ca="1" si="3"/>
        <v>43249</v>
      </c>
      <c r="G13" s="60" t="str">
        <f>G11 &amp; "|" &amp; G12</f>
        <v>468|518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-1.8411258698590558</v>
      </c>
      <c r="M13" s="60">
        <v>0</v>
      </c>
      <c r="N13" s="59">
        <f>M13/10000*I13*P13</f>
        <v>0</v>
      </c>
      <c r="O13" s="59">
        <f t="shared" si="1"/>
        <v>1.8411258698590558</v>
      </c>
      <c r="P13" s="111">
        <f>P12</f>
        <v>488</v>
      </c>
      <c r="Q13" s="60"/>
      <c r="R13" s="60"/>
      <c r="S13" s="56" t="s">
        <v>151</v>
      </c>
      <c r="T13" s="64">
        <f>O13/P13</f>
        <v>3.7727989136456062E-3</v>
      </c>
      <c r="U13" s="64">
        <f>U12+U11</f>
        <v>0.39810781508577975</v>
      </c>
      <c r="V13" s="64">
        <f>V12+V11</f>
        <v>-6.1991732089325069E-2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43234</v>
      </c>
      <c r="F14" s="46">
        <f ca="1">E14+H14</f>
        <v>43325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-318.12615723983481</v>
      </c>
      <c r="M14" s="49"/>
      <c r="N14" s="43"/>
      <c r="O14" s="43">
        <f t="shared" ref="O14:O16" si="4">IF(L14&lt;=0,ABS(L14)+N14,L14-N14)</f>
        <v>318.12615723983481</v>
      </c>
      <c r="P14" s="110">
        <f>RTD("wdf.rtq",,D14,"LastPrice")</f>
        <v>3667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-0.66102950283948303</v>
      </c>
      <c r="V14" s="43">
        <f>_xll.dnetGBlackScholesNGreeks("vega",$Q14,$P14,$G14,$I14,$C$3,$J14,$K14,$C$4)*R14</f>
        <v>-6.6420789265002895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43234</v>
      </c>
      <c r="F15" s="54">
        <f t="shared" ca="1" si="5"/>
        <v>43325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58.142490233973035</v>
      </c>
      <c r="M15" s="57"/>
      <c r="N15" s="51"/>
      <c r="O15" s="51">
        <f t="shared" si="4"/>
        <v>58.142490233973035</v>
      </c>
      <c r="P15" s="94">
        <f>P14</f>
        <v>3667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-0.19183574671615133</v>
      </c>
      <c r="V15" s="51">
        <f>_xll.dnetGBlackScholesNGreeks("vega",$Q15,$P15,$G15,$I15,$C$3,$J15,$K15,$C$4)*R15</f>
        <v>4.9867780557912624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43234</v>
      </c>
      <c r="F16" s="62">
        <f t="shared" ca="1" si="6"/>
        <v>43325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-259.98366700586178</v>
      </c>
      <c r="M16" s="60">
        <v>0</v>
      </c>
      <c r="N16" s="59">
        <f>M16/10000*I16*P16</f>
        <v>0</v>
      </c>
      <c r="O16" s="59">
        <f t="shared" si="4"/>
        <v>259.98366700586178</v>
      </c>
      <c r="P16" s="111">
        <f>P15</f>
        <v>3667</v>
      </c>
      <c r="Q16" s="60"/>
      <c r="R16" s="60"/>
      <c r="S16" s="56" t="s">
        <v>151</v>
      </c>
      <c r="T16" s="64">
        <f>O16/P16</f>
        <v>7.0898191166038113E-2</v>
      </c>
      <c r="U16" s="64">
        <f>U15+U14</f>
        <v>-0.85286524955563436</v>
      </c>
      <c r="V16" s="64">
        <f>V15+V14</f>
        <v>-1.6553008707090271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251</v>
      </c>
      <c r="E18" s="46">
        <f ca="1">TODAY()</f>
        <v>43234</v>
      </c>
      <c r="F18" s="46">
        <f ca="1">E18+H18</f>
        <v>43265</v>
      </c>
      <c r="G18" s="120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42.280501166772183</v>
      </c>
      <c r="M18" s="49"/>
      <c r="N18" s="43"/>
      <c r="O18" s="43">
        <f t="shared" ref="O18:O20" si="7">IF(L18&lt;=0,ABS(L18)+N18,L18-N18)</f>
        <v>42.280501166772183</v>
      </c>
      <c r="P18" s="110">
        <f>RTD("wdf.rtq",,D18,"LastPrice")</f>
        <v>3030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-0.40575152293058636</v>
      </c>
      <c r="V18" s="43">
        <f>_xll.dnetGBlackScholesNGreeks("vega",$Q18,$P18,$G18,$I18,$C$3,$J18,$K18,$C$4)*R18</f>
        <v>3.4193539287806516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43234</v>
      </c>
      <c r="F19" s="54">
        <f t="shared" ca="1" si="8"/>
        <v>43265</v>
      </c>
      <c r="G19" s="121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-4.7134914546874427</v>
      </c>
      <c r="M19" s="57"/>
      <c r="N19" s="51"/>
      <c r="O19" s="51">
        <f t="shared" si="7"/>
        <v>4.7134914546874427</v>
      </c>
      <c r="P19" s="94">
        <f>P18</f>
        <v>3030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-6.864096542074094E-2</v>
      </c>
      <c r="V19" s="51">
        <f>_xll.dnetGBlackScholesNGreeks("vega",$Q19,$P19,$G19,$I19,$C$3,$J19,$K19,$C$4)*R19</f>
        <v>-1.1664267899292469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43234</v>
      </c>
      <c r="F20" s="62">
        <f t="shared" ca="1" si="9"/>
        <v>43265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37.56700971208474</v>
      </c>
      <c r="M20" s="60">
        <v>0</v>
      </c>
      <c r="N20" s="59">
        <f>M20/10000*I20*P20</f>
        <v>0</v>
      </c>
      <c r="O20" s="59">
        <f t="shared" si="7"/>
        <v>37.56700971208474</v>
      </c>
      <c r="P20" s="111">
        <f>P19</f>
        <v>3030</v>
      </c>
      <c r="Q20" s="60"/>
      <c r="R20" s="60"/>
      <c r="S20" s="56"/>
      <c r="T20" s="64">
        <f>O20/P20</f>
        <v>1.2398353040291993E-2</v>
      </c>
      <c r="U20" s="64">
        <f>U19+U18</f>
        <v>-0.4743924883513273</v>
      </c>
      <c r="V20" s="64">
        <f>V19+V18</f>
        <v>2.2529271388514047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251</v>
      </c>
      <c r="E21" s="46">
        <f ca="1">TODAY()</f>
        <v>43234</v>
      </c>
      <c r="F21" s="46">
        <f ca="1">E21+H21</f>
        <v>43326</v>
      </c>
      <c r="G21" s="120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81.919253968905878</v>
      </c>
      <c r="M21" s="49"/>
      <c r="N21" s="43"/>
      <c r="O21" s="43">
        <f t="shared" ref="O21:O23" si="10">IF(L21&lt;=0,ABS(L21)+N21,L21-N21)</f>
        <v>81.919253968905878</v>
      </c>
      <c r="P21" s="110">
        <f>RTD("wdf.rtq",,D21,"LastPrice")</f>
        <v>3030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-0.43266511731872015</v>
      </c>
      <c r="V21" s="43">
        <f>_xll.dnetGBlackScholesNGreeks("vega",$Q21,$P21,$G21,$I21,$C$3,$J21,$K21,$C$4)*R21</f>
        <v>5.9573688487122354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43234</v>
      </c>
      <c r="F22" s="54">
        <f t="shared" ca="1" si="11"/>
        <v>43326</v>
      </c>
      <c r="G22" s="121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-29.653518817568624</v>
      </c>
      <c r="M22" s="57"/>
      <c r="N22" s="51"/>
      <c r="O22" s="51">
        <f t="shared" si="10"/>
        <v>29.653518817568624</v>
      </c>
      <c r="P22" s="94">
        <f>P21</f>
        <v>3030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-0.20165281760000653</v>
      </c>
      <c r="V22" s="51">
        <f>_xll.dnetGBlackScholesNGreeks("vega",$Q22,$P22,$G22,$I22,$C$3,$J22,$K22,$C$4)*R22</f>
        <v>-4.2674605144925977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43234</v>
      </c>
      <c r="F23" s="62">
        <f t="shared" ca="1" si="12"/>
        <v>43326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52.265735151337253</v>
      </c>
      <c r="M23" s="60">
        <v>0</v>
      </c>
      <c r="N23" s="59">
        <f>M23/10000*I23*P23</f>
        <v>0</v>
      </c>
      <c r="O23" s="59">
        <f t="shared" si="10"/>
        <v>52.265735151337253</v>
      </c>
      <c r="P23" s="111">
        <f>P22</f>
        <v>3030</v>
      </c>
      <c r="Q23" s="60"/>
      <c r="R23" s="60"/>
      <c r="S23" s="56"/>
      <c r="T23" s="64">
        <f>O23/P23</f>
        <v>1.7249417541695462E-2</v>
      </c>
      <c r="U23" s="64">
        <f>U22+U21</f>
        <v>-0.63431793491872668</v>
      </c>
      <c r="V23" s="64">
        <f>V22+V21</f>
        <v>1.6899083342196377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251</v>
      </c>
      <c r="E26" s="46">
        <f ca="1">TODAY()</f>
        <v>43234</v>
      </c>
      <c r="F26" s="46">
        <f ca="1">E26+H26</f>
        <v>43265</v>
      </c>
      <c r="G26" s="120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24.48528647562955</v>
      </c>
      <c r="M26" s="49"/>
      <c r="N26" s="43"/>
      <c r="O26" s="43">
        <f t="shared" ref="O26:O31" si="13">IF(L26&lt;=0,ABS(L26)+N26,L26-N26)</f>
        <v>24.48528647562955</v>
      </c>
      <c r="P26" s="110">
        <f>RTD("wdf.rtq",,D26,"LastPrice")</f>
        <v>3030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-0.27473530064980878</v>
      </c>
      <c r="V26" s="43">
        <f>_xll.dnetGBlackScholesNGreeks("vega",$Q26,$P26,$G26,$I26,$C$3,$J26,$K26,$C$4)*R26</f>
        <v>2.9408078218272067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43234</v>
      </c>
      <c r="F27" s="54">
        <f t="shared" ca="1" si="14"/>
        <v>43265</v>
      </c>
      <c r="G27" s="121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-1.7783840560064306</v>
      </c>
      <c r="M27" s="57"/>
      <c r="N27" s="51"/>
      <c r="O27" s="51">
        <f t="shared" si="13"/>
        <v>1.7783840560064306</v>
      </c>
      <c r="P27" s="94">
        <f>P26</f>
        <v>3030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-2.9485595098321937E-2</v>
      </c>
      <c r="V27" s="51">
        <f>_xll.dnetGBlackScholesNGreeks("vega",$Q27,$P27,$G27,$I27,$C$3,$J27,$K27,$C$4)*R27</f>
        <v>-0.59284338436197714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43234</v>
      </c>
      <c r="F28" s="62">
        <f t="shared" ca="1" si="15"/>
        <v>43265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22.70690241962312</v>
      </c>
      <c r="M28" s="60">
        <v>0</v>
      </c>
      <c r="N28" s="59">
        <f>M28/10000*I28*P28</f>
        <v>0</v>
      </c>
      <c r="O28" s="59">
        <f t="shared" si="13"/>
        <v>22.70690241962312</v>
      </c>
      <c r="P28" s="111">
        <f>P27</f>
        <v>3030</v>
      </c>
      <c r="Q28" s="60"/>
      <c r="R28" s="60"/>
      <c r="S28" s="56"/>
      <c r="T28" s="64">
        <f>O28/P28</f>
        <v>7.4940272011957488E-3</v>
      </c>
      <c r="U28" s="64">
        <f>U27+U26</f>
        <v>-0.30422089574813072</v>
      </c>
      <c r="V28" s="64">
        <f>V27+V26</f>
        <v>2.3479644374652295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251</v>
      </c>
      <c r="E29" s="46">
        <f ca="1">TODAY()</f>
        <v>43234</v>
      </c>
      <c r="F29" s="46">
        <f ca="1">E29+H29</f>
        <v>43326</v>
      </c>
      <c r="G29" s="120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60.748195389779767</v>
      </c>
      <c r="M29" s="49"/>
      <c r="N29" s="43"/>
      <c r="O29" s="43">
        <f t="shared" si="13"/>
        <v>60.748195389779767</v>
      </c>
      <c r="P29" s="110">
        <f>RTD("wdf.rtq",,D29,"LastPrice")</f>
        <v>3030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-0.35269277351517303</v>
      </c>
      <c r="V29" s="43">
        <f>_xll.dnetGBlackScholesNGreeks("vega",$Q29,$P29,$G29,$I29,$C$3,$J29,$K29,$C$4)*R29</f>
        <v>5.6307305064503907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43234</v>
      </c>
      <c r="F30" s="54">
        <f t="shared" ca="1" si="16"/>
        <v>43326</v>
      </c>
      <c r="G30" s="121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-19.221570338482138</v>
      </c>
      <c r="M30" s="57"/>
      <c r="N30" s="51"/>
      <c r="O30" s="51">
        <f t="shared" si="13"/>
        <v>19.221570338482138</v>
      </c>
      <c r="P30" s="94">
        <f>P29</f>
        <v>3030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-0.14253905154362201</v>
      </c>
      <c r="V30" s="51">
        <f>_xll.dnetGBlackScholesNGreeks("vega",$Q30,$P30,$G30,$I30,$C$3,$J30,$K30,$C$4)*R30</f>
        <v>-3.4179312690203858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43234</v>
      </c>
      <c r="F31" s="62">
        <f t="shared" ca="1" si="17"/>
        <v>43326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41.526625051297628</v>
      </c>
      <c r="M31" s="60">
        <v>0</v>
      </c>
      <c r="N31" s="59">
        <f>M31/10000*I31*P31</f>
        <v>0</v>
      </c>
      <c r="O31" s="59">
        <f t="shared" si="13"/>
        <v>41.526625051297628</v>
      </c>
      <c r="P31" s="111">
        <f>P30</f>
        <v>3030</v>
      </c>
      <c r="Q31" s="60"/>
      <c r="R31" s="60"/>
      <c r="S31" s="56"/>
      <c r="T31" s="64">
        <f>O31/P31</f>
        <v>1.3705156782606477E-2</v>
      </c>
      <c r="U31" s="64">
        <f>U30+U29</f>
        <v>-0.49523182505879504</v>
      </c>
      <c r="V31" s="64">
        <f>V30+V29</f>
        <v>2.212799237430005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3" t="s">
        <v>158</v>
      </c>
      <c r="C1" s="123"/>
      <c r="D1" s="12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43234</v>
      </c>
      <c r="L10" s="38">
        <f ca="1">pricer_sf!N11</f>
        <v>43325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43234</v>
      </c>
      <c r="L11" s="38">
        <f ca="1">pricer_sf!N12</f>
        <v>43325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43234</v>
      </c>
      <c r="L12" s="38">
        <f ca="1">pricer_sf!N13</f>
        <v>43325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43234</v>
      </c>
      <c r="L13" s="38">
        <f ca="1">pricer_sf!N14</f>
        <v>43417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43234</v>
      </c>
      <c r="L14" s="38">
        <f ca="1">pricer_sf!N15</f>
        <v>43417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43234</v>
      </c>
      <c r="L15" s="38">
        <f ca="1">pricer_sf!N16</f>
        <v>43417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6" t="s">
        <v>38</v>
      </c>
      <c r="C1" s="146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3900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43234</v>
      </c>
      <c r="N8" s="21">
        <f ca="1">M8+O8</f>
        <v>43264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</v>
      </c>
      <c r="T8" s="25">
        <v>80</v>
      </c>
      <c r="U8" s="24">
        <f>T8/10000*P8*H8</f>
        <v>2.5643835616438357</v>
      </c>
      <c r="V8" s="24">
        <f>IF(S8&lt;=0,ABS(S8)+U8,S8-U8)</f>
        <v>80.564383561643837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43234</v>
      </c>
      <c r="N9" s="8">
        <f ca="1">M9+O9</f>
        <v>43414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43234</v>
      </c>
      <c r="N11" s="8">
        <f t="shared" ref="N11:N16" ca="1" si="2">M11+O11</f>
        <v>43325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43234</v>
      </c>
      <c r="N12" s="8">
        <f t="shared" ca="1" si="2"/>
        <v>43325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43234</v>
      </c>
      <c r="N13" s="8">
        <f t="shared" ca="1" si="2"/>
        <v>43325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43234</v>
      </c>
      <c r="N14" s="8">
        <f t="shared" ca="1" si="2"/>
        <v>43417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43234</v>
      </c>
      <c r="N15" s="8">
        <f t="shared" ca="1" si="2"/>
        <v>43417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43234</v>
      </c>
      <c r="N16" s="8">
        <f t="shared" ca="1" si="2"/>
        <v>43417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2018-05-14T07:36:06Z</dcterms:modified>
</cp:coreProperties>
</file>