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P26" i="1" l="1"/>
  <c r="I26" i="1" l="1"/>
  <c r="R26" i="1"/>
  <c r="E26" i="1"/>
  <c r="F26" i="1" s="1"/>
  <c r="L26" i="1"/>
  <c r="N26" i="1" l="1"/>
  <c r="O26" i="1" s="1"/>
  <c r="T26" i="1" s="1"/>
  <c r="X23" i="2"/>
  <c r="S23" i="2"/>
  <c r="X26" i="2"/>
  <c r="S26" i="2"/>
  <c r="R25" i="1"/>
  <c r="I25" i="1"/>
  <c r="N25" i="1" s="1"/>
  <c r="E25" i="1"/>
  <c r="F25" i="1" s="1"/>
  <c r="R24" i="1"/>
  <c r="I24" i="1"/>
  <c r="N24" i="1" s="1"/>
  <c r="E24" i="1"/>
  <c r="F24" i="1" s="1"/>
  <c r="U26" i="1"/>
  <c r="V26" i="1"/>
  <c r="V24" i="1"/>
  <c r="U25" i="1"/>
  <c r="N26" i="2" l="1"/>
  <c r="N23" i="2"/>
  <c r="I23" i="1"/>
  <c r="I22" i="1"/>
  <c r="R23" i="1"/>
  <c r="E23" i="1"/>
  <c r="F23" i="1" s="1"/>
  <c r="R22" i="1"/>
  <c r="E22" i="1"/>
  <c r="F22" i="1" s="1"/>
  <c r="R21" i="1"/>
  <c r="I21" i="1"/>
  <c r="N21" i="1" s="1"/>
  <c r="E21" i="1"/>
  <c r="F21" i="1" s="1"/>
  <c r="R20" i="1"/>
  <c r="I20" i="1"/>
  <c r="N20" i="1" s="1"/>
  <c r="E20" i="1"/>
  <c r="F20" i="1" s="1"/>
  <c r="R19" i="1"/>
  <c r="I19" i="1"/>
  <c r="E19" i="1"/>
  <c r="F19" i="1" s="1"/>
  <c r="R18" i="1"/>
  <c r="I18" i="1"/>
  <c r="E18" i="1"/>
  <c r="F18" i="1" s="1"/>
  <c r="L24" i="1"/>
  <c r="L25" i="1"/>
  <c r="U24" i="1"/>
  <c r="V25" i="1"/>
  <c r="L18" i="1"/>
  <c r="L21" i="1"/>
  <c r="V23" i="1"/>
  <c r="V18" i="1"/>
  <c r="L22" i="1"/>
  <c r="L20" i="1"/>
  <c r="L23" i="1"/>
  <c r="V22" i="1"/>
  <c r="L19" i="1"/>
  <c r="O25" i="1" l="1"/>
  <c r="T25" i="1" s="1"/>
  <c r="O24" i="1"/>
  <c r="N22" i="1"/>
  <c r="O22" i="1" s="1"/>
  <c r="T22" i="1" s="1"/>
  <c r="N23" i="1"/>
  <c r="O23" i="1" s="1"/>
  <c r="T23" i="1" s="1"/>
  <c r="O21" i="1"/>
  <c r="T21" i="1" s="1"/>
  <c r="O20" i="1"/>
  <c r="T20" i="1" s="1"/>
  <c r="N19" i="1"/>
  <c r="O19" i="1" s="1"/>
  <c r="T19" i="1" s="1"/>
  <c r="N18" i="1"/>
  <c r="O18" i="1" s="1"/>
  <c r="T18" i="1" s="1"/>
  <c r="U18" i="1"/>
  <c r="U22" i="1"/>
  <c r="U21" i="1"/>
  <c r="U23" i="1"/>
  <c r="V20" i="1"/>
  <c r="U19" i="1"/>
  <c r="V19" i="1"/>
  <c r="V21" i="1"/>
  <c r="U20" i="1"/>
  <c r="T24" i="1" l="1"/>
  <c r="R17" i="1"/>
  <c r="I17" i="1"/>
  <c r="E17" i="1"/>
  <c r="F17" i="1" s="1"/>
  <c r="R16" i="1"/>
  <c r="I16" i="1"/>
  <c r="E16" i="1"/>
  <c r="F16" i="1" s="1"/>
  <c r="R15" i="1"/>
  <c r="I15" i="1"/>
  <c r="E15" i="1"/>
  <c r="F15" i="1" s="1"/>
  <c r="R14" i="1"/>
  <c r="I14" i="1"/>
  <c r="E14" i="1"/>
  <c r="F14" i="1" s="1"/>
  <c r="I13" i="1"/>
  <c r="I12" i="1"/>
  <c r="I11" i="1"/>
  <c r="I10" i="1"/>
  <c r="R13" i="1"/>
  <c r="E13" i="1"/>
  <c r="F13" i="1" s="1"/>
  <c r="R12" i="1"/>
  <c r="E12" i="1"/>
  <c r="F12" i="1" s="1"/>
  <c r="R11" i="1"/>
  <c r="E11" i="1"/>
  <c r="F11" i="1" s="1"/>
  <c r="R10" i="1"/>
  <c r="E10" i="1"/>
  <c r="F10" i="1" s="1"/>
  <c r="P13" i="1"/>
  <c r="P16" i="1"/>
  <c r="V13" i="1"/>
  <c r="P12" i="1"/>
  <c r="P11" i="1"/>
  <c r="U13" i="1"/>
  <c r="P14" i="1"/>
  <c r="U16" i="1"/>
  <c r="P17" i="1"/>
  <c r="P10" i="1"/>
  <c r="U10" i="1" s="1"/>
  <c r="P15" i="1"/>
  <c r="U17" i="1"/>
  <c r="U11" i="1"/>
  <c r="V14" i="1"/>
  <c r="L14" i="1"/>
  <c r="V17" i="1"/>
  <c r="L17" i="1"/>
  <c r="V15" i="1"/>
  <c r="U15" i="1"/>
  <c r="N14" i="1" l="1"/>
  <c r="O14" i="1" s="1"/>
  <c r="T14" i="1" s="1"/>
  <c r="N17" i="1"/>
  <c r="O17" i="1" s="1"/>
  <c r="T17" i="1" s="1"/>
  <c r="N16" i="1"/>
  <c r="N15" i="1"/>
  <c r="N10" i="1"/>
  <c r="N12" i="1"/>
  <c r="N11" i="1"/>
  <c r="N13" i="1"/>
  <c r="V12" i="1"/>
  <c r="L16" i="1"/>
  <c r="L12" i="1"/>
  <c r="V10" i="1"/>
  <c r="U12" i="1"/>
  <c r="L13" i="1"/>
  <c r="L15" i="1"/>
  <c r="V11" i="1"/>
  <c r="L11" i="1"/>
  <c r="U14" i="1"/>
  <c r="V16" i="1"/>
  <c r="L10" i="1"/>
  <c r="O11" i="1" l="1"/>
  <c r="T11" i="1" s="1"/>
  <c r="O13" i="1"/>
  <c r="T13" i="1" s="1"/>
  <c r="O15" i="1"/>
  <c r="T15" i="1" s="1"/>
  <c r="O10" i="1"/>
  <c r="T10" i="1" s="1"/>
  <c r="O16" i="1"/>
  <c r="T16" i="1" s="1"/>
  <c r="O12" i="1"/>
  <c r="T12" i="1" s="1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V8" i="9"/>
  <c r="U9" i="9"/>
  <c r="O10" i="9" l="1"/>
  <c r="I10" i="9"/>
  <c r="F9" i="9"/>
  <c r="F10" i="9" s="1"/>
  <c r="M9" i="9"/>
  <c r="U8" i="9"/>
  <c r="M8" i="9"/>
  <c r="V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H8" i="7"/>
  <c r="U9" i="7"/>
  <c r="O9" i="7"/>
  <c r="H8" i="8"/>
  <c r="T9" i="7"/>
  <c r="K9" i="8"/>
  <c r="T10" i="7"/>
  <c r="U10" i="7"/>
  <c r="U8" i="8" l="1"/>
  <c r="Q9" i="7"/>
  <c r="R9" i="7" s="1"/>
  <c r="S9" i="7" s="1"/>
  <c r="Q10" i="7"/>
  <c r="R10" i="7" s="1"/>
  <c r="S10" i="7" s="1"/>
  <c r="Q8" i="7"/>
  <c r="U8" i="7"/>
  <c r="X9" i="8"/>
  <c r="K8" i="8"/>
  <c r="O8" i="7"/>
  <c r="Y9" i="8"/>
  <c r="T8" i="7"/>
  <c r="S9" i="8"/>
  <c r="V9" i="8" l="1"/>
  <c r="W9" i="8" s="1"/>
  <c r="R8" i="7"/>
  <c r="S8" i="7" s="1"/>
  <c r="S8" i="8"/>
  <c r="Y8" i="8"/>
  <c r="X8" i="8"/>
  <c r="V8" i="8" l="1"/>
  <c r="W8" i="8" s="1"/>
  <c r="R9" i="1"/>
  <c r="R8" i="1"/>
  <c r="I9" i="1" l="1"/>
  <c r="E9" i="1"/>
  <c r="F9" i="1" s="1"/>
  <c r="I8" i="1"/>
  <c r="E8" i="1"/>
  <c r="F8" i="1" s="1"/>
  <c r="L9" i="1"/>
  <c r="V9" i="1"/>
  <c r="P8" i="1"/>
  <c r="U9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<sst xmlns="http://schemas.openxmlformats.org/spreadsheetml/2006/main" count="928" uniqueCount="209">
  <si>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</si>
  <si>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</si>
  <si>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</si>
  <si>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</si>
  <si>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</si>
  <si>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</si>
  <si>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</si>
  <si>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</si>
  <si>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</si>
  <si>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</si>
  <si>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</si>
  <si>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</si>
  <si>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</si>
  <si>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</si>
  <si>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</si>
  <si>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</si>
  <si>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</si>
  <si>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</si>
  <si>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</si>
  <si>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</si>
  <si>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</si>
  <si>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</si>
  <si>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</si>
  <si>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</si>
  <si>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</si>
  <si>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</si>
  <si>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</si>
  <si>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</si>
  <si>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</si>
  <si>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</si>
  <si>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</si>
  <si>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</si>
  <si>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</si>
  <si>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</si>
  <si>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</si>
  <si>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</si>
  <si>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</si>
  <si>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</si>
  <si>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</si>
  <si>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</si>
  <si>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</si>
  <si>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</si>
  <si>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</si>
  <si>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</si>
  <si>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</si>
  <si>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</si>
  <si>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</si>
  <si>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</si>
  <si>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</si>
  <si>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</si>
  <si>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</si>
  <si>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</si>
  <si>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</si>
  <si>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</si>
  <si>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</si>
  <si>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</si>
  <si>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</si>
  <si>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</si>
  <si>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</si>
  <si>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</si>
  <si>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</si>
  <si>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</si>
  <si>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</si>
  <si>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</si>
  <si>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</si>
  <si>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</si>
  <si>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</si>
  <si>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</si>
  <si>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</si>
  <si>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</si>
  <si>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</si>
  <si>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</si>
  <si>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</si>
  <si>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</si>
  <si>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</si>
  <si>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</si>
  <si>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</si>
  <si>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</si>
  <si>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</si>
  <si>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</si>
  <si>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</si>
  <si>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</si>
  <si>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</si>
  <si>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</si>
  <si>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</si>
  <si>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</si>
  <si>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</si>
  <si>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</si>
  <si>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</si>
  <si>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</si>
  <si>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</si>
  <si>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</si>
  <si>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</si>
  <si>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</si>
  <si>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</si>
  <si>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</si>
  <si>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</si>
  <si>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</si>
  <si>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</si>
  <si>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</si>
  <si>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</si>
  <si>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</si>
  <si>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</si>
  <si>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</si>
  <si>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</si>
  <si>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</si>
  <si>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</si>
  <si>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</si>
  <si>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</si>
  <si>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</si>
  <si>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</si>
  <si>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</si>
  <si>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</si>
  <si>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</si>
  <si>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</si>
  <si>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</si>
  <si>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</si>
  <si>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</si>
  <si>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</si>
  <si>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</si>
  <si>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</si>
  <si>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</si>
  <si>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</si>
  <si>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</si>
  <si>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</si>
  <si>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</si>
  <si>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</si>
  <si>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</si>
  <si>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</si>
  <si>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</si>
  <si>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</si>
  <si>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</si>
  <si>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</si>
  <si>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</si>
  <si>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</si>
  <si>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</si>
  <si>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</si>
  <si>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</si>
  <si>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</si>
  <si>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</si>
  <si>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</si>
  <si>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</si>
  <si>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</si>
  <si>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</si>
  <si>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</si>
  <si>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</si>
  <si>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</si>
  <si>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</si>
  <si>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</si>
  <si>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</si>
  <si>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</si>
  <si>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</si>
  <si>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</si>
  <si>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</si>
  <si>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</si>
  <si>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</si>
  <si>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</si>
  <si>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</si>
  <si>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</si>
  <si>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</si>
  <si>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</si>
  <si>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</si>
  <si>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</si>
  <si>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</si>
  <si>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</si>
  <si>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</si>
  <si>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</si>
  <si>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</si>
  <si>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</si>
  <si>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</si>
  <si>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</si>
  <si>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</si>
  <si>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</si>
  <si>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</si>
  <si>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</si>
  <si>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</si>
  <si>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</si>
  <si>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</si>
  <si>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</si>
  <si>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</si>
  <si>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</si>
  <si>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</si>
  <si>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</si>
  <si>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</si>
  <si>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</si>
  <si>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</si>
  <si>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</si>
  <si>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</si>
  <si>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</si>
  <si>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</si>
  <si>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</si>
  <si>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</si>
  <si>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</si>
  <si>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</si>
  <si>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</si>
  <si>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</si>
  <si>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</si>
  <si>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</si>
  <si>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</si>
  <si>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</si>
  <si>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</si>
  <si>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</si>
  <si>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</si>
  <si>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</si>
  <si>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</si>
  <si>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</si>
  <si>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</si>
  <si>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cf805</t>
    <phoneticPr fontId="1" type="noConversion"/>
  </si>
  <si>
    <t>天物国际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</si>
</sst>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9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0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14" fontId="28" fillId="10" borderId="3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3752</v>
        <stp/>
        <stp>rb1810</stp>
        <stp>LastPrice</stp>
        <tr r="P15" s="1"/>
        <tr r="P10" s="1"/>
        <tr r="P17" s="1"/>
        <tr r="P14" s="1"/>
        <tr r="P11" s="1"/>
        <tr r="P12" s="1"/>
        <tr r="P16" s="1"/>
        <tr r="P13" s="1"/>
        <tr r="P26" s="1"/>
      </tp>
      <tp>
        <v>3887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68"/>
  <sheetViews>
    <sheetView tabSelected="1" topLeftCell="A43" zoomScaleNormal="100" workbookViewId="0">
      <selection activeCell="T53" sqref="T53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185</v>
      </c>
      <c r="D25" s="41" t="s">
        <v>184</v>
      </c>
      <c r="E25" s="41" t="s">
        <v>10</v>
      </c>
      <c r="F25" s="41" t="s">
        <v>188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186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193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193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185</v>
      </c>
      <c r="D28" s="41" t="s">
        <v>184</v>
      </c>
      <c r="E28" s="41" t="s">
        <v>10</v>
      </c>
      <c r="F28" s="41" t="s">
        <v>188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186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195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185</v>
      </c>
      <c r="D30" s="41" t="s">
        <v>184</v>
      </c>
      <c r="E30" s="41" t="s">
        <v>10</v>
      </c>
      <c r="F30" s="41" t="s">
        <v>188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186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195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185</v>
      </c>
      <c r="D32" s="41" t="s">
        <v>184</v>
      </c>
      <c r="E32" s="41" t="s">
        <v>10</v>
      </c>
      <c r="F32" s="41" t="s">
        <v>188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186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190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190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185</v>
      </c>
      <c r="D35" s="41" t="s">
        <v>184</v>
      </c>
      <c r="E35" s="41" t="s">
        <v>10</v>
      </c>
      <c r="F35" s="41" t="s">
        <v>188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186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195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185</v>
      </c>
      <c r="D37" s="41" t="s">
        <v>184</v>
      </c>
      <c r="E37" s="41" t="s">
        <v>10</v>
      </c>
      <c r="F37" s="41" t="s">
        <v>188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186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196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196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196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196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196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196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185</v>
      </c>
      <c r="D44" s="41" t="s">
        <v>184</v>
      </c>
      <c r="E44" s="41" t="s">
        <v>10</v>
      </c>
      <c r="F44" s="41" t="s">
        <v>188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186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197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185</v>
      </c>
      <c r="D46" s="41" t="s">
        <v>184</v>
      </c>
      <c r="E46" s="41" t="s">
        <v>10</v>
      </c>
      <c r="F46" s="41" t="s">
        <v>188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186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190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190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190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190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185</v>
      </c>
      <c r="D51" s="41" t="s">
        <v>184</v>
      </c>
      <c r="E51" s="41" t="s">
        <v>10</v>
      </c>
      <c r="F51" s="41" t="s">
        <v>188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186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204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204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204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204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185</v>
      </c>
      <c r="D56" s="41" t="s">
        <v>184</v>
      </c>
      <c r="E56" s="41" t="s">
        <v>10</v>
      </c>
      <c r="F56" s="41" t="s">
        <v>188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186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190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190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190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190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185</v>
      </c>
      <c r="D61" s="41" t="s">
        <v>184</v>
      </c>
      <c r="E61" s="41" t="s">
        <v>10</v>
      </c>
      <c r="F61" s="41" t="s">
        <v>188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186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190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190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190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190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185</v>
      </c>
      <c r="D67" s="41" t="s">
        <v>184</v>
      </c>
      <c r="E67" s="41" t="s">
        <v>10</v>
      </c>
      <c r="F67" s="41" t="s">
        <v>188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186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190</v>
      </c>
      <c r="D68" s="102">
        <v>43140</v>
      </c>
      <c r="E68" s="102">
        <v>43205</v>
      </c>
      <c r="F68" s="101">
        <v>3600</v>
      </c>
      <c r="G68" s="101">
        <v>65</v>
      </c>
      <c r="H68" s="101">
        <v>0.15342465753424658</v>
      </c>
      <c r="I68" s="101">
        <v>0</v>
      </c>
      <c r="J68" s="101">
        <v>0.115</v>
      </c>
      <c r="K68" s="101">
        <v>16.030541283530624</v>
      </c>
      <c r="L68" s="101"/>
      <c r="M68" s="101">
        <v>0</v>
      </c>
      <c r="N68" s="153">
        <v>16.030541283530624</v>
      </c>
      <c r="O68" s="101">
        <v>3753</v>
      </c>
      <c r="P68" s="101" t="s">
        <v>85</v>
      </c>
      <c r="Q68" s="101">
        <v>1</v>
      </c>
      <c r="R68" s="101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36"/>
  <sheetViews>
    <sheetView zoomScale="115" zoomScaleNormal="115" workbookViewId="0">
      <pane ySplit="17" topLeftCell="A21" activePane="bottomLeft" state="frozen"/>
      <selection pane="bottomLeft" activeCell="G28" sqref="G28:H28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12.125" style="155" customWidth="1"/>
    <col min="9" max="9" width="9" style="155"/>
    <col min="10" max="10" width="10.875" style="155" customWidth="1"/>
    <col min="11" max="16384" width="9" style="155"/>
  </cols>
  <sheetData>
    <row r="1" spans="2:20" ht="11.25" thickBot="1" x14ac:dyDescent="0.2">
      <c r="B1" s="184" t="s">
        <v>118</v>
      </c>
      <c r="C1" s="184"/>
    </row>
    <row r="2" spans="2:20" ht="11.25" thickTop="1" x14ac:dyDescent="0.15"/>
    <row r="3" spans="2:20" ht="11.25" thickBot="1" x14ac:dyDescent="0.2">
      <c r="B3" s="183" t="s">
        <v>119</v>
      </c>
      <c r="C3" s="183"/>
      <c r="D3" s="183"/>
      <c r="E3" s="183"/>
      <c r="G3" s="182" t="s">
        <v>120</v>
      </c>
      <c r="H3" s="182"/>
      <c r="I3" s="182"/>
      <c r="J3" s="182"/>
      <c r="L3" s="183" t="s">
        <v>165</v>
      </c>
      <c r="M3" s="183"/>
      <c r="N3" s="183"/>
      <c r="O3" s="183"/>
      <c r="Q3" s="182" t="s">
        <v>166</v>
      </c>
      <c r="R3" s="182"/>
      <c r="S3" s="182"/>
      <c r="T3" s="182"/>
    </row>
    <row r="4" spans="2:20" ht="12" thickTop="1" thickBot="1" x14ac:dyDescent="0.2">
      <c r="B4" s="172" t="s">
        <v>121</v>
      </c>
      <c r="C4" s="172"/>
      <c r="D4" s="172"/>
      <c r="E4" s="172"/>
      <c r="G4" s="172" t="s">
        <v>34</v>
      </c>
      <c r="H4" s="172"/>
      <c r="I4" s="172"/>
      <c r="J4" s="172"/>
      <c r="L4" s="172" t="s">
        <v>121</v>
      </c>
      <c r="M4" s="172"/>
      <c r="N4" s="172"/>
      <c r="O4" s="172"/>
      <c r="Q4" s="172" t="s">
        <v>34</v>
      </c>
      <c r="R4" s="172"/>
      <c r="S4" s="172"/>
      <c r="T4" s="172"/>
    </row>
    <row r="5" spans="2:20" ht="15" customHeight="1" thickTop="1" x14ac:dyDescent="0.15">
      <c r="B5" s="179" t="s">
        <v>122</v>
      </c>
      <c r="C5" s="179"/>
      <c r="D5" s="185"/>
      <c r="E5" s="186"/>
      <c r="G5" s="179" t="s">
        <v>123</v>
      </c>
      <c r="H5" s="179"/>
      <c r="I5" s="158"/>
      <c r="J5" s="159"/>
      <c r="L5" s="156" t="s">
        <v>122</v>
      </c>
      <c r="M5" s="157"/>
      <c r="N5" s="158"/>
      <c r="O5" s="159"/>
      <c r="Q5" s="179" t="s">
        <v>123</v>
      </c>
      <c r="R5" s="179"/>
      <c r="S5" s="158"/>
      <c r="T5" s="159"/>
    </row>
    <row r="6" spans="2:20" x14ac:dyDescent="0.15">
      <c r="B6" s="179" t="s">
        <v>124</v>
      </c>
      <c r="C6" s="179"/>
      <c r="D6" s="180" t="s">
        <v>125</v>
      </c>
      <c r="E6" s="181"/>
      <c r="G6" s="179" t="s">
        <v>126</v>
      </c>
      <c r="H6" s="179"/>
      <c r="I6" s="180"/>
      <c r="J6" s="181"/>
      <c r="L6" s="179" t="s">
        <v>124</v>
      </c>
      <c r="M6" s="179"/>
      <c r="N6" s="180" t="s">
        <v>125</v>
      </c>
      <c r="O6" s="181"/>
      <c r="Q6" s="179" t="s">
        <v>126</v>
      </c>
      <c r="R6" s="179"/>
      <c r="S6" s="180"/>
      <c r="T6" s="181"/>
    </row>
    <row r="7" spans="2:20" x14ac:dyDescent="0.15">
      <c r="B7" s="179" t="s">
        <v>127</v>
      </c>
      <c r="C7" s="179"/>
      <c r="D7" s="180" t="s">
        <v>125</v>
      </c>
      <c r="E7" s="181"/>
      <c r="G7" s="179" t="s">
        <v>128</v>
      </c>
      <c r="H7" s="179"/>
      <c r="I7" s="180"/>
      <c r="J7" s="181"/>
      <c r="L7" s="179" t="s">
        <v>127</v>
      </c>
      <c r="M7" s="179"/>
      <c r="N7" s="180" t="s">
        <v>125</v>
      </c>
      <c r="O7" s="181"/>
      <c r="Q7" s="179" t="s">
        <v>128</v>
      </c>
      <c r="R7" s="179"/>
      <c r="S7" s="180"/>
      <c r="T7" s="181"/>
    </row>
    <row r="8" spans="2:20" x14ac:dyDescent="0.15">
      <c r="B8" s="179" t="s">
        <v>129</v>
      </c>
      <c r="C8" s="179"/>
      <c r="D8" s="180">
        <f>D13*D15</f>
        <v>305000</v>
      </c>
      <c r="E8" s="181"/>
      <c r="G8" s="179" t="s">
        <v>130</v>
      </c>
      <c r="H8" s="179"/>
      <c r="I8" s="180"/>
      <c r="J8" s="181"/>
      <c r="L8" s="179" t="s">
        <v>129</v>
      </c>
      <c r="M8" s="179"/>
      <c r="N8" s="180">
        <f>N14*N16</f>
        <v>305000</v>
      </c>
      <c r="O8" s="181"/>
      <c r="Q8" s="179" t="s">
        <v>130</v>
      </c>
      <c r="R8" s="179"/>
      <c r="S8" s="180"/>
      <c r="T8" s="181"/>
    </row>
    <row r="9" spans="2:20" x14ac:dyDescent="0.15">
      <c r="B9" s="179" t="s">
        <v>131</v>
      </c>
      <c r="C9" s="179"/>
      <c r="D9" s="180" t="s">
        <v>132</v>
      </c>
      <c r="E9" s="181"/>
      <c r="G9" s="179" t="s">
        <v>133</v>
      </c>
      <c r="H9" s="179"/>
      <c r="I9" s="180"/>
      <c r="J9" s="181"/>
      <c r="L9" s="179" t="s">
        <v>131</v>
      </c>
      <c r="M9" s="179"/>
      <c r="N9" s="180" t="s">
        <v>132</v>
      </c>
      <c r="O9" s="181"/>
      <c r="Q9" s="179" t="s">
        <v>133</v>
      </c>
      <c r="R9" s="179"/>
      <c r="S9" s="180"/>
      <c r="T9" s="181"/>
    </row>
    <row r="10" spans="2:20" x14ac:dyDescent="0.15">
      <c r="B10" s="179" t="s">
        <v>134</v>
      </c>
      <c r="C10" s="179"/>
      <c r="D10" s="180">
        <v>43084</v>
      </c>
      <c r="E10" s="181"/>
      <c r="G10" s="160" t="s">
        <v>135</v>
      </c>
      <c r="H10" s="160"/>
      <c r="I10" s="180"/>
      <c r="J10" s="181"/>
      <c r="L10" s="179" t="s">
        <v>134</v>
      </c>
      <c r="M10" s="179"/>
      <c r="N10" s="180">
        <v>43084</v>
      </c>
      <c r="O10" s="181"/>
      <c r="Q10" s="160" t="s">
        <v>135</v>
      </c>
      <c r="R10" s="160"/>
      <c r="S10" s="180"/>
      <c r="T10" s="181"/>
    </row>
    <row r="11" spans="2:20" x14ac:dyDescent="0.15">
      <c r="B11" s="179" t="s">
        <v>136</v>
      </c>
      <c r="C11" s="179"/>
      <c r="D11" s="180">
        <v>3935</v>
      </c>
      <c r="E11" s="181"/>
      <c r="G11" s="179" t="s">
        <v>137</v>
      </c>
      <c r="H11" s="179"/>
      <c r="I11" s="180"/>
      <c r="J11" s="181"/>
      <c r="L11" s="179" t="s">
        <v>136</v>
      </c>
      <c r="M11" s="179"/>
      <c r="N11" s="180">
        <v>3935</v>
      </c>
      <c r="O11" s="181"/>
      <c r="Q11" s="179" t="s">
        <v>137</v>
      </c>
      <c r="R11" s="179"/>
      <c r="S11" s="180"/>
      <c r="T11" s="181"/>
    </row>
    <row r="12" spans="2:20" x14ac:dyDescent="0.15">
      <c r="B12" s="179" t="s">
        <v>138</v>
      </c>
      <c r="C12" s="179"/>
      <c r="D12" s="180">
        <v>3800</v>
      </c>
      <c r="E12" s="181"/>
      <c r="G12" s="179" t="s">
        <v>139</v>
      </c>
      <c r="H12" s="179"/>
      <c r="I12" s="180"/>
      <c r="J12" s="181"/>
      <c r="L12" s="179" t="s">
        <v>163</v>
      </c>
      <c r="M12" s="179"/>
      <c r="N12" s="180">
        <v>3800</v>
      </c>
      <c r="O12" s="181"/>
      <c r="Q12" s="179" t="s">
        <v>167</v>
      </c>
      <c r="R12" s="179"/>
      <c r="S12" s="180"/>
      <c r="T12" s="181"/>
    </row>
    <row r="13" spans="2:20" x14ac:dyDescent="0.15">
      <c r="B13" s="179" t="s">
        <v>140</v>
      </c>
      <c r="C13" s="179"/>
      <c r="D13" s="180">
        <v>61</v>
      </c>
      <c r="E13" s="181"/>
      <c r="G13" s="179" t="s">
        <v>141</v>
      </c>
      <c r="H13" s="179"/>
      <c r="I13" s="180"/>
      <c r="J13" s="181"/>
      <c r="L13" s="179" t="s">
        <v>164</v>
      </c>
      <c r="M13" s="179"/>
      <c r="N13" s="180">
        <v>3800</v>
      </c>
      <c r="O13" s="181"/>
      <c r="Q13" s="179" t="s">
        <v>168</v>
      </c>
      <c r="R13" s="179"/>
      <c r="S13" s="180"/>
      <c r="T13" s="181"/>
    </row>
    <row r="14" spans="2:20" x14ac:dyDescent="0.15">
      <c r="B14" s="179" t="s">
        <v>142</v>
      </c>
      <c r="C14" s="179"/>
      <c r="D14" s="180" t="s">
        <v>143</v>
      </c>
      <c r="E14" s="181"/>
      <c r="G14" s="179" t="s">
        <v>144</v>
      </c>
      <c r="H14" s="179"/>
      <c r="I14" s="161"/>
      <c r="J14" s="162"/>
      <c r="L14" s="179" t="s">
        <v>140</v>
      </c>
      <c r="M14" s="179"/>
      <c r="N14" s="180">
        <v>61</v>
      </c>
      <c r="O14" s="181"/>
      <c r="Q14" s="179" t="s">
        <v>141</v>
      </c>
      <c r="R14" s="179"/>
      <c r="S14" s="180"/>
      <c r="T14" s="181"/>
    </row>
    <row r="15" spans="2:20" x14ac:dyDescent="0.15">
      <c r="B15" s="179" t="s">
        <v>145</v>
      </c>
      <c r="C15" s="179"/>
      <c r="D15" s="180">
        <v>5000</v>
      </c>
      <c r="E15" s="181"/>
      <c r="G15" s="179" t="s">
        <v>146</v>
      </c>
      <c r="H15" s="179"/>
      <c r="I15" s="180"/>
      <c r="J15" s="181"/>
      <c r="L15" s="179" t="s">
        <v>142</v>
      </c>
      <c r="M15" s="179"/>
      <c r="N15" s="180" t="s">
        <v>143</v>
      </c>
      <c r="O15" s="181"/>
      <c r="Q15" s="179" t="s">
        <v>144</v>
      </c>
      <c r="R15" s="179"/>
      <c r="S15" s="161"/>
      <c r="T15" s="162"/>
    </row>
    <row r="16" spans="2:20" ht="11.25" thickBot="1" x14ac:dyDescent="0.2">
      <c r="B16" s="176" t="s">
        <v>147</v>
      </c>
      <c r="C16" s="176"/>
      <c r="D16" s="177" t="s">
        <v>148</v>
      </c>
      <c r="E16" s="178"/>
      <c r="G16" s="176" t="s">
        <v>149</v>
      </c>
      <c r="H16" s="176"/>
      <c r="I16" s="177"/>
      <c r="J16" s="178"/>
      <c r="L16" s="179" t="s">
        <v>145</v>
      </c>
      <c r="M16" s="179"/>
      <c r="N16" s="180">
        <v>5000</v>
      </c>
      <c r="O16" s="181"/>
      <c r="Q16" s="179" t="s">
        <v>146</v>
      </c>
      <c r="R16" s="179"/>
      <c r="S16" s="180"/>
      <c r="T16" s="181"/>
    </row>
    <row r="17" spans="2:25" ht="12" thickTop="1" thickBot="1" x14ac:dyDescent="0.2">
      <c r="L17" s="176" t="s">
        <v>147</v>
      </c>
      <c r="M17" s="176"/>
      <c r="N17" s="177" t="s">
        <v>148</v>
      </c>
      <c r="O17" s="178"/>
      <c r="Q17" s="176" t="s">
        <v>149</v>
      </c>
      <c r="R17" s="176"/>
      <c r="S17" s="177"/>
      <c r="T17" s="178"/>
    </row>
    <row r="18" spans="2:25" ht="11.25" thickTop="1" x14ac:dyDescent="0.15"/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5" t="s">
        <v>199</v>
      </c>
      <c r="C22" s="175"/>
      <c r="D22" s="175"/>
      <c r="E22" s="175"/>
      <c r="G22" s="172" t="s">
        <v>121</v>
      </c>
      <c r="H22" s="172"/>
      <c r="I22" s="172"/>
      <c r="J22" s="172"/>
      <c r="L22" s="172" t="s">
        <v>200</v>
      </c>
      <c r="M22" s="172"/>
      <c r="N22" s="172"/>
      <c r="O22" s="172"/>
      <c r="Q22" s="175" t="s">
        <v>199</v>
      </c>
      <c r="R22" s="175"/>
      <c r="S22" s="175"/>
      <c r="T22" s="175"/>
      <c r="V22" s="172" t="s">
        <v>200</v>
      </c>
      <c r="W22" s="172"/>
      <c r="X22" s="172"/>
      <c r="Y22" s="172"/>
    </row>
    <row r="23" spans="2:25" ht="12" thickTop="1" x14ac:dyDescent="0.15">
      <c r="B23" s="168" t="s">
        <v>122</v>
      </c>
      <c r="C23" s="168"/>
      <c r="D23" s="173">
        <f ca="1">TODAY()</f>
        <v>43140</v>
      </c>
      <c r="E23" s="174"/>
      <c r="G23" s="156" t="s">
        <v>122</v>
      </c>
      <c r="H23" s="157"/>
      <c r="I23" s="187"/>
      <c r="J23" s="188"/>
      <c r="L23" s="168" t="s">
        <v>122</v>
      </c>
      <c r="M23" s="168"/>
      <c r="N23" s="173">
        <f ca="1">TODAY()</f>
        <v>43140</v>
      </c>
      <c r="O23" s="174"/>
      <c r="Q23" s="168" t="s">
        <v>122</v>
      </c>
      <c r="R23" s="168"/>
      <c r="S23" s="173">
        <f ca="1">TODAY()-1</f>
        <v>43139</v>
      </c>
      <c r="T23" s="174"/>
      <c r="V23" s="168" t="s">
        <v>122</v>
      </c>
      <c r="W23" s="168"/>
      <c r="X23" s="173">
        <f ca="1">TODAY()-1</f>
        <v>43139</v>
      </c>
      <c r="Y23" s="174"/>
    </row>
    <row r="24" spans="2:25" ht="11.25" x14ac:dyDescent="0.15">
      <c r="B24" s="168" t="s">
        <v>124</v>
      </c>
      <c r="C24" s="168"/>
      <c r="D24" s="166" t="s">
        <v>194</v>
      </c>
      <c r="E24" s="167"/>
      <c r="G24" s="179" t="s">
        <v>183</v>
      </c>
      <c r="H24" s="179"/>
      <c r="I24" s="180"/>
      <c r="J24" s="181"/>
      <c r="L24" s="168" t="s">
        <v>124</v>
      </c>
      <c r="M24" s="168"/>
      <c r="N24" s="166" t="s">
        <v>36</v>
      </c>
      <c r="O24" s="167"/>
      <c r="Q24" s="168" t="s">
        <v>124</v>
      </c>
      <c r="R24" s="168"/>
      <c r="S24" s="166" t="s">
        <v>36</v>
      </c>
      <c r="T24" s="167"/>
      <c r="V24" s="168" t="s">
        <v>124</v>
      </c>
      <c r="W24" s="168"/>
      <c r="X24" s="166" t="s">
        <v>36</v>
      </c>
      <c r="Y24" s="167"/>
    </row>
    <row r="25" spans="2:25" ht="11.25" x14ac:dyDescent="0.15">
      <c r="B25" s="168" t="s">
        <v>127</v>
      </c>
      <c r="C25" s="168"/>
      <c r="D25" s="166" t="s">
        <v>208</v>
      </c>
      <c r="E25" s="167"/>
      <c r="G25" s="179" t="s">
        <v>181</v>
      </c>
      <c r="H25" s="179"/>
      <c r="I25" s="180"/>
      <c r="J25" s="181"/>
      <c r="L25" s="168" t="s">
        <v>127</v>
      </c>
      <c r="M25" s="168"/>
      <c r="N25" s="166" t="s">
        <v>208</v>
      </c>
      <c r="O25" s="167"/>
      <c r="Q25" s="168" t="s">
        <v>127</v>
      </c>
      <c r="R25" s="168"/>
      <c r="S25" s="166" t="s">
        <v>198</v>
      </c>
      <c r="T25" s="167"/>
      <c r="V25" s="168" t="s">
        <v>127</v>
      </c>
      <c r="W25" s="168"/>
      <c r="X25" s="166" t="s">
        <v>198</v>
      </c>
      <c r="Y25" s="167"/>
    </row>
    <row r="26" spans="2:25" ht="11.25" x14ac:dyDescent="0.15">
      <c r="B26" s="168" t="s">
        <v>129</v>
      </c>
      <c r="C26" s="168"/>
      <c r="D26" s="166">
        <f>D31*D33</f>
        <v>500000</v>
      </c>
      <c r="E26" s="167"/>
      <c r="G26" s="160" t="s">
        <v>182</v>
      </c>
      <c r="H26" s="160"/>
      <c r="I26" s="180"/>
      <c r="J26" s="181"/>
      <c r="L26" s="168" t="s">
        <v>129</v>
      </c>
      <c r="M26" s="168"/>
      <c r="N26" s="166">
        <f>N31*N33</f>
        <v>275000</v>
      </c>
      <c r="O26" s="167"/>
      <c r="Q26" s="168" t="s">
        <v>129</v>
      </c>
      <c r="R26" s="168"/>
      <c r="S26" s="166">
        <f>S31*S33</f>
        <v>235799.99999999997</v>
      </c>
      <c r="T26" s="167"/>
      <c r="V26" s="168" t="s">
        <v>129</v>
      </c>
      <c r="W26" s="168"/>
      <c r="X26" s="166">
        <f>X31*X33</f>
        <v>235799.99999999997</v>
      </c>
      <c r="Y26" s="167"/>
    </row>
    <row r="27" spans="2:25" ht="11.25" x14ac:dyDescent="0.15">
      <c r="B27" s="168" t="s">
        <v>131</v>
      </c>
      <c r="C27" s="168"/>
      <c r="D27" s="166" t="s">
        <v>201</v>
      </c>
      <c r="E27" s="167"/>
      <c r="G27" s="179" t="s">
        <v>131</v>
      </c>
      <c r="H27" s="179"/>
      <c r="I27" s="180"/>
      <c r="J27" s="181"/>
      <c r="L27" s="168" t="s">
        <v>131</v>
      </c>
      <c r="M27" s="168"/>
      <c r="N27" s="166" t="s">
        <v>201</v>
      </c>
      <c r="O27" s="167"/>
      <c r="Q27" s="168" t="s">
        <v>131</v>
      </c>
      <c r="R27" s="168"/>
      <c r="S27" s="166" t="s">
        <v>202</v>
      </c>
      <c r="T27" s="167"/>
      <c r="V27" s="168" t="s">
        <v>131</v>
      </c>
      <c r="W27" s="168"/>
      <c r="X27" s="166" t="s">
        <v>201</v>
      </c>
      <c r="Y27" s="167"/>
    </row>
    <row r="28" spans="2:25" ht="11.25" x14ac:dyDescent="0.15">
      <c r="B28" s="168" t="s">
        <v>134</v>
      </c>
      <c r="C28" s="168"/>
      <c r="D28" s="173">
        <v>43205</v>
      </c>
      <c r="E28" s="167"/>
      <c r="G28" s="179" t="s">
        <v>134</v>
      </c>
      <c r="H28" s="179"/>
      <c r="I28" s="191"/>
      <c r="J28" s="181"/>
      <c r="L28" s="168" t="s">
        <v>134</v>
      </c>
      <c r="M28" s="168"/>
      <c r="N28" s="173">
        <v>43219</v>
      </c>
      <c r="O28" s="167"/>
      <c r="Q28" s="168" t="s">
        <v>134</v>
      </c>
      <c r="R28" s="168"/>
      <c r="S28" s="173">
        <v>43201</v>
      </c>
      <c r="T28" s="167"/>
      <c r="V28" s="168" t="s">
        <v>134</v>
      </c>
      <c r="W28" s="168"/>
      <c r="X28" s="173">
        <v>43201</v>
      </c>
      <c r="Y28" s="167"/>
    </row>
    <row r="29" spans="2:25" ht="11.25" x14ac:dyDescent="0.15">
      <c r="B29" s="168" t="s">
        <v>136</v>
      </c>
      <c r="C29" s="168"/>
      <c r="D29" s="166">
        <v>3775</v>
      </c>
      <c r="E29" s="167"/>
      <c r="G29" s="179" t="s">
        <v>136</v>
      </c>
      <c r="H29" s="179"/>
      <c r="I29" s="180"/>
      <c r="J29" s="181"/>
      <c r="L29" s="168" t="s">
        <v>136</v>
      </c>
      <c r="M29" s="168"/>
      <c r="N29" s="166">
        <v>3760</v>
      </c>
      <c r="O29" s="167"/>
      <c r="Q29" s="168" t="s">
        <v>136</v>
      </c>
      <c r="R29" s="168"/>
      <c r="S29" s="166">
        <v>524</v>
      </c>
      <c r="T29" s="167"/>
      <c r="V29" s="168" t="s">
        <v>136</v>
      </c>
      <c r="W29" s="168"/>
      <c r="X29" s="166">
        <v>524</v>
      </c>
      <c r="Y29" s="167"/>
    </row>
    <row r="30" spans="2:25" ht="11.25" x14ac:dyDescent="0.15">
      <c r="B30" s="168" t="s">
        <v>138</v>
      </c>
      <c r="C30" s="168"/>
      <c r="D30" s="166">
        <v>3720</v>
      </c>
      <c r="E30" s="167"/>
      <c r="G30" s="179" t="s">
        <v>179</v>
      </c>
      <c r="H30" s="179"/>
      <c r="I30" s="161"/>
      <c r="J30" s="162"/>
      <c r="L30" s="168" t="s">
        <v>138</v>
      </c>
      <c r="M30" s="168"/>
      <c r="N30" s="166">
        <v>3700</v>
      </c>
      <c r="O30" s="167"/>
      <c r="Q30" s="168" t="s">
        <v>138</v>
      </c>
      <c r="R30" s="168"/>
      <c r="S30" s="166">
        <v>524</v>
      </c>
      <c r="T30" s="167"/>
      <c r="V30" s="168" t="s">
        <v>138</v>
      </c>
      <c r="W30" s="168"/>
      <c r="X30" s="166">
        <v>524</v>
      </c>
      <c r="Y30" s="167"/>
    </row>
    <row r="31" spans="2:25" ht="11.25" x14ac:dyDescent="0.15">
      <c r="B31" s="168" t="s">
        <v>140</v>
      </c>
      <c r="C31" s="168"/>
      <c r="D31" s="166">
        <v>50</v>
      </c>
      <c r="E31" s="167"/>
      <c r="G31" s="179" t="s">
        <v>180</v>
      </c>
      <c r="H31" s="179"/>
      <c r="I31" s="180"/>
      <c r="J31" s="181"/>
      <c r="L31" s="168" t="s">
        <v>140</v>
      </c>
      <c r="M31" s="168"/>
      <c r="N31" s="166">
        <v>55</v>
      </c>
      <c r="O31" s="167"/>
      <c r="Q31" s="168" t="s">
        <v>140</v>
      </c>
      <c r="R31" s="168"/>
      <c r="S31" s="166">
        <v>23.58</v>
      </c>
      <c r="T31" s="167"/>
      <c r="V31" s="168" t="s">
        <v>140</v>
      </c>
      <c r="W31" s="168"/>
      <c r="X31" s="166">
        <v>23.58</v>
      </c>
      <c r="Y31" s="167"/>
    </row>
    <row r="32" spans="2:25" ht="11.25" x14ac:dyDescent="0.15">
      <c r="B32" s="168" t="s">
        <v>142</v>
      </c>
      <c r="C32" s="168"/>
      <c r="D32" s="166" t="s">
        <v>206</v>
      </c>
      <c r="E32" s="167"/>
      <c r="G32" s="179" t="s">
        <v>140</v>
      </c>
      <c r="H32" s="179"/>
      <c r="I32" s="180"/>
      <c r="J32" s="181"/>
      <c r="L32" s="168" t="s">
        <v>142</v>
      </c>
      <c r="M32" s="168"/>
      <c r="N32" s="166" t="s">
        <v>206</v>
      </c>
      <c r="O32" s="167"/>
      <c r="Q32" s="168" t="s">
        <v>142</v>
      </c>
      <c r="R32" s="168"/>
      <c r="S32" s="166" t="s">
        <v>203</v>
      </c>
      <c r="T32" s="167"/>
      <c r="V32" s="168" t="s">
        <v>142</v>
      </c>
      <c r="W32" s="168"/>
      <c r="X32" s="166" t="s">
        <v>203</v>
      </c>
      <c r="Y32" s="167"/>
    </row>
    <row r="33" spans="2:25" ht="11.25" x14ac:dyDescent="0.15">
      <c r="B33" s="168" t="s">
        <v>145</v>
      </c>
      <c r="C33" s="168"/>
      <c r="D33" s="166">
        <v>10000</v>
      </c>
      <c r="E33" s="167"/>
      <c r="G33" s="179" t="s">
        <v>142</v>
      </c>
      <c r="H33" s="179"/>
      <c r="I33" s="180"/>
      <c r="J33" s="181"/>
      <c r="L33" s="168" t="s">
        <v>145</v>
      </c>
      <c r="M33" s="168"/>
      <c r="N33" s="166">
        <v>5000</v>
      </c>
      <c r="O33" s="167"/>
      <c r="Q33" s="168" t="s">
        <v>145</v>
      </c>
      <c r="R33" s="168"/>
      <c r="S33" s="166">
        <v>10000</v>
      </c>
      <c r="T33" s="167"/>
      <c r="V33" s="168" t="s">
        <v>145</v>
      </c>
      <c r="W33" s="168"/>
      <c r="X33" s="166">
        <v>10000</v>
      </c>
      <c r="Y33" s="167"/>
    </row>
    <row r="34" spans="2:25" ht="12" thickBot="1" x14ac:dyDescent="0.2">
      <c r="B34" s="169" t="s">
        <v>147</v>
      </c>
      <c r="C34" s="169"/>
      <c r="D34" s="170" t="s">
        <v>148</v>
      </c>
      <c r="E34" s="171"/>
      <c r="G34" s="179" t="s">
        <v>145</v>
      </c>
      <c r="H34" s="179"/>
      <c r="I34" s="189"/>
      <c r="J34" s="190"/>
      <c r="L34" s="169" t="s">
        <v>147</v>
      </c>
      <c r="M34" s="169"/>
      <c r="N34" s="170" t="s">
        <v>148</v>
      </c>
      <c r="O34" s="171"/>
      <c r="Q34" s="169" t="s">
        <v>147</v>
      </c>
      <c r="R34" s="169"/>
      <c r="S34" s="170" t="s">
        <v>148</v>
      </c>
      <c r="T34" s="171"/>
      <c r="V34" s="169" t="s">
        <v>147</v>
      </c>
      <c r="W34" s="169"/>
      <c r="X34" s="170" t="s">
        <v>148</v>
      </c>
      <c r="Y34" s="171"/>
    </row>
    <row r="35" spans="2:25" ht="12" thickTop="1" thickBot="1" x14ac:dyDescent="0.2">
      <c r="G35" s="176" t="s">
        <v>147</v>
      </c>
      <c r="H35" s="176"/>
      <c r="I35" s="177"/>
      <c r="J35" s="178"/>
    </row>
    <row r="36" spans="2:25" ht="11.25" thickTop="1" x14ac:dyDescent="0.15"/>
  </sheetData>
  <mergeCells count="225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X31:Y31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0"/>
  <sheetViews>
    <sheetView topLeftCell="B4" zoomScaleNormal="100" workbookViewId="0">
      <selection activeCell="L32" sqref="L3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92" t="s">
        <v>37</v>
      </c>
      <c r="C1" s="19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205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26" ca="1" si="0">TODAY()</f>
        <v>43140</v>
      </c>
      <c r="F8" s="21">
        <f t="shared" ref="F8:F17" ca="1" si="1">E8+H8</f>
        <v>43170</v>
      </c>
      <c r="G8" s="19">
        <v>3800</v>
      </c>
      <c r="H8" s="19">
        <v>30</v>
      </c>
      <c r="I8" s="22">
        <f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-179.57896809899421</v>
      </c>
      <c r="M8" s="25"/>
      <c r="N8" s="24">
        <f t="shared" ref="N8:N17" si="2">M8/10000*I8*P8</f>
        <v>0</v>
      </c>
      <c r="O8" s="24">
        <f t="shared" ref="O8:O17" si="3">IF(L8&lt;=0,ABS(L8)+N8,L8-N8)</f>
        <v>179.57896809899421</v>
      </c>
      <c r="P8" s="20">
        <f>RTD("wdf.rtq",,D8,"LastPrice")</f>
        <v>3887</v>
      </c>
      <c r="Q8" s="19" t="s">
        <v>27</v>
      </c>
      <c r="R8" s="19">
        <f t="shared" ref="R8:R25" si="4">IF(S8="中金买入",1,-1)</f>
        <v>-1</v>
      </c>
      <c r="S8" s="19" t="s">
        <v>31</v>
      </c>
      <c r="T8" s="26">
        <f t="shared" ref="T8:T17" si="5">O8/P8</f>
        <v>4.6199888885771603E-2</v>
      </c>
      <c r="U8" s="24">
        <f>_xll.dnetGBlackScholesNGreeks("delta",$Q8,$P8,$G8,$I8,$C$3,$J8,$K8,$C$4)*R8</f>
        <v>-0.61925401475946273</v>
      </c>
      <c r="V8" s="24">
        <f>_xll.dnetGBlackScholesNGreeks("vega",$Q8,$P8,$G8,$I8,$C$3,$J8,$K8,$C$4)*R8</f>
        <v>-4.2349603182667579</v>
      </c>
    </row>
    <row r="9" spans="1:25" x14ac:dyDescent="0.15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43140</v>
      </c>
      <c r="F9" s="8">
        <f t="shared" ca="1" si="1"/>
        <v>43172</v>
      </c>
      <c r="G9" s="10">
        <v>102.5</v>
      </c>
      <c r="H9" s="10">
        <v>32</v>
      </c>
      <c r="I9" s="12">
        <f>H9/365</f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2"/>
        <v>0</v>
      </c>
      <c r="O9" s="13">
        <f t="shared" si="3"/>
        <v>1.0209659960206068</v>
      </c>
      <c r="P9" s="11">
        <v>100</v>
      </c>
      <c r="Q9" s="10" t="s">
        <v>27</v>
      </c>
      <c r="R9" s="10">
        <f t="shared" si="4"/>
        <v>1</v>
      </c>
      <c r="S9" s="10" t="s">
        <v>151</v>
      </c>
      <c r="T9" s="14">
        <f t="shared" si="5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172</v>
      </c>
      <c r="C10" s="10" t="s">
        <v>189</v>
      </c>
      <c r="D10" s="10" t="s">
        <v>206</v>
      </c>
      <c r="E10" s="8">
        <f t="shared" ca="1" si="0"/>
        <v>43140</v>
      </c>
      <c r="F10" s="8">
        <f t="shared" ca="1" si="1"/>
        <v>43205</v>
      </c>
      <c r="G10" s="10">
        <v>3750</v>
      </c>
      <c r="H10" s="10">
        <v>65</v>
      </c>
      <c r="I10" s="12">
        <f t="shared" ref="I10:I21" si="6">(H10-7)/365</f>
        <v>0.15890410958904111</v>
      </c>
      <c r="J10" s="12">
        <v>0</v>
      </c>
      <c r="K10" s="9">
        <v>0.125</v>
      </c>
      <c r="L10" s="13">
        <f>_xll.dnetGBlackScholesNGreeks("price",$Q10,$P10,$G10,$I10,$C$3,$J10,$K10,$C$4)*R10</f>
        <v>73.328086846389169</v>
      </c>
      <c r="M10" s="15"/>
      <c r="N10" s="13">
        <f t="shared" si="2"/>
        <v>0</v>
      </c>
      <c r="O10" s="13">
        <f t="shared" si="3"/>
        <v>73.328086846389169</v>
      </c>
      <c r="P10" s="11">
        <f>RTD("wdf.rtq",,D10,"LastPrice")</f>
        <v>3752</v>
      </c>
      <c r="Q10" s="10" t="s">
        <v>85</v>
      </c>
      <c r="R10" s="10">
        <f t="shared" si="4"/>
        <v>1</v>
      </c>
      <c r="S10" s="10" t="s">
        <v>151</v>
      </c>
      <c r="T10" s="14">
        <f t="shared" si="5"/>
        <v>1.9543733168014173E-2</v>
      </c>
      <c r="U10" s="13">
        <f>_xll.dnetGBlackScholesNGreeks("delta",$Q10,$P10,$G10,$I10,$C$3,$J10,$K10,$C$4)*R10</f>
        <v>-0.4842533212354283</v>
      </c>
      <c r="V10" s="13">
        <f>_xll.dnetGBlackScholesNGreeks("vega",$Q10,$P10,$G10,$I10,$C$3,$J10,$K10,$C$4)*R10</f>
        <v>5.9440760441887051</v>
      </c>
    </row>
    <row r="11" spans="1:25" x14ac:dyDescent="0.15">
      <c r="A11" s="42"/>
      <c r="B11" s="13" t="s">
        <v>172</v>
      </c>
      <c r="C11" s="10" t="s">
        <v>189</v>
      </c>
      <c r="D11" s="10" t="s">
        <v>206</v>
      </c>
      <c r="E11" s="8">
        <f t="shared" ca="1" si="0"/>
        <v>43140</v>
      </c>
      <c r="F11" s="8">
        <f t="shared" ca="1" si="1"/>
        <v>43205</v>
      </c>
      <c r="G11" s="10">
        <v>3700</v>
      </c>
      <c r="H11" s="10">
        <v>65</v>
      </c>
      <c r="I11" s="12">
        <f t="shared" si="6"/>
        <v>0.15890410958904111</v>
      </c>
      <c r="J11" s="12">
        <v>0</v>
      </c>
      <c r="K11" s="9">
        <v>0.125</v>
      </c>
      <c r="L11" s="13">
        <f>_xll.dnetGBlackScholesNGreeks("price",$Q11,$P11,$G11,$I11,$C$3,$J11,$K11,$C$4)*R11</f>
        <v>50.784095029664059</v>
      </c>
      <c r="M11" s="15"/>
      <c r="N11" s="13">
        <f t="shared" si="2"/>
        <v>0</v>
      </c>
      <c r="O11" s="13">
        <f t="shared" si="3"/>
        <v>50.784095029664059</v>
      </c>
      <c r="P11" s="11">
        <f>RTD("wdf.rtq",,D11,"LastPrice")</f>
        <v>3752</v>
      </c>
      <c r="Q11" s="10" t="s">
        <v>85</v>
      </c>
      <c r="R11" s="10">
        <f t="shared" si="4"/>
        <v>1</v>
      </c>
      <c r="S11" s="10" t="s">
        <v>151</v>
      </c>
      <c r="T11" s="14">
        <f t="shared" si="5"/>
        <v>1.3535206564409397E-2</v>
      </c>
      <c r="U11" s="13">
        <f>_xll.dnetGBlackScholesNGreeks("delta",$Q11,$P11,$G11,$I11,$C$3,$J11,$K11,$C$4)*R11</f>
        <v>-0.37897700306075421</v>
      </c>
      <c r="V11" s="13">
        <f>_xll.dnetGBlackScholesNGreeks("vega",$Q11,$P11,$G11,$I11,$C$3,$J11,$K11,$C$4)*R11</f>
        <v>5.6761394233068359</v>
      </c>
    </row>
    <row r="12" spans="1:25" x14ac:dyDescent="0.15">
      <c r="A12" s="42"/>
      <c r="B12" s="13" t="s">
        <v>172</v>
      </c>
      <c r="C12" s="10" t="s">
        <v>189</v>
      </c>
      <c r="D12" s="10" t="s">
        <v>206</v>
      </c>
      <c r="E12" s="8">
        <f t="shared" ca="1" si="0"/>
        <v>43140</v>
      </c>
      <c r="F12" s="8">
        <f t="shared" ca="1" si="1"/>
        <v>43205</v>
      </c>
      <c r="G12" s="10">
        <v>3650</v>
      </c>
      <c r="H12" s="10">
        <v>65</v>
      </c>
      <c r="I12" s="12">
        <f t="shared" si="6"/>
        <v>0.15890410958904111</v>
      </c>
      <c r="J12" s="12">
        <v>0</v>
      </c>
      <c r="K12" s="9">
        <v>0.125</v>
      </c>
      <c r="L12" s="13">
        <f>_xll.dnetGBlackScholesNGreeks("price",$Q12,$P12,$G12,$I12,$C$3,$J12,$K12,$C$4)*R12</f>
        <v>33.429131451310695</v>
      </c>
      <c r="M12" s="15"/>
      <c r="N12" s="13">
        <f t="shared" si="2"/>
        <v>0</v>
      </c>
      <c r="O12" s="13">
        <f t="shared" si="3"/>
        <v>33.429131451310695</v>
      </c>
      <c r="P12" s="11">
        <f>RTD("wdf.rtq",,D12,"LastPrice")</f>
        <v>3752</v>
      </c>
      <c r="Q12" s="10" t="s">
        <v>85</v>
      </c>
      <c r="R12" s="10">
        <f t="shared" si="4"/>
        <v>1</v>
      </c>
      <c r="S12" s="10" t="s">
        <v>151</v>
      </c>
      <c r="T12" s="14">
        <f t="shared" si="5"/>
        <v>8.9096832226307817E-3</v>
      </c>
      <c r="U12" s="13">
        <f>_xll.dnetGBlackScholesNGreeks("delta",$Q12,$P12,$G12,$I12,$C$3,$J12,$K12,$C$4)*R12</f>
        <v>-0.28072192234276372</v>
      </c>
      <c r="V12" s="13">
        <f>_xll.dnetGBlackScholesNGreeks("vega",$Q12,$P12,$G12,$I12,$C$3,$J12,$K12,$C$4)*R12</f>
        <v>5.0282662774431515</v>
      </c>
    </row>
    <row r="13" spans="1:25" x14ac:dyDescent="0.15">
      <c r="A13" s="42"/>
      <c r="B13" s="13" t="s">
        <v>172</v>
      </c>
      <c r="C13" s="10" t="s">
        <v>189</v>
      </c>
      <c r="D13" s="10" t="s">
        <v>206</v>
      </c>
      <c r="E13" s="8">
        <f t="shared" ca="1" si="0"/>
        <v>43140</v>
      </c>
      <c r="F13" s="8">
        <f t="shared" ca="1" si="1"/>
        <v>43205</v>
      </c>
      <c r="G13" s="10">
        <v>3600</v>
      </c>
      <c r="H13" s="10">
        <v>65</v>
      </c>
      <c r="I13" s="12">
        <f t="shared" si="6"/>
        <v>0.15890410958904111</v>
      </c>
      <c r="J13" s="12">
        <v>0</v>
      </c>
      <c r="K13" s="9">
        <v>0.125</v>
      </c>
      <c r="L13" s="13">
        <f>_xll.dnetGBlackScholesNGreeks("price",$Q13,$P13,$G13,$I13,$C$3,$J13,$K13,$C$4)*R13</f>
        <v>20.805090259469694</v>
      </c>
      <c r="M13" s="15"/>
      <c r="N13" s="13">
        <f t="shared" si="2"/>
        <v>0</v>
      </c>
      <c r="O13" s="13">
        <f t="shared" si="3"/>
        <v>20.805090259469694</v>
      </c>
      <c r="P13" s="11">
        <f>RTD("wdf.rtq",,D13,"LastPrice")</f>
        <v>3752</v>
      </c>
      <c r="Q13" s="10" t="s">
        <v>85</v>
      </c>
      <c r="R13" s="10">
        <f t="shared" si="4"/>
        <v>1</v>
      </c>
      <c r="S13" s="10" t="s">
        <v>151</v>
      </c>
      <c r="T13" s="14">
        <f t="shared" si="5"/>
        <v>5.5450667002850994E-3</v>
      </c>
      <c r="U13" s="13">
        <f>_xll.dnetGBlackScholesNGreeks("delta",$Q13,$P13,$G13,$I13,$C$3,$J13,$K13,$C$4)*R13</f>
        <v>-0.19568999991861347</v>
      </c>
      <c r="V13" s="13">
        <f>_xll.dnetGBlackScholesNGreeks("vega",$Q13,$P13,$G13,$I13,$C$3,$J13,$K13,$C$4)*R13</f>
        <v>4.1203088237259635</v>
      </c>
    </row>
    <row r="14" spans="1:25" x14ac:dyDescent="0.15">
      <c r="A14" s="42"/>
      <c r="B14" s="13" t="s">
        <v>172</v>
      </c>
      <c r="C14" s="10" t="s">
        <v>189</v>
      </c>
      <c r="D14" s="10" t="s">
        <v>206</v>
      </c>
      <c r="E14" s="8">
        <f t="shared" ca="1" si="0"/>
        <v>43140</v>
      </c>
      <c r="F14" s="8">
        <f t="shared" ca="1" si="1"/>
        <v>43219</v>
      </c>
      <c r="G14" s="10">
        <v>3750</v>
      </c>
      <c r="H14" s="10">
        <v>79</v>
      </c>
      <c r="I14" s="12">
        <f t="shared" si="6"/>
        <v>0.19726027397260273</v>
      </c>
      <c r="J14" s="12">
        <v>0</v>
      </c>
      <c r="K14" s="9">
        <v>0.125</v>
      </c>
      <c r="L14" s="13">
        <f>_xll.dnetGBlackScholesNGreeks("price",$Q14,$P14,$G14,$I14,$C$3,$J14,$K14,$C$4)*R14</f>
        <v>81.748188615413028</v>
      </c>
      <c r="M14" s="15"/>
      <c r="N14" s="13">
        <f t="shared" si="2"/>
        <v>0</v>
      </c>
      <c r="O14" s="13">
        <f t="shared" si="3"/>
        <v>81.748188615413028</v>
      </c>
      <c r="P14" s="11">
        <f>RTD("wdf.rtq",,D14,"LastPrice")</f>
        <v>3752</v>
      </c>
      <c r="Q14" s="10" t="s">
        <v>85</v>
      </c>
      <c r="R14" s="10">
        <f t="shared" si="4"/>
        <v>1</v>
      </c>
      <c r="S14" s="10" t="s">
        <v>151</v>
      </c>
      <c r="T14" s="14">
        <f t="shared" si="5"/>
        <v>2.1787896752508803E-2</v>
      </c>
      <c r="U14" s="13">
        <f>_xll.dnetGBlackScholesNGreeks("delta",$Q14,$P14,$G14,$I14,$C$3,$J14,$K14,$C$4)*R14</f>
        <v>-0.48318783934746534</v>
      </c>
      <c r="V14" s="13">
        <f>_xll.dnetGBlackScholesNGreeks("vega",$Q14,$P14,$G14,$I14,$C$3,$J14,$K14,$C$4)*R14</f>
        <v>6.6172221131740798</v>
      </c>
    </row>
    <row r="15" spans="1:25" x14ac:dyDescent="0.15">
      <c r="A15" s="42"/>
      <c r="B15" s="13" t="s">
        <v>172</v>
      </c>
      <c r="C15" s="10" t="s">
        <v>189</v>
      </c>
      <c r="D15" s="10" t="s">
        <v>206</v>
      </c>
      <c r="E15" s="8">
        <f t="shared" ca="1" si="0"/>
        <v>43140</v>
      </c>
      <c r="F15" s="8">
        <f t="shared" ca="1" si="1"/>
        <v>43219</v>
      </c>
      <c r="G15" s="10">
        <v>3700</v>
      </c>
      <c r="H15" s="10">
        <v>79</v>
      </c>
      <c r="I15" s="12">
        <f t="shared" si="6"/>
        <v>0.19726027397260273</v>
      </c>
      <c r="J15" s="12">
        <v>0</v>
      </c>
      <c r="K15" s="9">
        <v>0.125</v>
      </c>
      <c r="L15" s="13">
        <f>_xll.dnetGBlackScholesNGreeks("price",$Q15,$P15,$G15,$I15,$C$3,$J15,$K15,$C$4)*R15</f>
        <v>58.873970736489355</v>
      </c>
      <c r="M15" s="15"/>
      <c r="N15" s="13">
        <f t="shared" si="2"/>
        <v>0</v>
      </c>
      <c r="O15" s="13">
        <f t="shared" si="3"/>
        <v>58.873970736489355</v>
      </c>
      <c r="P15" s="11">
        <f>RTD("wdf.rtq",,D15,"LastPrice")</f>
        <v>3752</v>
      </c>
      <c r="Q15" s="10" t="s">
        <v>85</v>
      </c>
      <c r="R15" s="10">
        <f t="shared" si="4"/>
        <v>1</v>
      </c>
      <c r="S15" s="10" t="s">
        <v>151</v>
      </c>
      <c r="T15" s="14">
        <f t="shared" si="5"/>
        <v>1.5691356806100575E-2</v>
      </c>
      <c r="U15" s="13">
        <f>_xll.dnetGBlackScholesNGreeks("delta",$Q15,$P15,$G15,$I15,$C$3,$J15,$K15,$C$4)*R15</f>
        <v>-0.38853175697113329</v>
      </c>
      <c r="V15" s="13">
        <f>_xll.dnetGBlackScholesNGreeks("vega",$Q15,$P15,$G15,$I15,$C$3,$J15,$K15,$C$4)*R15</f>
        <v>6.3675470175537612</v>
      </c>
    </row>
    <row r="16" spans="1:25" x14ac:dyDescent="0.15">
      <c r="A16" s="42"/>
      <c r="B16" s="13" t="s">
        <v>172</v>
      </c>
      <c r="C16" s="10" t="s">
        <v>189</v>
      </c>
      <c r="D16" s="10" t="s">
        <v>206</v>
      </c>
      <c r="E16" s="8">
        <f t="shared" ca="1" si="0"/>
        <v>43140</v>
      </c>
      <c r="F16" s="8">
        <f t="shared" ca="1" si="1"/>
        <v>43219</v>
      </c>
      <c r="G16" s="10">
        <v>3650</v>
      </c>
      <c r="H16" s="10">
        <v>79</v>
      </c>
      <c r="I16" s="12">
        <f t="shared" si="6"/>
        <v>0.19726027397260273</v>
      </c>
      <c r="J16" s="12">
        <v>0</v>
      </c>
      <c r="K16" s="9">
        <v>0.125</v>
      </c>
      <c r="L16" s="13">
        <f>_xll.dnetGBlackScholesNGreeks("price",$Q16,$P16,$G16,$I16,$C$3,$J16,$K16,$C$4)*R16</f>
        <v>40.693824682121885</v>
      </c>
      <c r="M16" s="15"/>
      <c r="N16" s="13">
        <f t="shared" si="2"/>
        <v>0</v>
      </c>
      <c r="O16" s="13">
        <f t="shared" si="3"/>
        <v>40.693824682121885</v>
      </c>
      <c r="P16" s="11">
        <f>RTD("wdf.rtq",,D16,"LastPrice")</f>
        <v>3752</v>
      </c>
      <c r="Q16" s="10" t="s">
        <v>85</v>
      </c>
      <c r="R16" s="10">
        <f t="shared" si="4"/>
        <v>1</v>
      </c>
      <c r="S16" s="10" t="s">
        <v>151</v>
      </c>
      <c r="T16" s="14">
        <f t="shared" si="5"/>
        <v>1.0845902100778754E-2</v>
      </c>
      <c r="U16" s="13">
        <f>_xll.dnetGBlackScholesNGreeks("delta",$Q16,$P16,$G16,$I16,$C$3,$J16,$K16,$C$4)*R16</f>
        <v>-0.29888390638461715</v>
      </c>
      <c r="V16" s="13">
        <f>_xll.dnetGBlackScholesNGreeks("vega",$Q16,$P16,$G16,$I16,$C$3,$J16,$K16,$C$4)*R16</f>
        <v>5.7675445600257262</v>
      </c>
    </row>
    <row r="17" spans="1:22" x14ac:dyDescent="0.15">
      <c r="A17" s="42"/>
      <c r="B17" s="13" t="s">
        <v>172</v>
      </c>
      <c r="C17" s="10" t="s">
        <v>189</v>
      </c>
      <c r="D17" s="10" t="s">
        <v>206</v>
      </c>
      <c r="E17" s="8">
        <f t="shared" ca="1" si="0"/>
        <v>43140</v>
      </c>
      <c r="F17" s="8">
        <f t="shared" ca="1" si="1"/>
        <v>43219</v>
      </c>
      <c r="G17" s="10">
        <v>3600</v>
      </c>
      <c r="H17" s="10">
        <v>79</v>
      </c>
      <c r="I17" s="12">
        <f t="shared" si="6"/>
        <v>0.19726027397260273</v>
      </c>
      <c r="J17" s="12">
        <v>0</v>
      </c>
      <c r="K17" s="9">
        <v>0.125</v>
      </c>
      <c r="L17" s="13">
        <f>_xll.dnetGBlackScholesNGreeks("price",$Q17,$P17,$G17,$I17,$C$3,$J17,$K17,$C$4)*R17</f>
        <v>26.88729692905747</v>
      </c>
      <c r="M17" s="15"/>
      <c r="N17" s="13">
        <f t="shared" si="2"/>
        <v>0</v>
      </c>
      <c r="O17" s="13">
        <f t="shared" si="3"/>
        <v>26.88729692905747</v>
      </c>
      <c r="P17" s="11">
        <f>RTD("wdf.rtq",,D17,"LastPrice")</f>
        <v>3752</v>
      </c>
      <c r="Q17" s="10" t="s">
        <v>85</v>
      </c>
      <c r="R17" s="10">
        <f t="shared" si="4"/>
        <v>1</v>
      </c>
      <c r="S17" s="10" t="s">
        <v>151</v>
      </c>
      <c r="T17" s="14">
        <f t="shared" si="5"/>
        <v>7.1661239149939954E-3</v>
      </c>
      <c r="U17" s="13">
        <f>_xll.dnetGBlackScholesNGreeks("delta",$Q17,$P17,$G17,$I17,$C$3,$J17,$K17,$C$4)*R17</f>
        <v>-0.21899539312357774</v>
      </c>
      <c r="V17" s="13">
        <f>_xll.dnetGBlackScholesNGreeks("vega",$Q17,$P17,$G17,$I17,$C$3,$J17,$K17,$C$4)*R17</f>
        <v>4.9057923971368496</v>
      </c>
    </row>
    <row r="18" spans="1:22" x14ac:dyDescent="0.15">
      <c r="A18" s="42"/>
      <c r="B18" s="13" t="s">
        <v>172</v>
      </c>
      <c r="C18" s="10" t="s">
        <v>161</v>
      </c>
      <c r="D18" s="10" t="s">
        <v>206</v>
      </c>
      <c r="E18" s="8">
        <f t="shared" ca="1" si="0"/>
        <v>43140</v>
      </c>
      <c r="F18" s="8">
        <f t="shared" ref="F18" ca="1" si="7">E18+H18</f>
        <v>43205</v>
      </c>
      <c r="G18" s="10">
        <v>3720</v>
      </c>
      <c r="H18" s="10">
        <v>65</v>
      </c>
      <c r="I18" s="12">
        <f t="shared" si="6"/>
        <v>0.15890410958904111</v>
      </c>
      <c r="J18" s="12">
        <v>0</v>
      </c>
      <c r="K18" s="9">
        <v>0.125</v>
      </c>
      <c r="L18" s="13">
        <f>_xll.dnetGBlackScholesNGreeks("price",$Q18,$P18,$G18,$I18,$C$3,$J18,$K18,$C$4)*R18</f>
        <v>50.035647697832928</v>
      </c>
      <c r="M18" s="15"/>
      <c r="N18" s="13">
        <f t="shared" ref="N18" si="8">M18/10000*I18*P18</f>
        <v>0</v>
      </c>
      <c r="O18" s="13">
        <f t="shared" ref="O18" si="9">IF(L18&lt;=0,ABS(L18)+N18,L18-N18)</f>
        <v>50.035647697832928</v>
      </c>
      <c r="P18" s="11">
        <v>3775</v>
      </c>
      <c r="Q18" s="10" t="s">
        <v>85</v>
      </c>
      <c r="R18" s="10">
        <f t="shared" si="4"/>
        <v>1</v>
      </c>
      <c r="S18" s="10" t="s">
        <v>151</v>
      </c>
      <c r="T18" s="14">
        <f t="shared" ref="T18" si="10">O18/P18</f>
        <v>1.3254476211346471E-2</v>
      </c>
      <c r="U18" s="13">
        <f>_xll.dnetGBlackScholesNGreeks("delta",$Q18,$P18,$G18,$I18,$C$3,$J18,$K18,$C$4)*R18</f>
        <v>-0.37350034589280767</v>
      </c>
      <c r="V18" s="13">
        <f>_xll.dnetGBlackScholesNGreeks("vega",$Q18,$P18,$G18,$I18,$C$3,$J18,$K18,$C$4)*R18</f>
        <v>5.68506560562912</v>
      </c>
    </row>
    <row r="19" spans="1:22" x14ac:dyDescent="0.15">
      <c r="A19" s="42"/>
      <c r="B19" s="13" t="s">
        <v>172</v>
      </c>
      <c r="C19" s="10" t="s">
        <v>161</v>
      </c>
      <c r="D19" s="10" t="s">
        <v>206</v>
      </c>
      <c r="E19" s="8">
        <f t="shared" ca="1" si="0"/>
        <v>43140</v>
      </c>
      <c r="F19" s="8">
        <f t="shared" ref="F19:F20" ca="1" si="11">E19+H19</f>
        <v>43219</v>
      </c>
      <c r="G19" s="10">
        <v>3700</v>
      </c>
      <c r="H19" s="10">
        <v>79</v>
      </c>
      <c r="I19" s="12">
        <f t="shared" si="6"/>
        <v>0.19726027397260273</v>
      </c>
      <c r="J19" s="12">
        <v>0</v>
      </c>
      <c r="K19" s="9">
        <v>0.125</v>
      </c>
      <c r="L19" s="13">
        <f>_xll.dnetGBlackScholesNGreeks("price",$Q19,$P19,$G19,$I19,$C$3,$J19,$K19,$C$4)*R19</f>
        <v>55.824171853034841</v>
      </c>
      <c r="M19" s="15"/>
      <c r="N19" s="13">
        <f t="shared" ref="N19:N20" si="12">M19/10000*I19*P19</f>
        <v>0</v>
      </c>
      <c r="O19" s="13">
        <f t="shared" ref="O19:O20" si="13">IF(L19&lt;=0,ABS(L19)+N19,L19-N19)</f>
        <v>55.824171853034841</v>
      </c>
      <c r="P19" s="11">
        <v>3760</v>
      </c>
      <c r="Q19" s="10" t="s">
        <v>85</v>
      </c>
      <c r="R19" s="10">
        <f t="shared" si="4"/>
        <v>1</v>
      </c>
      <c r="S19" s="10" t="s">
        <v>151</v>
      </c>
      <c r="T19" s="14">
        <f t="shared" ref="T19:T20" si="14">O19/P19</f>
        <v>1.484685421623267E-2</v>
      </c>
      <c r="U19" s="13">
        <f>_xll.dnetGBlackScholesNGreeks("delta",$Q19,$P19,$G19,$I19,$C$3,$J19,$K19,$C$4)*R19</f>
        <v>-0.37395095214378671</v>
      </c>
      <c r="V19" s="13">
        <f>_xll.dnetGBlackScholesNGreeks("vega",$Q19,$P19,$G19,$I19,$C$3,$J19,$K19,$C$4)*R19</f>
        <v>6.3081057047902505</v>
      </c>
    </row>
    <row r="20" spans="1:22" x14ac:dyDescent="0.15">
      <c r="A20" s="42"/>
      <c r="B20" s="13" t="s">
        <v>172</v>
      </c>
      <c r="C20" s="10" t="s">
        <v>161</v>
      </c>
      <c r="D20" s="10" t="s">
        <v>206</v>
      </c>
      <c r="E20" s="8">
        <f t="shared" ca="1" si="0"/>
        <v>43140</v>
      </c>
      <c r="F20" s="8">
        <f t="shared" ca="1" si="11"/>
        <v>43205</v>
      </c>
      <c r="G20" s="10">
        <v>3720</v>
      </c>
      <c r="H20" s="10">
        <v>65</v>
      </c>
      <c r="I20" s="12">
        <f t="shared" si="6"/>
        <v>0.15890410958904111</v>
      </c>
      <c r="J20" s="12">
        <v>0</v>
      </c>
      <c r="K20" s="9">
        <v>0.125</v>
      </c>
      <c r="L20" s="13">
        <f>_xll.dnetGBlackScholesNGreeks("price",$Q20,$P20,$G20,$I20,$C$3,$J20,$K20,$C$4)*R20</f>
        <v>50.035647697832928</v>
      </c>
      <c r="M20" s="15"/>
      <c r="N20" s="13">
        <f t="shared" si="12"/>
        <v>0</v>
      </c>
      <c r="O20" s="13">
        <f t="shared" si="13"/>
        <v>50.035647697832928</v>
      </c>
      <c r="P20" s="11">
        <v>3775</v>
      </c>
      <c r="Q20" s="10" t="s">
        <v>85</v>
      </c>
      <c r="R20" s="10">
        <f t="shared" si="4"/>
        <v>1</v>
      </c>
      <c r="S20" s="10" t="s">
        <v>151</v>
      </c>
      <c r="T20" s="14">
        <f t="shared" si="14"/>
        <v>1.3254476211346471E-2</v>
      </c>
      <c r="U20" s="13">
        <f>_xll.dnetGBlackScholesNGreeks("delta",$Q20,$P20,$G20,$I20,$C$3,$J20,$K20,$C$4)*R20</f>
        <v>-0.37350034589280767</v>
      </c>
      <c r="V20" s="13">
        <f>_xll.dnetGBlackScholesNGreeks("vega",$Q20,$P20,$G20,$I20,$C$3,$J20,$K20,$C$4)*R20</f>
        <v>5.68506560562912</v>
      </c>
    </row>
    <row r="21" spans="1:22" x14ac:dyDescent="0.15">
      <c r="A21" s="42"/>
      <c r="B21" s="13" t="s">
        <v>172</v>
      </c>
      <c r="C21" s="10" t="s">
        <v>161</v>
      </c>
      <c r="D21" s="10" t="s">
        <v>206</v>
      </c>
      <c r="E21" s="8">
        <f t="shared" ca="1" si="0"/>
        <v>43140</v>
      </c>
      <c r="F21" s="8">
        <f t="shared" ref="F21:F22" ca="1" si="15">E21+H21</f>
        <v>43219</v>
      </c>
      <c r="G21" s="10">
        <v>3700</v>
      </c>
      <c r="H21" s="10">
        <v>79</v>
      </c>
      <c r="I21" s="12">
        <f t="shared" si="6"/>
        <v>0.19726027397260273</v>
      </c>
      <c r="J21" s="12">
        <v>0</v>
      </c>
      <c r="K21" s="9">
        <v>0.125</v>
      </c>
      <c r="L21" s="13">
        <f>_xll.dnetGBlackScholesNGreeks("price",$Q21,$P21,$G21,$I21,$C$3,$J21,$K21,$C$4)*R21</f>
        <v>55.824171853034841</v>
      </c>
      <c r="M21" s="15"/>
      <c r="N21" s="13">
        <f t="shared" ref="N21:N22" si="16">M21/10000*I21*P21</f>
        <v>0</v>
      </c>
      <c r="O21" s="13">
        <f t="shared" ref="O21:O22" si="17">IF(L21&lt;=0,ABS(L21)+N21,L21-N21)</f>
        <v>55.824171853034841</v>
      </c>
      <c r="P21" s="11">
        <v>3760</v>
      </c>
      <c r="Q21" s="10" t="s">
        <v>85</v>
      </c>
      <c r="R21" s="10">
        <f t="shared" si="4"/>
        <v>1</v>
      </c>
      <c r="S21" s="10" t="s">
        <v>151</v>
      </c>
      <c r="T21" s="14">
        <f t="shared" ref="T21:T22" si="18">O21/P21</f>
        <v>1.484685421623267E-2</v>
      </c>
      <c r="U21" s="13">
        <f>_xll.dnetGBlackScholesNGreeks("delta",$Q21,$P21,$G21,$I21,$C$3,$J21,$K21,$C$4)*R21</f>
        <v>-0.37395095214378671</v>
      </c>
      <c r="V21" s="13">
        <f>_xll.dnetGBlackScholesNGreeks("vega",$Q21,$P21,$G21,$I21,$C$3,$J21,$K21,$C$4)*R21</f>
        <v>6.3081057047902505</v>
      </c>
    </row>
    <row r="22" spans="1:22" x14ac:dyDescent="0.15">
      <c r="A22" s="42"/>
      <c r="B22" s="13" t="s">
        <v>172</v>
      </c>
      <c r="C22" s="10" t="s">
        <v>161</v>
      </c>
      <c r="D22" s="10" t="s">
        <v>207</v>
      </c>
      <c r="E22" s="8">
        <f t="shared" ca="1" si="0"/>
        <v>43140</v>
      </c>
      <c r="F22" s="8">
        <f t="shared" ca="1" si="15"/>
        <v>43170</v>
      </c>
      <c r="G22" s="10">
        <v>15200</v>
      </c>
      <c r="H22" s="10">
        <v>30</v>
      </c>
      <c r="I22" s="12">
        <f>(H22)/365</f>
        <v>8.2191780821917804E-2</v>
      </c>
      <c r="J22" s="12">
        <v>0</v>
      </c>
      <c r="K22" s="9">
        <v>0.15</v>
      </c>
      <c r="L22" s="13">
        <f>_xll.dnetGBlackScholesNGreeks("price",$Q22,$P22,$G22,$I22,$C$3,$J22,$K22,$C$4)*R22</f>
        <v>-145.3175217482858</v>
      </c>
      <c r="M22" s="15"/>
      <c r="N22" s="13">
        <f t="shared" si="16"/>
        <v>0</v>
      </c>
      <c r="O22" s="13">
        <f t="shared" si="17"/>
        <v>145.3175217482858</v>
      </c>
      <c r="P22" s="11">
        <v>14930</v>
      </c>
      <c r="Q22" s="10" t="s">
        <v>39</v>
      </c>
      <c r="R22" s="10">
        <f t="shared" si="4"/>
        <v>-1</v>
      </c>
      <c r="S22" s="10" t="s">
        <v>20</v>
      </c>
      <c r="T22" s="14">
        <f t="shared" si="18"/>
        <v>9.7332566475744012E-3</v>
      </c>
      <c r="U22" s="13">
        <f>_xll.dnetGBlackScholesNGreeks("delta",$Q22,$P22,$G22,$I22,$C$3,$J22,$K22,$C$4)*R22</f>
        <v>-0.34575212725940219</v>
      </c>
      <c r="V22" s="13">
        <f>_xll.dnetGBlackScholesNGreeks("vega",$Q22,$P22,$G22,$I22,$C$3,$J22,$K22,$C$4)*R22</f>
        <v>-15.761018280063126</v>
      </c>
    </row>
    <row r="23" spans="1:22" x14ac:dyDescent="0.15">
      <c r="A23" s="42"/>
      <c r="B23" s="13" t="s">
        <v>172</v>
      </c>
      <c r="C23" s="10" t="s">
        <v>161</v>
      </c>
      <c r="D23" s="10" t="s">
        <v>207</v>
      </c>
      <c r="E23" s="8">
        <f t="shared" ca="1" si="0"/>
        <v>43140</v>
      </c>
      <c r="F23" s="8">
        <f t="shared" ref="F23:F24" ca="1" si="19">E23+H23</f>
        <v>43170</v>
      </c>
      <c r="G23" s="10">
        <v>14700</v>
      </c>
      <c r="H23" s="10">
        <v>30</v>
      </c>
      <c r="I23" s="12">
        <f>(H23)/365</f>
        <v>8.2191780821917804E-2</v>
      </c>
      <c r="J23" s="12">
        <v>0</v>
      </c>
      <c r="K23" s="9">
        <v>0.1</v>
      </c>
      <c r="L23" s="13">
        <f>_xll.dnetGBlackScholesNGreeks("price",$Q23,$P23,$G23,$I23,$C$3,$J23,$K23,$C$4)*R23</f>
        <v>78.560844238378195</v>
      </c>
      <c r="M23" s="15"/>
      <c r="N23" s="13">
        <f t="shared" ref="N23:N24" si="20">M23/10000*I23*P23</f>
        <v>0</v>
      </c>
      <c r="O23" s="13">
        <f t="shared" ref="O23:O24" si="21">IF(L23&lt;=0,ABS(L23)+N23,L23-N23)</f>
        <v>78.560844238378195</v>
      </c>
      <c r="P23" s="11">
        <v>14930</v>
      </c>
      <c r="Q23" s="10" t="s">
        <v>85</v>
      </c>
      <c r="R23" s="10">
        <f t="shared" si="4"/>
        <v>1</v>
      </c>
      <c r="S23" s="10" t="s">
        <v>151</v>
      </c>
      <c r="T23" s="14">
        <f t="shared" ref="T23:T24" si="22">O23/P23</f>
        <v>5.2619453609094573E-3</v>
      </c>
      <c r="U23" s="13">
        <f>_xll.dnetGBlackScholesNGreeks("delta",$Q23,$P23,$G23,$I23,$C$3,$J23,$K23,$C$4)*R23</f>
        <v>-0.28867756946056033</v>
      </c>
      <c r="V23" s="13">
        <f>_xll.dnetGBlackScholesNGreeks("vega",$Q23,$P23,$G23,$I23,$C$3,$J23,$K23,$C$4)*R23</f>
        <v>14.588008010819067</v>
      </c>
    </row>
    <row r="24" spans="1:22" x14ac:dyDescent="0.15">
      <c r="A24" s="42"/>
      <c r="B24" s="13" t="s">
        <v>172</v>
      </c>
      <c r="C24" s="10" t="s">
        <v>161</v>
      </c>
      <c r="D24" s="10" t="s">
        <v>207</v>
      </c>
      <c r="E24" s="8">
        <f t="shared" ca="1" si="0"/>
        <v>43140</v>
      </c>
      <c r="F24" s="8">
        <f t="shared" ca="1" si="19"/>
        <v>43170</v>
      </c>
      <c r="G24" s="10">
        <v>15200</v>
      </c>
      <c r="H24" s="10">
        <v>30</v>
      </c>
      <c r="I24" s="12">
        <f>(H24)/365</f>
        <v>8.2191780821917804E-2</v>
      </c>
      <c r="J24" s="12">
        <v>0</v>
      </c>
      <c r="K24" s="9">
        <v>0.15</v>
      </c>
      <c r="L24" s="13">
        <f>_xll.dnetGBlackScholesNGreeks("price",$Q24,$P24,$G24,$I24,$C$3,$J24,$K24,$C$4)*R24</f>
        <v>-145.3175217482858</v>
      </c>
      <c r="M24" s="15"/>
      <c r="N24" s="13">
        <f t="shared" si="20"/>
        <v>0</v>
      </c>
      <c r="O24" s="13">
        <f t="shared" si="21"/>
        <v>145.3175217482858</v>
      </c>
      <c r="P24" s="11">
        <v>14930</v>
      </c>
      <c r="Q24" s="10" t="s">
        <v>39</v>
      </c>
      <c r="R24" s="10">
        <f t="shared" si="4"/>
        <v>-1</v>
      </c>
      <c r="S24" s="10" t="s">
        <v>20</v>
      </c>
      <c r="T24" s="14">
        <f t="shared" si="22"/>
        <v>9.7332566475744012E-3</v>
      </c>
      <c r="U24" s="13">
        <f>_xll.dnetGBlackScholesNGreeks("delta",$Q24,$P24,$G24,$I24,$C$3,$J24,$K24,$C$4)*R24</f>
        <v>-0.34575212725940219</v>
      </c>
      <c r="V24" s="13">
        <f>_xll.dnetGBlackScholesNGreeks("vega",$Q24,$P24,$G24,$I24,$C$3,$J24,$K24,$C$4)*R24</f>
        <v>-15.761018280063126</v>
      </c>
    </row>
    <row r="25" spans="1:22" x14ac:dyDescent="0.15">
      <c r="A25" s="42"/>
      <c r="B25" s="13" t="s">
        <v>172</v>
      </c>
      <c r="C25" s="10" t="s">
        <v>161</v>
      </c>
      <c r="D25" s="10" t="s">
        <v>207</v>
      </c>
      <c r="E25" s="8">
        <f t="shared" ca="1" si="0"/>
        <v>43140</v>
      </c>
      <c r="F25" s="8">
        <f t="shared" ref="F25" ca="1" si="23">E25+H25</f>
        <v>43170</v>
      </c>
      <c r="G25" s="10">
        <v>14700</v>
      </c>
      <c r="H25" s="10">
        <v>30</v>
      </c>
      <c r="I25" s="12">
        <f>(H25)/365</f>
        <v>8.2191780821917804E-2</v>
      </c>
      <c r="J25" s="12">
        <v>0</v>
      </c>
      <c r="K25" s="9">
        <v>0.1</v>
      </c>
      <c r="L25" s="13">
        <f>_xll.dnetGBlackScholesNGreeks("price",$Q25,$P25,$G25,$I25,$C$3,$J25,$K25,$C$4)*R25</f>
        <v>78.560844238378195</v>
      </c>
      <c r="M25" s="15"/>
      <c r="N25" s="13">
        <f t="shared" ref="N25" si="24">M25/10000*I25*P25</f>
        <v>0</v>
      </c>
      <c r="O25" s="13">
        <f t="shared" ref="O25" si="25">IF(L25&lt;=0,ABS(L25)+N25,L25-N25)</f>
        <v>78.560844238378195</v>
      </c>
      <c r="P25" s="11">
        <v>14930</v>
      </c>
      <c r="Q25" s="10" t="s">
        <v>85</v>
      </c>
      <c r="R25" s="10">
        <f t="shared" si="4"/>
        <v>1</v>
      </c>
      <c r="S25" s="10" t="s">
        <v>151</v>
      </c>
      <c r="T25" s="14">
        <f t="shared" ref="T25" si="26">O25/P25</f>
        <v>5.2619453609094573E-3</v>
      </c>
      <c r="U25" s="13">
        <f>_xll.dnetGBlackScholesNGreeks("delta",$Q25,$P25,$G25,$I25,$C$3,$J25,$K25,$C$4)*R25</f>
        <v>-0.28867756946056033</v>
      </c>
      <c r="V25" s="13">
        <f>_xll.dnetGBlackScholesNGreeks("vega",$Q25,$P25,$G25,$I25,$C$3,$J25,$K25,$C$4)*R25</f>
        <v>14.588008010819067</v>
      </c>
    </row>
    <row r="26" spans="1:22" x14ac:dyDescent="0.15">
      <c r="A26" s="42"/>
      <c r="B26" s="13" t="s">
        <v>172</v>
      </c>
      <c r="C26" s="10" t="s">
        <v>161</v>
      </c>
      <c r="D26" s="10" t="s">
        <v>206</v>
      </c>
      <c r="E26" s="8">
        <f t="shared" ca="1" si="0"/>
        <v>43140</v>
      </c>
      <c r="F26" s="8">
        <f t="shared" ref="F26" ca="1" si="27">E26+H26</f>
        <v>43205</v>
      </c>
      <c r="G26" s="10">
        <v>3600</v>
      </c>
      <c r="H26" s="10">
        <v>65</v>
      </c>
      <c r="I26" s="12">
        <f>(H26-9)/365</f>
        <v>0.15342465753424658</v>
      </c>
      <c r="J26" s="12">
        <v>0</v>
      </c>
      <c r="K26" s="9">
        <v>0.115</v>
      </c>
      <c r="L26" s="13">
        <f>_xll.dnetGBlackScholesNGreeks("price",$Q26,$P26,$G26,$I26,$C$3,$J26,$K26,$C$4)*R26</f>
        <v>16.030541283530624</v>
      </c>
      <c r="M26" s="15"/>
      <c r="N26" s="13">
        <f t="shared" ref="N26" si="28">M26/10000*I26*P26</f>
        <v>0</v>
      </c>
      <c r="O26" s="13">
        <f t="shared" ref="O26" si="29">IF(L26&lt;=0,ABS(L26)+N26,L26-N26)</f>
        <v>16.030541283530624</v>
      </c>
      <c r="P26" s="11">
        <f>RTD("wdf.rtq",,D26,"LastPrice")</f>
        <v>3752</v>
      </c>
      <c r="Q26" s="10" t="s">
        <v>85</v>
      </c>
      <c r="R26" s="10">
        <f t="shared" ref="R26" si="30">IF(S26="中金买入",1,-1)</f>
        <v>1</v>
      </c>
      <c r="S26" s="10" t="s">
        <v>151</v>
      </c>
      <c r="T26" s="14">
        <f t="shared" ref="T26" si="31">O26/P26</f>
        <v>4.2725323250348149E-3</v>
      </c>
      <c r="U26" s="12">
        <f>_xll.dnetGBlackScholesNGreeks("delta",$Q26,$P26,$G26,$I26,$C$3,$J26,$K26,$C$4)*R26</f>
        <v>-0.17292071285623933</v>
      </c>
      <c r="V26" s="13">
        <f>_xll.dnetGBlackScholesNGreeks("vega",$Q26,$P26,$G26,$I26,$C$3,$J26,$K26,$C$4)*R26</f>
        <v>3.746868793051874</v>
      </c>
    </row>
    <row r="27" spans="1:22" ht="10.5" customHeight="1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93" t="s">
        <v>37</v>
      </c>
      <c r="C1" s="19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43140</v>
      </c>
      <c r="G8" s="54">
        <f ca="1">F8+I8</f>
        <v>43170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43140</v>
      </c>
      <c r="G9" s="62">
        <f ca="1">G8</f>
        <v>43170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43140</v>
      </c>
      <c r="G10" s="70">
        <f ca="1">G9</f>
        <v>43170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92" t="s">
        <v>38</v>
      </c>
      <c r="C1" s="19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3887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44">
        <v>0.02</v>
      </c>
      <c r="M8" s="21">
        <f ca="1">TODAY()</f>
        <v>43140</v>
      </c>
      <c r="N8" s="21">
        <f ca="1">M8+O8</f>
        <v>43170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-70.503358860339006</v>
      </c>
      <c r="T8" s="25">
        <v>80</v>
      </c>
      <c r="U8" s="24">
        <f>T8/10000*P8*H8</f>
        <v>2.5558356164383564</v>
      </c>
      <c r="V8" s="24">
        <f>IF(S8&lt;=0,ABS(S8)+U8,S8-U8)</f>
        <v>73.059194476777364</v>
      </c>
      <c r="W8" s="26">
        <f>V8/H8</f>
        <v>1.8795779386873518E-2</v>
      </c>
      <c r="X8" s="24">
        <f>_xll.dnetStandardBarrierNGreeks("delta",G8,H8,I8,K8,L8*H8,P8,$C$3,Q8,R8,$C$4)</f>
        <v>0.18598557545175254</v>
      </c>
      <c r="Y8" s="24">
        <f>_xll.dnetStandardBarrierNGreeks("vega",G8,H8,I8,K8,L8*H8,P8,$C$3,Q8,R8,$C$4)</f>
        <v>0.20975430889834712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43140</v>
      </c>
      <c r="N9" s="8">
        <f ca="1">M9+O9</f>
        <v>43320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94" t="s">
        <v>37</v>
      </c>
      <c r="C1" s="19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3887</v>
      </c>
      <c r="I8" s="19">
        <v>3800</v>
      </c>
      <c r="J8" s="21">
        <f ca="1">TODAY()</f>
        <v>43140</v>
      </c>
      <c r="K8" s="21">
        <f ca="1">J8+L8</f>
        <v>43170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181.56396970564674</v>
      </c>
      <c r="P8" s="25">
        <v>80</v>
      </c>
      <c r="Q8" s="24">
        <f>P8/10000*M8*H8*(-E8)</f>
        <v>2.5558356164383564</v>
      </c>
      <c r="R8" s="24">
        <f>O8+Q8</f>
        <v>184.11980532208509</v>
      </c>
      <c r="S8" s="26">
        <f>R8/H8</f>
        <v>4.7368100160042469E-2</v>
      </c>
      <c r="T8" s="24">
        <f>_xll.dnetGBlackScholesNGreeks("delta",$G8,$H8,$I8,$M8,$C$3,$C$4,$N8,$C$4)</f>
        <v>0.62339268624782562</v>
      </c>
      <c r="U8" s="24">
        <f>_xll.dnetGBlackScholesNGreeks("vega",$G8,$H8,$I8,$M8,$C$3,$C$4,$N8)</f>
        <v>4.2258539699219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43140</v>
      </c>
      <c r="K9" s="8">
        <f ca="1">J9+L9</f>
        <v>43170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43140</v>
      </c>
      <c r="K10" s="8">
        <f ca="1">J10+L10</f>
        <v>43170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2018-02-09T14:56:56Z</dcterms:modified>
</cp:coreProperties>
</file>