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minimized="1"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F36" i="1" l="1"/>
  <c r="H35" i="1" l="1"/>
  <c r="R26" i="1" l="1"/>
  <c r="I26" i="1"/>
  <c r="E26" i="1"/>
  <c r="F26" i="1" s="1"/>
  <c r="R25" i="1"/>
  <c r="I25" i="1"/>
  <c r="E25" i="1"/>
  <c r="F25" i="1" s="1"/>
  <c r="R24" i="1"/>
  <c r="I24" i="1"/>
  <c r="E24" i="1"/>
  <c r="F24" i="1" s="1"/>
  <c r="R23" i="1"/>
  <c r="I23" i="1"/>
  <c r="E23" i="1"/>
  <c r="F23" i="1" s="1"/>
  <c r="P25" i="1"/>
  <c r="P26" i="1"/>
  <c r="P24" i="1"/>
  <c r="P23" i="1"/>
  <c r="L25" i="1"/>
  <c r="L26" i="1"/>
  <c r="V26" i="1"/>
  <c r="G24" i="1" l="1"/>
  <c r="N26" i="1"/>
  <c r="O26" i="1" s="1"/>
  <c r="T26" i="1" s="1"/>
  <c r="N24" i="1"/>
  <c r="G23" i="1"/>
  <c r="N23" i="1"/>
  <c r="N25" i="1"/>
  <c r="O25" i="1" s="1"/>
  <c r="T25" i="1" s="1"/>
  <c r="R22" i="1"/>
  <c r="I22" i="1"/>
  <c r="E22" i="1"/>
  <c r="F22" i="1" s="1"/>
  <c r="U24" i="1"/>
  <c r="V24" i="1"/>
  <c r="V23" i="1"/>
  <c r="U23" i="1"/>
  <c r="L24" i="1"/>
  <c r="L23" i="1"/>
  <c r="V25" i="1"/>
  <c r="U25" i="1"/>
  <c r="U26" i="1"/>
  <c r="O23" i="1" l="1"/>
  <c r="T23" i="1" s="1"/>
  <c r="O24" i="1"/>
  <c r="T24" i="1" s="1"/>
  <c r="G22" i="1"/>
  <c r="H32" i="1" s="1"/>
  <c r="H33" i="1" s="1"/>
  <c r="N22" i="1"/>
  <c r="R21" i="1"/>
  <c r="I21" i="1"/>
  <c r="E21" i="1"/>
  <c r="F21" i="1" s="1"/>
  <c r="R20" i="1"/>
  <c r="I20" i="1"/>
  <c r="E20" i="1"/>
  <c r="F20" i="1" s="1"/>
  <c r="L22" i="1"/>
  <c r="V22" i="1"/>
  <c r="U22" i="1"/>
  <c r="P20" i="1"/>
  <c r="P21" i="1"/>
  <c r="O22" i="1" l="1"/>
  <c r="T22" i="1" s="1"/>
  <c r="G20" i="1"/>
  <c r="N20" i="1"/>
  <c r="N21" i="1"/>
  <c r="G21" i="1"/>
  <c r="V20" i="1"/>
  <c r="U20" i="1"/>
  <c r="U21" i="1"/>
  <c r="V21" i="1"/>
  <c r="L21" i="1"/>
  <c r="L20" i="1"/>
  <c r="O20" i="1" l="1"/>
  <c r="T20" i="1" s="1"/>
  <c r="O21" i="1"/>
  <c r="T21" i="1" s="1"/>
  <c r="R18" i="1" l="1"/>
  <c r="R17" i="1"/>
  <c r="R16" i="1"/>
  <c r="R15" i="1"/>
  <c r="R14" i="1"/>
  <c r="R19" i="1"/>
  <c r="I19" i="1"/>
  <c r="N19" i="1" s="1"/>
  <c r="E19" i="1"/>
  <c r="F19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4" i="1"/>
  <c r="H14" i="1" s="1"/>
  <c r="I14" i="1" s="1"/>
  <c r="P16" i="1"/>
  <c r="V16" i="1" s="1"/>
  <c r="P17" i="1"/>
  <c r="L16" i="1"/>
  <c r="V19" i="1"/>
  <c r="P18" i="1"/>
  <c r="L18" i="1" s="1"/>
  <c r="V18" i="1"/>
  <c r="P15" i="1"/>
  <c r="L15" i="1" s="1"/>
  <c r="P14" i="1"/>
  <c r="V17" i="1"/>
  <c r="V15" i="1"/>
  <c r="U14" i="1"/>
  <c r="L14" i="1"/>
  <c r="N17" i="1" l="1"/>
  <c r="N15" i="1"/>
  <c r="O15" i="1" s="1"/>
  <c r="T15" i="1" s="1"/>
  <c r="N14" i="1"/>
  <c r="O14" i="1" s="1"/>
  <c r="T14" i="1" s="1"/>
  <c r="N18" i="1"/>
  <c r="O18" i="1" s="1"/>
  <c r="T18" i="1" s="1"/>
  <c r="N16" i="1"/>
  <c r="O16" i="1" s="1"/>
  <c r="T16" i="1" s="1"/>
  <c r="U96" i="6"/>
  <c r="R13" i="1"/>
  <c r="I13" i="1"/>
  <c r="E13" i="1"/>
  <c r="F13" i="1" s="1"/>
  <c r="U18" i="1"/>
  <c r="L19" i="1"/>
  <c r="V14" i="1"/>
  <c r="U17" i="1"/>
  <c r="L17" i="1"/>
  <c r="U19" i="1"/>
  <c r="P13" i="1"/>
  <c r="U15" i="1"/>
  <c r="U16" i="1"/>
  <c r="O17" i="1" l="1"/>
  <c r="T17" i="1" s="1"/>
  <c r="O19" i="1"/>
  <c r="T19" i="1" s="1"/>
  <c r="G13" i="1"/>
  <c r="N13" i="1"/>
  <c r="R12" i="1"/>
  <c r="I12" i="1"/>
  <c r="E12" i="1"/>
  <c r="F12" i="1" s="1"/>
  <c r="L13" i="1"/>
  <c r="U13" i="1"/>
  <c r="V13" i="1"/>
  <c r="V12" i="1"/>
  <c r="O13" i="1" l="1"/>
  <c r="T13" i="1" s="1"/>
  <c r="N12" i="1"/>
  <c r="E11" i="1"/>
  <c r="F11" i="1" s="1"/>
  <c r="R11" i="1"/>
  <c r="I11" i="1"/>
  <c r="U12" i="1"/>
  <c r="P11" i="1"/>
  <c r="L12" i="1"/>
  <c r="V11" i="1"/>
  <c r="O12" i="1" l="1"/>
  <c r="T12" i="1" s="1"/>
  <c r="N11" i="1"/>
  <c r="U11" i="1"/>
  <c r="L11" i="1"/>
  <c r="O11" i="1" l="1"/>
  <c r="T11" i="1" s="1"/>
  <c r="H10" i="1" l="1"/>
  <c r="I10" i="1" s="1"/>
  <c r="N10" i="1" s="1"/>
  <c r="R10" i="1"/>
  <c r="V10" i="1"/>
  <c r="D40" i="2" l="1"/>
  <c r="D37" i="2"/>
  <c r="I26" i="2"/>
  <c r="I23" i="2"/>
  <c r="U10" i="1"/>
  <c r="L10" i="1"/>
  <c r="O10" i="1" l="1"/>
  <c r="T10" i="1" s="1"/>
  <c r="X23" i="2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9" i="9"/>
  <c r="V9" i="9"/>
  <c r="U8" i="9"/>
  <c r="M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U9" i="7"/>
  <c r="O9" i="7"/>
  <c r="T10" i="7"/>
  <c r="K9" i="8"/>
  <c r="T9" i="7"/>
  <c r="H8" i="8"/>
  <c r="O10" i="7"/>
  <c r="U10" i="7"/>
  <c r="U8" i="8" l="1"/>
  <c r="Q9" i="7"/>
  <c r="R9" i="7" s="1"/>
  <c r="S9" i="7" s="1"/>
  <c r="Q10" i="7"/>
  <c r="R10" i="7" s="1"/>
  <c r="S10" i="7" s="1"/>
  <c r="Q8" i="7"/>
  <c r="O8" i="7"/>
  <c r="K8" i="8"/>
  <c r="U8" i="7"/>
  <c r="X9" i="8"/>
  <c r="S9" i="8"/>
  <c r="Y9" i="8"/>
  <c r="T8" i="7"/>
  <c r="V9" i="8" l="1"/>
  <c r="W9" i="8" s="1"/>
  <c r="R8" i="7"/>
  <c r="S8" i="7" s="1"/>
  <c r="S8" i="8"/>
  <c r="X8" i="8"/>
  <c r="Y8" i="8"/>
  <c r="V8" i="8" l="1"/>
  <c r="W8" i="8" s="1"/>
  <c r="R9" i="1"/>
  <c r="R8" i="1"/>
  <c r="I9" i="1" l="1"/>
  <c r="E9" i="1"/>
  <c r="F9" i="1" s="1"/>
  <c r="I8" i="1"/>
  <c r="E8" i="1"/>
  <c r="F8" i="1" s="1"/>
  <c r="P8" i="1"/>
  <c r="L9" i="1"/>
  <c r="U9" i="1"/>
  <c r="V9" i="1"/>
  <c r="N8" i="1" l="1"/>
  <c r="N9" i="1"/>
  <c r="O9" i="1" s="1"/>
  <c r="T9" i="1" s="1"/>
  <c r="V8" i="1"/>
  <c r="U8" i="1"/>
  <c r="L8" i="1"/>
  <c r="O8" i="1" l="1"/>
  <c r="T8" i="1" s="1"/>
</calcChain>
</file>

<file path=xl/sharedStrings.xml><?xml version="1.0" encoding="utf-8"?>
<sst xmlns="http://schemas.openxmlformats.org/spreadsheetml/2006/main" count="1143" uniqueCount="229">
  <si>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</si>
  <si>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</si>
  <si>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</si>
  <si>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</si>
  <si>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</si>
  <si>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</si>
  <si>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</si>
  <si>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</si>
  <si>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</si>
  <si>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</si>
  <si>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</si>
  <si>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</si>
  <si>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</si>
  <si>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</si>
  <si>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</si>
  <si>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</si>
  <si>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</si>
  <si>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</si>
  <si>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</si>
  <si>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</si>
  <si>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</si>
  <si>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</si>
  <si>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</si>
  <si>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</si>
  <si>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</si>
  <si>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</si>
  <si>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</si>
  <si>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</si>
  <si>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</si>
  <si>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</si>
  <si>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</si>
  <si>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</si>
  <si>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</si>
  <si>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</si>
  <si>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</si>
  <si>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</si>
  <si>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</si>
  <si>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</si>
  <si>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</si>
  <si>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</si>
  <si>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</si>
  <si>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</si>
  <si>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</si>
  <si>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</si>
  <si>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</si>
  <si>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</si>
  <si>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</si>
  <si>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</si>
  <si>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</si>
  <si>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</si>
  <si>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</si>
  <si>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</si>
  <si>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</si>
  <si>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</si>
  <si>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</si>
  <si>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</si>
  <si>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</si>
  <si>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</si>
  <si>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</si>
  <si>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</si>
  <si>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</si>
  <si>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</si>
  <si>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</si>
  <si>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</si>
  <si>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</si>
  <si>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</si>
  <si>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</si>
  <si>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</si>
  <si>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</si>
  <si>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</si>
  <si>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</si>
  <si>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</si>
  <si>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</si>
  <si>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</si>
  <si>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</si>
  <si>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</si>
  <si>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</si>
  <si>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</si>
  <si>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</si>
  <si>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</si>
  <si>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</si>
  <si>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</si>
  <si>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</si>
  <si>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</si>
  <si>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</si>
  <si>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</si>
  <si>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</si>
  <si>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</si>
  <si>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</si>
  <si>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</si>
  <si>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</si>
  <si>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</si>
  <si>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</si>
  <si>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</si>
  <si>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</si>
  <si>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</si>
  <si>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</si>
  <si>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</si>
  <si>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</si>
  <si>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</si>
  <si>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</si>
  <si>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</si>
  <si>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</si>
  <si>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</si>
  <si>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</si>
  <si>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</si>
  <si>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</si>
  <si>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</si>
  <si>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</si>
  <si>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</si>
  <si>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</si>
  <si>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</si>
  <si>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</si>
  <si>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</si>
  <si>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</si>
  <si>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</si>
  <si>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</si>
  <si>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</si>
  <si>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</si>
  <si>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</si>
  <si>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</si>
  <si>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</si>
  <si>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</si>
  <si>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</si>
  <si>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</si>
  <si>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</si>
  <si>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</si>
  <si>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</si>
  <si>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</si>
  <si>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</si>
  <si>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</si>
  <si>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</si>
  <si>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</si>
  <si>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</si>
  <si>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</si>
  <si>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</si>
  <si>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</si>
  <si>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</si>
  <si>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</si>
  <si>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</si>
  <si>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</si>
  <si>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</si>
  <si>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</si>
  <si>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</si>
  <si>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</si>
  <si>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</si>
  <si>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</si>
  <si>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</si>
  <si>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</si>
  <si>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</si>
  <si>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</si>
  <si>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</si>
  <si>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</si>
  <si>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</si>
  <si>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</si>
  <si>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</si>
  <si>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</si>
  <si>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</si>
  <si>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</si>
  <si>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</si>
  <si>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</si>
  <si>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</si>
  <si>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</si>
  <si>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</si>
  <si>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</si>
  <si>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</si>
  <si>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</si>
  <si>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</si>
  <si>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</si>
  <si>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</si>
  <si>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</si>
  <si>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</si>
  <si>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</si>
  <si>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</si>
  <si>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</si>
  <si>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</si>
  <si>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</si>
  <si>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</si>
  <si>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</si>
  <si>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</si>
  <si>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</si>
  <si>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</si>
  <si>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</si>
  <si>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</si>
  <si>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</si>
  <si>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</si>
  <si>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</si>
  <si>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</si>
  <si>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</si>
  <si>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</si>
  <si>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</si>
  <si>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</si>
  <si>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</si>
  <si>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</si>
  <si>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</si>
  <si>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</si>
  <si>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</si>
  <si>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</si>
  <si>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</si>
  <si>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</si>
  <si>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</si>
  <si>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</si>
  <si>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</si>
  <si>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</si>
  <si>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</si>
  <si>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</si>
  <si>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</si>
  <si>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</si>
  <si>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</si>
  <si>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</si>
  <si>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</si>
  <si>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</si>
  <si>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</si>
  <si>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</si>
  <si>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ru1805</t>
    <phoneticPr fontId="1" type="noConversion"/>
  </si>
  <si>
    <t>国富金诚1711040号</t>
    <phoneticPr fontId="1" type="noConversion"/>
  </si>
  <si>
    <t>cs1805</t>
  </si>
  <si>
    <t>cs1805</t>
    <phoneticPr fontId="1" type="noConversion"/>
  </si>
  <si>
    <t>20180209-CICC-TWGJ-RB1810-VAN-P-79</t>
  </si>
  <si>
    <t>20180209-CICC-TWGJ-RB1810-VAN-P-65</t>
  </si>
  <si>
    <t>20180201-CICC-TWGJ-RB1810-VAN-P-73</t>
  </si>
  <si>
    <t>20180129-CICC-TWGJ-RB1810-VAN-P-60</t>
  </si>
  <si>
    <t>20180104-CICC-TWGJ-RB1810-VAN-P-63</t>
  </si>
  <si>
    <t>i1805</t>
    <phoneticPr fontId="1" type="noConversion"/>
  </si>
  <si>
    <t>吨数</t>
    <phoneticPr fontId="1" type="noConversion"/>
  </si>
  <si>
    <t>rb1805</t>
    <phoneticPr fontId="1" type="noConversion"/>
  </si>
  <si>
    <t>c</t>
    <phoneticPr fontId="1" type="noConversion"/>
  </si>
  <si>
    <t>rb1810</t>
    <phoneticPr fontId="1" type="noConversion"/>
  </si>
  <si>
    <t>ru1805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</si>
</sst>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0.000"/>
  </numFmts>
  <fonts count="3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000000"/>
      <name val="Inherit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80" fontId="5" fillId="6" borderId="0" xfId="0" applyNumberFormat="1" applyFont="1" applyFill="1"/>
    <xf numFmtId="1" fontId="5" fillId="6" borderId="0" xfId="0" applyNumberFormat="1" applyFont="1" applyFill="1"/>
    <xf numFmtId="179" fontId="5" fillId="9" borderId="2" xfId="0" applyNumberFormat="1" applyFont="1" applyFill="1" applyBorder="1"/>
    <xf numFmtId="0" fontId="10" fillId="3" borderId="0" xfId="0" applyFont="1" applyFill="1"/>
    <xf numFmtId="2" fontId="5" fillId="3" borderId="2" xfId="0" applyNumberFormat="1" applyFont="1" applyFill="1" applyBorder="1"/>
    <xf numFmtId="0" fontId="5" fillId="3" borderId="2" xfId="0" applyFont="1" applyFill="1" applyBorder="1"/>
    <xf numFmtId="14" fontId="5" fillId="3" borderId="2" xfId="0" applyNumberFormat="1" applyFont="1" applyFill="1" applyBorder="1"/>
    <xf numFmtId="178" fontId="5" fillId="3" borderId="2" xfId="0" applyNumberFormat="1" applyFont="1" applyFill="1" applyBorder="1"/>
    <xf numFmtId="177" fontId="5" fillId="3" borderId="2" xfId="0" applyNumberFormat="1" applyFont="1" applyFill="1" applyBorder="1"/>
    <xf numFmtId="10" fontId="5" fillId="3" borderId="2" xfId="1" applyNumberFormat="1" applyFont="1" applyFill="1" applyBorder="1" applyAlignment="1"/>
    <xf numFmtId="0" fontId="5" fillId="3" borderId="0" xfId="0" applyFont="1" applyFill="1"/>
    <xf numFmtId="4" fontId="33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2197</v>
        <stp/>
        <stp>cs1805</stp>
        <stp>LastPrice</stp>
        <tr r="P13" s="1"/>
      </tp>
      <tp>
        <v>12905</v>
        <stp/>
        <stp>ru1805</stp>
        <stp>LastPrice</stp>
        <tr r="P24" s="1"/>
        <tr r="P26" s="1"/>
        <tr r="P25" s="1"/>
      </tp>
      <tp>
        <v>52400</v>
        <stp/>
        <stp>cu1805</stp>
        <stp>LastPrice</stp>
        <tr r="P11" s="1"/>
      </tp>
      <tp>
        <v>3956</v>
        <stp/>
        <stp>rb1805</stp>
        <stp>LastPrice</stp>
        <tr r="P21" s="1"/>
        <tr r="P20" s="1"/>
        <tr r="P23" s="1"/>
      </tp>
      <tp>
        <v>3833</v>
        <stp/>
        <stp>rb1810</stp>
        <stp>LastPrice</stp>
        <tr r="P14" s="1"/>
        <tr r="P15" s="1"/>
        <tr r="P18" s="1"/>
        <tr r="P17" s="1"/>
        <tr r="P16" s="1"/>
      </tp>
      <tp>
        <v>3956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108"/>
  <sheetViews>
    <sheetView topLeftCell="A79" zoomScaleNormal="100" workbookViewId="0">
      <selection activeCell="P112" sqref="P112"/>
    </sheetView>
  </sheetViews>
  <sheetFormatPr defaultColWidth="9" defaultRowHeight="11.2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>
      <c r="B1" s="177" t="s">
        <v>158</v>
      </c>
      <c r="C1" s="177"/>
      <c r="D1" s="177"/>
    </row>
    <row r="2" spans="2:18" ht="12" thickTop="1"/>
    <row r="5" spans="2:18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>
      <c r="B96" s="101" t="s">
        <v>160</v>
      </c>
      <c r="C96" s="101" t="s">
        <v>216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53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  <row r="102" spans="3:17">
      <c r="C102" s="41" t="s">
        <v>181</v>
      </c>
      <c r="D102" s="41" t="s">
        <v>180</v>
      </c>
      <c r="E102" s="41" t="s">
        <v>10</v>
      </c>
      <c r="F102" s="41" t="s">
        <v>184</v>
      </c>
      <c r="N102" s="41" t="s">
        <v>224</v>
      </c>
      <c r="O102" s="41" t="s">
        <v>182</v>
      </c>
      <c r="Q102" s="41" t="s">
        <v>30</v>
      </c>
    </row>
    <row r="103" spans="3:17">
      <c r="C103" s="101" t="s">
        <v>186</v>
      </c>
      <c r="D103" s="102">
        <v>43164</v>
      </c>
      <c r="E103" s="102">
        <v>43219.625</v>
      </c>
      <c r="F103" s="154">
        <v>3699.9999992799999</v>
      </c>
      <c r="G103" s="101">
        <v>55.625</v>
      </c>
      <c r="H103" s="101"/>
      <c r="I103" s="101"/>
      <c r="J103" s="101"/>
      <c r="K103" s="101"/>
      <c r="L103" s="101"/>
      <c r="M103" s="101"/>
      <c r="N103" s="154">
        <v>5000</v>
      </c>
      <c r="O103" s="153">
        <v>52.921203427240471</v>
      </c>
      <c r="Q103" s="101" t="s">
        <v>20</v>
      </c>
    </row>
    <row r="104" spans="3:17">
      <c r="C104" s="101" t="s">
        <v>186</v>
      </c>
      <c r="D104" s="102">
        <v>43164</v>
      </c>
      <c r="E104" s="102">
        <v>43203.625</v>
      </c>
      <c r="F104" s="154">
        <v>3720.0000015999999</v>
      </c>
      <c r="G104" s="101">
        <v>39.625</v>
      </c>
      <c r="H104" s="101"/>
      <c r="I104" s="101"/>
      <c r="J104" s="101"/>
      <c r="K104" s="101"/>
      <c r="L104" s="101"/>
      <c r="M104" s="101"/>
      <c r="N104" s="154">
        <v>10000</v>
      </c>
      <c r="O104" s="153">
        <v>44.750588158605751</v>
      </c>
      <c r="Q104" s="101" t="s">
        <v>20</v>
      </c>
    </row>
    <row r="105" spans="3:17">
      <c r="C105" s="101" t="s">
        <v>186</v>
      </c>
      <c r="D105" s="102">
        <v>43164</v>
      </c>
      <c r="E105" s="102">
        <v>43203.625</v>
      </c>
      <c r="F105" s="154">
        <v>3650.00000142</v>
      </c>
      <c r="G105" s="101">
        <v>39.625</v>
      </c>
      <c r="H105" s="101"/>
      <c r="I105" s="101"/>
      <c r="J105" s="101"/>
      <c r="K105" s="101"/>
      <c r="L105" s="101"/>
      <c r="M105" s="101"/>
      <c r="N105" s="154">
        <v>10000</v>
      </c>
      <c r="O105" s="153">
        <v>25.946642731012503</v>
      </c>
      <c r="Q105" s="101" t="s">
        <v>20</v>
      </c>
    </row>
    <row r="106" spans="3:17">
      <c r="C106" s="101" t="s">
        <v>186</v>
      </c>
      <c r="D106" s="102">
        <v>43164</v>
      </c>
      <c r="E106" s="102">
        <v>43189.625</v>
      </c>
      <c r="F106" s="154">
        <v>3650.0000014560001</v>
      </c>
      <c r="G106" s="101">
        <v>25.625</v>
      </c>
      <c r="H106" s="101"/>
      <c r="I106" s="101"/>
      <c r="J106" s="101"/>
      <c r="K106" s="101"/>
      <c r="L106" s="101"/>
      <c r="M106" s="101"/>
      <c r="N106" s="154">
        <v>10000</v>
      </c>
      <c r="O106" s="153">
        <v>19.272655133425701</v>
      </c>
      <c r="Q106" s="101" t="s">
        <v>20</v>
      </c>
    </row>
    <row r="107" spans="3:17">
      <c r="C107" s="101" t="s">
        <v>186</v>
      </c>
      <c r="D107" s="102">
        <v>43164</v>
      </c>
      <c r="E107" s="102">
        <v>43219.625</v>
      </c>
      <c r="F107" s="154">
        <v>3625.0000025260001</v>
      </c>
      <c r="G107" s="101">
        <v>17.625</v>
      </c>
      <c r="H107" s="101"/>
      <c r="I107" s="101"/>
      <c r="J107" s="101"/>
      <c r="K107" s="101"/>
      <c r="L107" s="101"/>
      <c r="M107" s="101"/>
      <c r="N107" s="154">
        <v>5000</v>
      </c>
      <c r="O107" s="153">
        <v>0.25</v>
      </c>
      <c r="Q107" s="101" t="s">
        <v>20</v>
      </c>
    </row>
    <row r="108" spans="3:17">
      <c r="F108" s="166"/>
      <c r="N108" s="16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77" t="s">
        <v>158</v>
      </c>
      <c r="C1" s="177"/>
      <c r="D1" s="177"/>
    </row>
    <row r="2" spans="1:21" ht="12" thickTop="1"/>
    <row r="3" spans="1:21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E59" sqref="E59"/>
    </sheetView>
  </sheetViews>
  <sheetFormatPr defaultColWidth="9" defaultRowHeight="10.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>
      <c r="B1" s="193" t="s">
        <v>118</v>
      </c>
      <c r="C1" s="193"/>
    </row>
    <row r="2" spans="2:20" ht="11.25" thickTop="1"/>
    <row r="3" spans="2:20" ht="11.25" thickBot="1">
      <c r="B3" s="194" t="s">
        <v>119</v>
      </c>
      <c r="C3" s="194"/>
      <c r="D3" s="194"/>
      <c r="E3" s="194"/>
      <c r="G3" s="198" t="s">
        <v>120</v>
      </c>
      <c r="H3" s="198"/>
      <c r="I3" s="198"/>
      <c r="J3" s="198"/>
      <c r="L3" s="194" t="s">
        <v>165</v>
      </c>
      <c r="M3" s="194"/>
      <c r="N3" s="194"/>
      <c r="O3" s="194"/>
      <c r="Q3" s="198" t="s">
        <v>166</v>
      </c>
      <c r="R3" s="198"/>
      <c r="S3" s="198"/>
      <c r="T3" s="198"/>
    </row>
    <row r="4" spans="2:20" ht="12" thickTop="1" thickBot="1">
      <c r="B4" s="195" t="s">
        <v>121</v>
      </c>
      <c r="C4" s="195"/>
      <c r="D4" s="195"/>
      <c r="E4" s="195"/>
      <c r="G4" s="195" t="s">
        <v>34</v>
      </c>
      <c r="H4" s="195"/>
      <c r="I4" s="195"/>
      <c r="J4" s="195"/>
      <c r="L4" s="195" t="s">
        <v>121</v>
      </c>
      <c r="M4" s="195"/>
      <c r="N4" s="195"/>
      <c r="O4" s="195"/>
      <c r="Q4" s="195" t="s">
        <v>34</v>
      </c>
      <c r="R4" s="195"/>
      <c r="S4" s="195"/>
      <c r="T4" s="195"/>
    </row>
    <row r="5" spans="2:20" ht="15" customHeight="1" thickTop="1">
      <c r="B5" s="192" t="s">
        <v>122</v>
      </c>
      <c r="C5" s="192"/>
      <c r="D5" s="196"/>
      <c r="E5" s="197"/>
      <c r="G5" s="192" t="s">
        <v>123</v>
      </c>
      <c r="H5" s="192"/>
      <c r="I5" s="158"/>
      <c r="J5" s="159"/>
      <c r="L5" s="156" t="s">
        <v>122</v>
      </c>
      <c r="M5" s="157"/>
      <c r="N5" s="158"/>
      <c r="O5" s="159"/>
      <c r="Q5" s="192" t="s">
        <v>123</v>
      </c>
      <c r="R5" s="192"/>
      <c r="S5" s="158"/>
      <c r="T5" s="159"/>
    </row>
    <row r="6" spans="2:20">
      <c r="B6" s="192" t="s">
        <v>124</v>
      </c>
      <c r="C6" s="192"/>
      <c r="D6" s="190" t="s">
        <v>125</v>
      </c>
      <c r="E6" s="191"/>
      <c r="G6" s="192" t="s">
        <v>126</v>
      </c>
      <c r="H6" s="192"/>
      <c r="I6" s="190"/>
      <c r="J6" s="191"/>
      <c r="L6" s="192" t="s">
        <v>124</v>
      </c>
      <c r="M6" s="192"/>
      <c r="N6" s="190" t="s">
        <v>125</v>
      </c>
      <c r="O6" s="191"/>
      <c r="Q6" s="192" t="s">
        <v>126</v>
      </c>
      <c r="R6" s="192"/>
      <c r="S6" s="190"/>
      <c r="T6" s="191"/>
    </row>
    <row r="7" spans="2:20" ht="2.25" customHeight="1">
      <c r="B7" s="192" t="s">
        <v>127</v>
      </c>
      <c r="C7" s="192"/>
      <c r="D7" s="190" t="s">
        <v>125</v>
      </c>
      <c r="E7" s="191"/>
      <c r="G7" s="192" t="s">
        <v>128</v>
      </c>
      <c r="H7" s="192"/>
      <c r="I7" s="190"/>
      <c r="J7" s="191"/>
      <c r="L7" s="192" t="s">
        <v>127</v>
      </c>
      <c r="M7" s="192"/>
      <c r="N7" s="190" t="s">
        <v>125</v>
      </c>
      <c r="O7" s="191"/>
      <c r="Q7" s="192" t="s">
        <v>128</v>
      </c>
      <c r="R7" s="192"/>
      <c r="S7" s="190"/>
      <c r="T7" s="191"/>
    </row>
    <row r="8" spans="2:20" hidden="1">
      <c r="B8" s="192" t="s">
        <v>129</v>
      </c>
      <c r="C8" s="192"/>
      <c r="D8" s="190">
        <f>D13*D15</f>
        <v>305000</v>
      </c>
      <c r="E8" s="191"/>
      <c r="G8" s="192" t="s">
        <v>130</v>
      </c>
      <c r="H8" s="192"/>
      <c r="I8" s="190"/>
      <c r="J8" s="191"/>
      <c r="L8" s="192" t="s">
        <v>129</v>
      </c>
      <c r="M8" s="192"/>
      <c r="N8" s="190">
        <f>N14*N16</f>
        <v>305000</v>
      </c>
      <c r="O8" s="191"/>
      <c r="Q8" s="192" t="s">
        <v>130</v>
      </c>
      <c r="R8" s="192"/>
      <c r="S8" s="190"/>
      <c r="T8" s="191"/>
    </row>
    <row r="9" spans="2:20" hidden="1">
      <c r="B9" s="192" t="s">
        <v>131</v>
      </c>
      <c r="C9" s="192"/>
      <c r="D9" s="190" t="s">
        <v>132</v>
      </c>
      <c r="E9" s="191"/>
      <c r="G9" s="192" t="s">
        <v>133</v>
      </c>
      <c r="H9" s="192"/>
      <c r="I9" s="190"/>
      <c r="J9" s="191"/>
      <c r="L9" s="192" t="s">
        <v>131</v>
      </c>
      <c r="M9" s="192"/>
      <c r="N9" s="190" t="s">
        <v>132</v>
      </c>
      <c r="O9" s="191"/>
      <c r="Q9" s="192" t="s">
        <v>133</v>
      </c>
      <c r="R9" s="192"/>
      <c r="S9" s="190"/>
      <c r="T9" s="191"/>
    </row>
    <row r="10" spans="2:20" hidden="1">
      <c r="B10" s="192" t="s">
        <v>134</v>
      </c>
      <c r="C10" s="192"/>
      <c r="D10" s="190">
        <v>43084</v>
      </c>
      <c r="E10" s="191"/>
      <c r="G10" s="160" t="s">
        <v>135</v>
      </c>
      <c r="H10" s="160"/>
      <c r="I10" s="190"/>
      <c r="J10" s="191"/>
      <c r="L10" s="192" t="s">
        <v>134</v>
      </c>
      <c r="M10" s="192"/>
      <c r="N10" s="190">
        <v>43084</v>
      </c>
      <c r="O10" s="191"/>
      <c r="Q10" s="160" t="s">
        <v>135</v>
      </c>
      <c r="R10" s="160"/>
      <c r="S10" s="190"/>
      <c r="T10" s="191"/>
    </row>
    <row r="11" spans="2:20" hidden="1">
      <c r="B11" s="192" t="s">
        <v>136</v>
      </c>
      <c r="C11" s="192"/>
      <c r="D11" s="190">
        <v>3935</v>
      </c>
      <c r="E11" s="191"/>
      <c r="G11" s="192" t="s">
        <v>137</v>
      </c>
      <c r="H11" s="192"/>
      <c r="I11" s="190"/>
      <c r="J11" s="191"/>
      <c r="L11" s="192" t="s">
        <v>136</v>
      </c>
      <c r="M11" s="192"/>
      <c r="N11" s="190">
        <v>3935</v>
      </c>
      <c r="O11" s="191"/>
      <c r="Q11" s="192" t="s">
        <v>137</v>
      </c>
      <c r="R11" s="192"/>
      <c r="S11" s="190"/>
      <c r="T11" s="191"/>
    </row>
    <row r="12" spans="2:20" hidden="1">
      <c r="B12" s="192" t="s">
        <v>138</v>
      </c>
      <c r="C12" s="192"/>
      <c r="D12" s="190">
        <v>3800</v>
      </c>
      <c r="E12" s="191"/>
      <c r="G12" s="192" t="s">
        <v>139</v>
      </c>
      <c r="H12" s="192"/>
      <c r="I12" s="190"/>
      <c r="J12" s="191"/>
      <c r="L12" s="192" t="s">
        <v>163</v>
      </c>
      <c r="M12" s="192"/>
      <c r="N12" s="190">
        <v>3800</v>
      </c>
      <c r="O12" s="191"/>
      <c r="Q12" s="192" t="s">
        <v>167</v>
      </c>
      <c r="R12" s="192"/>
      <c r="S12" s="190"/>
      <c r="T12" s="191"/>
    </row>
    <row r="13" spans="2:20" hidden="1">
      <c r="B13" s="192" t="s">
        <v>140</v>
      </c>
      <c r="C13" s="192"/>
      <c r="D13" s="190">
        <v>61</v>
      </c>
      <c r="E13" s="191"/>
      <c r="G13" s="192" t="s">
        <v>141</v>
      </c>
      <c r="H13" s="192"/>
      <c r="I13" s="190"/>
      <c r="J13" s="191"/>
      <c r="L13" s="192" t="s">
        <v>164</v>
      </c>
      <c r="M13" s="192"/>
      <c r="N13" s="190">
        <v>3800</v>
      </c>
      <c r="O13" s="191"/>
      <c r="Q13" s="192" t="s">
        <v>168</v>
      </c>
      <c r="R13" s="192"/>
      <c r="S13" s="190"/>
      <c r="T13" s="191"/>
    </row>
    <row r="14" spans="2:20" hidden="1">
      <c r="B14" s="192" t="s">
        <v>142</v>
      </c>
      <c r="C14" s="192"/>
      <c r="D14" s="190" t="s">
        <v>143</v>
      </c>
      <c r="E14" s="191"/>
      <c r="G14" s="192" t="s">
        <v>144</v>
      </c>
      <c r="H14" s="192"/>
      <c r="I14" s="161"/>
      <c r="J14" s="162"/>
      <c r="L14" s="192" t="s">
        <v>140</v>
      </c>
      <c r="M14" s="192"/>
      <c r="N14" s="190">
        <v>61</v>
      </c>
      <c r="O14" s="191"/>
      <c r="Q14" s="192" t="s">
        <v>141</v>
      </c>
      <c r="R14" s="192"/>
      <c r="S14" s="190"/>
      <c r="T14" s="191"/>
    </row>
    <row r="15" spans="2:20" hidden="1">
      <c r="B15" s="192" t="s">
        <v>145</v>
      </c>
      <c r="C15" s="192"/>
      <c r="D15" s="190">
        <v>5000</v>
      </c>
      <c r="E15" s="191"/>
      <c r="G15" s="192" t="s">
        <v>146</v>
      </c>
      <c r="H15" s="192"/>
      <c r="I15" s="190"/>
      <c r="J15" s="191"/>
      <c r="L15" s="192" t="s">
        <v>142</v>
      </c>
      <c r="M15" s="192"/>
      <c r="N15" s="190" t="s">
        <v>143</v>
      </c>
      <c r="O15" s="191"/>
      <c r="Q15" s="192" t="s">
        <v>144</v>
      </c>
      <c r="R15" s="192"/>
      <c r="S15" s="161"/>
      <c r="T15" s="162"/>
    </row>
    <row r="16" spans="2:20" ht="11.25" hidden="1" thickBot="1">
      <c r="B16" s="187" t="s">
        <v>147</v>
      </c>
      <c r="C16" s="187"/>
      <c r="D16" s="188" t="s">
        <v>148</v>
      </c>
      <c r="E16" s="189"/>
      <c r="G16" s="187" t="s">
        <v>149</v>
      </c>
      <c r="H16" s="187"/>
      <c r="I16" s="188"/>
      <c r="J16" s="189"/>
      <c r="L16" s="192" t="s">
        <v>145</v>
      </c>
      <c r="M16" s="192"/>
      <c r="N16" s="190">
        <v>5000</v>
      </c>
      <c r="O16" s="191"/>
      <c r="Q16" s="192" t="s">
        <v>146</v>
      </c>
      <c r="R16" s="192"/>
      <c r="S16" s="190"/>
      <c r="T16" s="191"/>
    </row>
    <row r="17" spans="2:25" ht="12" hidden="1" thickTop="1" thickBot="1">
      <c r="L17" s="187" t="s">
        <v>147</v>
      </c>
      <c r="M17" s="187"/>
      <c r="N17" s="188" t="s">
        <v>148</v>
      </c>
      <c r="O17" s="189"/>
      <c r="Q17" s="187" t="s">
        <v>149</v>
      </c>
      <c r="R17" s="187"/>
      <c r="S17" s="188"/>
      <c r="T17" s="189"/>
    </row>
    <row r="19" spans="2:25">
      <c r="B19" s="163" t="s">
        <v>150</v>
      </c>
    </row>
    <row r="21" spans="2:25" ht="11.25" thickBot="1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>
      <c r="B22" s="185" t="s">
        <v>195</v>
      </c>
      <c r="C22" s="185"/>
      <c r="D22" s="185"/>
      <c r="E22" s="185"/>
      <c r="G22" s="185" t="s">
        <v>196</v>
      </c>
      <c r="H22" s="185"/>
      <c r="I22" s="185"/>
      <c r="J22" s="185"/>
      <c r="L22" s="195" t="s">
        <v>196</v>
      </c>
      <c r="M22" s="195"/>
      <c r="N22" s="195"/>
      <c r="O22" s="195"/>
      <c r="Q22" s="185" t="s">
        <v>195</v>
      </c>
      <c r="R22" s="185"/>
      <c r="S22" s="185"/>
      <c r="T22" s="185"/>
      <c r="V22" s="195" t="s">
        <v>196</v>
      </c>
      <c r="W22" s="195"/>
      <c r="X22" s="195"/>
      <c r="Y22" s="195"/>
    </row>
    <row r="23" spans="2:25" ht="12" thickTop="1">
      <c r="B23" s="178" t="s">
        <v>122</v>
      </c>
      <c r="C23" s="178"/>
      <c r="D23" s="184">
        <f ca="1">TODAY()</f>
        <v>43165</v>
      </c>
      <c r="E23" s="186"/>
      <c r="G23" s="178" t="s">
        <v>122</v>
      </c>
      <c r="H23" s="178"/>
      <c r="I23" s="184">
        <f ca="1">TODAY()</f>
        <v>43165</v>
      </c>
      <c r="J23" s="186"/>
      <c r="L23" s="178" t="s">
        <v>122</v>
      </c>
      <c r="M23" s="178"/>
      <c r="N23" s="184">
        <f ca="1">TODAY()</f>
        <v>43165</v>
      </c>
      <c r="O23" s="186"/>
      <c r="Q23" s="178" t="s">
        <v>122</v>
      </c>
      <c r="R23" s="178"/>
      <c r="S23" s="184">
        <f ca="1">TODAY()-1</f>
        <v>43164</v>
      </c>
      <c r="T23" s="186"/>
      <c r="V23" s="178" t="s">
        <v>122</v>
      </c>
      <c r="W23" s="178"/>
      <c r="X23" s="184">
        <f ca="1">TODAY()-1</f>
        <v>43164</v>
      </c>
      <c r="Y23" s="186"/>
    </row>
    <row r="24" spans="2:25" ht="11.25">
      <c r="B24" s="178" t="s">
        <v>124</v>
      </c>
      <c r="C24" s="178"/>
      <c r="D24" s="179" t="s">
        <v>190</v>
      </c>
      <c r="E24" s="180"/>
      <c r="G24" s="178" t="s">
        <v>124</v>
      </c>
      <c r="H24" s="178"/>
      <c r="I24" s="179" t="s">
        <v>190</v>
      </c>
      <c r="J24" s="180"/>
      <c r="L24" s="178" t="s">
        <v>124</v>
      </c>
      <c r="M24" s="178"/>
      <c r="N24" s="179" t="s">
        <v>36</v>
      </c>
      <c r="O24" s="180"/>
      <c r="Q24" s="178" t="s">
        <v>124</v>
      </c>
      <c r="R24" s="178"/>
      <c r="S24" s="179" t="s">
        <v>36</v>
      </c>
      <c r="T24" s="180"/>
      <c r="V24" s="178" t="s">
        <v>124</v>
      </c>
      <c r="W24" s="178"/>
      <c r="X24" s="179" t="s">
        <v>36</v>
      </c>
      <c r="Y24" s="180"/>
    </row>
    <row r="25" spans="2:25" ht="11.25">
      <c r="B25" s="178" t="s">
        <v>127</v>
      </c>
      <c r="C25" s="178"/>
      <c r="D25" s="179" t="s">
        <v>5</v>
      </c>
      <c r="E25" s="180"/>
      <c r="G25" s="178" t="s">
        <v>127</v>
      </c>
      <c r="H25" s="178"/>
      <c r="I25" s="179" t="s">
        <v>5</v>
      </c>
      <c r="J25" s="180"/>
      <c r="L25" s="178" t="s">
        <v>127</v>
      </c>
      <c r="M25" s="178"/>
      <c r="N25" s="179" t="s">
        <v>203</v>
      </c>
      <c r="O25" s="180"/>
      <c r="Q25" s="178" t="s">
        <v>127</v>
      </c>
      <c r="R25" s="178"/>
      <c r="S25" s="179" t="s">
        <v>194</v>
      </c>
      <c r="T25" s="180"/>
      <c r="V25" s="178" t="s">
        <v>127</v>
      </c>
      <c r="W25" s="178"/>
      <c r="X25" s="179" t="s">
        <v>194</v>
      </c>
      <c r="Y25" s="180"/>
    </row>
    <row r="26" spans="2:25" ht="11.25">
      <c r="B26" s="178" t="s">
        <v>129</v>
      </c>
      <c r="C26" s="178"/>
      <c r="D26" s="179">
        <f>D31*D33</f>
        <v>388800</v>
      </c>
      <c r="E26" s="180"/>
      <c r="G26" s="178" t="s">
        <v>179</v>
      </c>
      <c r="H26" s="178"/>
      <c r="I26" s="179">
        <f>I31*I33</f>
        <v>271800</v>
      </c>
      <c r="J26" s="180"/>
      <c r="L26" s="178" t="s">
        <v>129</v>
      </c>
      <c r="M26" s="178"/>
      <c r="N26" s="179">
        <f>N31*N33</f>
        <v>275000</v>
      </c>
      <c r="O26" s="180"/>
      <c r="Q26" s="178" t="s">
        <v>129</v>
      </c>
      <c r="R26" s="178"/>
      <c r="S26" s="179">
        <f>S31*S33</f>
        <v>235799.99999999997</v>
      </c>
      <c r="T26" s="180"/>
      <c r="V26" s="178" t="s">
        <v>129</v>
      </c>
      <c r="W26" s="178"/>
      <c r="X26" s="179">
        <f>X31*X33</f>
        <v>235799.99999999997</v>
      </c>
      <c r="Y26" s="180"/>
    </row>
    <row r="27" spans="2:25" ht="11.25">
      <c r="B27" s="178" t="s">
        <v>131</v>
      </c>
      <c r="C27" s="178"/>
      <c r="D27" s="179" t="s">
        <v>132</v>
      </c>
      <c r="E27" s="180"/>
      <c r="G27" s="178" t="s">
        <v>131</v>
      </c>
      <c r="H27" s="178"/>
      <c r="I27" s="179" t="s">
        <v>207</v>
      </c>
      <c r="J27" s="180"/>
      <c r="L27" s="178" t="s">
        <v>131</v>
      </c>
      <c r="M27" s="178"/>
      <c r="N27" s="179" t="s">
        <v>197</v>
      </c>
      <c r="O27" s="180"/>
      <c r="Q27" s="178" t="s">
        <v>131</v>
      </c>
      <c r="R27" s="178"/>
      <c r="S27" s="179" t="s">
        <v>198</v>
      </c>
      <c r="T27" s="180"/>
      <c r="V27" s="178" t="s">
        <v>131</v>
      </c>
      <c r="W27" s="178"/>
      <c r="X27" s="179" t="s">
        <v>197</v>
      </c>
      <c r="Y27" s="180"/>
    </row>
    <row r="28" spans="2:25" ht="11.25">
      <c r="B28" s="178" t="s">
        <v>134</v>
      </c>
      <c r="C28" s="178"/>
      <c r="D28" s="184">
        <v>43182</v>
      </c>
      <c r="E28" s="180"/>
      <c r="G28" s="178" t="s">
        <v>134</v>
      </c>
      <c r="H28" s="178"/>
      <c r="I28" s="184">
        <v>43182</v>
      </c>
      <c r="J28" s="180"/>
      <c r="L28" s="178" t="s">
        <v>134</v>
      </c>
      <c r="M28" s="178"/>
      <c r="N28" s="184">
        <v>43219</v>
      </c>
      <c r="O28" s="180"/>
      <c r="Q28" s="178" t="s">
        <v>134</v>
      </c>
      <c r="R28" s="178"/>
      <c r="S28" s="184">
        <v>43201</v>
      </c>
      <c r="T28" s="180"/>
      <c r="V28" s="178" t="s">
        <v>134</v>
      </c>
      <c r="W28" s="178"/>
      <c r="X28" s="184">
        <v>43201</v>
      </c>
      <c r="Y28" s="180"/>
    </row>
    <row r="29" spans="2:25" ht="11.25">
      <c r="B29" s="178" t="s">
        <v>136</v>
      </c>
      <c r="C29" s="178"/>
      <c r="D29" s="179">
        <v>3856</v>
      </c>
      <c r="E29" s="180"/>
      <c r="G29" s="178" t="s">
        <v>136</v>
      </c>
      <c r="H29" s="178"/>
      <c r="I29" s="179">
        <v>3856</v>
      </c>
      <c r="J29" s="180"/>
      <c r="L29" s="178" t="s">
        <v>136</v>
      </c>
      <c r="M29" s="178"/>
      <c r="N29" s="179">
        <v>3760</v>
      </c>
      <c r="O29" s="180"/>
      <c r="Q29" s="178" t="s">
        <v>136</v>
      </c>
      <c r="R29" s="178"/>
      <c r="S29" s="179">
        <v>524</v>
      </c>
      <c r="T29" s="180"/>
      <c r="V29" s="178" t="s">
        <v>136</v>
      </c>
      <c r="W29" s="178"/>
      <c r="X29" s="179">
        <v>524</v>
      </c>
      <c r="Y29" s="180"/>
    </row>
    <row r="30" spans="2:25" ht="11.25">
      <c r="B30" s="178" t="s">
        <v>138</v>
      </c>
      <c r="C30" s="178"/>
      <c r="D30" s="179">
        <v>3800</v>
      </c>
      <c r="E30" s="180"/>
      <c r="G30" s="178" t="s">
        <v>138</v>
      </c>
      <c r="H30" s="178"/>
      <c r="I30" s="179">
        <v>3930</v>
      </c>
      <c r="J30" s="180"/>
      <c r="L30" s="178" t="s">
        <v>138</v>
      </c>
      <c r="M30" s="178"/>
      <c r="N30" s="179">
        <v>3700</v>
      </c>
      <c r="O30" s="180"/>
      <c r="Q30" s="178" t="s">
        <v>138</v>
      </c>
      <c r="R30" s="178"/>
      <c r="S30" s="179">
        <v>524</v>
      </c>
      <c r="T30" s="180"/>
      <c r="V30" s="178" t="s">
        <v>138</v>
      </c>
      <c r="W30" s="178"/>
      <c r="X30" s="179">
        <v>524</v>
      </c>
      <c r="Y30" s="180"/>
    </row>
    <row r="31" spans="2:25" ht="11.25">
      <c r="B31" s="178" t="s">
        <v>140</v>
      </c>
      <c r="C31" s="178"/>
      <c r="D31" s="179">
        <v>38.880000000000003</v>
      </c>
      <c r="E31" s="180"/>
      <c r="G31" s="178" t="s">
        <v>208</v>
      </c>
      <c r="H31" s="178"/>
      <c r="I31" s="179">
        <v>27.18</v>
      </c>
      <c r="J31" s="180"/>
      <c r="L31" s="178" t="s">
        <v>140</v>
      </c>
      <c r="M31" s="178"/>
      <c r="N31" s="179">
        <v>55</v>
      </c>
      <c r="O31" s="180"/>
      <c r="Q31" s="178" t="s">
        <v>140</v>
      </c>
      <c r="R31" s="178"/>
      <c r="S31" s="179">
        <v>23.58</v>
      </c>
      <c r="T31" s="180"/>
      <c r="V31" s="178" t="s">
        <v>140</v>
      </c>
      <c r="W31" s="178"/>
      <c r="X31" s="179">
        <v>23.58</v>
      </c>
      <c r="Y31" s="180"/>
    </row>
    <row r="32" spans="2:25" ht="11.25">
      <c r="B32" s="178" t="s">
        <v>142</v>
      </c>
      <c r="C32" s="178"/>
      <c r="D32" s="179" t="s">
        <v>206</v>
      </c>
      <c r="E32" s="180"/>
      <c r="G32" s="178" t="s">
        <v>209</v>
      </c>
      <c r="H32" s="178"/>
      <c r="I32" s="179" t="s">
        <v>206</v>
      </c>
      <c r="J32" s="180"/>
      <c r="L32" s="178" t="s">
        <v>142</v>
      </c>
      <c r="M32" s="178"/>
      <c r="N32" s="179" t="s">
        <v>202</v>
      </c>
      <c r="O32" s="180"/>
      <c r="Q32" s="178" t="s">
        <v>142</v>
      </c>
      <c r="R32" s="178"/>
      <c r="S32" s="179" t="s">
        <v>199</v>
      </c>
      <c r="T32" s="180"/>
      <c r="V32" s="178" t="s">
        <v>142</v>
      </c>
      <c r="W32" s="178"/>
      <c r="X32" s="179" t="s">
        <v>199</v>
      </c>
      <c r="Y32" s="180"/>
    </row>
    <row r="33" spans="2:25" ht="11.25">
      <c r="B33" s="178" t="s">
        <v>145</v>
      </c>
      <c r="C33" s="178"/>
      <c r="D33" s="179">
        <v>10000</v>
      </c>
      <c r="E33" s="180"/>
      <c r="G33" s="178" t="s">
        <v>210</v>
      </c>
      <c r="H33" s="178"/>
      <c r="I33" s="179">
        <v>10000</v>
      </c>
      <c r="J33" s="180"/>
      <c r="L33" s="178" t="s">
        <v>145</v>
      </c>
      <c r="M33" s="178"/>
      <c r="N33" s="179">
        <v>5000</v>
      </c>
      <c r="O33" s="180"/>
      <c r="Q33" s="178" t="s">
        <v>145</v>
      </c>
      <c r="R33" s="178"/>
      <c r="S33" s="179">
        <v>10000</v>
      </c>
      <c r="T33" s="180"/>
      <c r="V33" s="178" t="s">
        <v>145</v>
      </c>
      <c r="W33" s="178"/>
      <c r="X33" s="179">
        <v>10000</v>
      </c>
      <c r="Y33" s="180"/>
    </row>
    <row r="34" spans="2:25" ht="12" thickBot="1">
      <c r="B34" s="181" t="s">
        <v>147</v>
      </c>
      <c r="C34" s="181"/>
      <c r="D34" s="182" t="s">
        <v>148</v>
      </c>
      <c r="E34" s="183"/>
      <c r="G34" s="181" t="s">
        <v>147</v>
      </c>
      <c r="H34" s="181"/>
      <c r="I34" s="182" t="s">
        <v>148</v>
      </c>
      <c r="J34" s="183"/>
      <c r="L34" s="181" t="s">
        <v>147</v>
      </c>
      <c r="M34" s="181"/>
      <c r="N34" s="182" t="s">
        <v>148</v>
      </c>
      <c r="O34" s="183"/>
      <c r="Q34" s="181" t="s">
        <v>147</v>
      </c>
      <c r="R34" s="181"/>
      <c r="S34" s="182" t="s">
        <v>148</v>
      </c>
      <c r="T34" s="183"/>
      <c r="V34" s="181" t="s">
        <v>147</v>
      </c>
      <c r="W34" s="181"/>
      <c r="X34" s="182" t="s">
        <v>148</v>
      </c>
      <c r="Y34" s="183"/>
    </row>
    <row r="35" spans="2:25" ht="11.25" thickTop="1"/>
    <row r="36" spans="2:25" ht="12" thickBot="1">
      <c r="B36" s="185" t="s">
        <v>121</v>
      </c>
      <c r="C36" s="185"/>
      <c r="D36" s="185"/>
      <c r="E36" s="185"/>
    </row>
    <row r="37" spans="2:25" ht="12" thickTop="1">
      <c r="B37" s="178" t="s">
        <v>122</v>
      </c>
      <c r="C37" s="178"/>
      <c r="D37" s="184">
        <f ca="1">TODAY()</f>
        <v>43165</v>
      </c>
      <c r="E37" s="186"/>
    </row>
    <row r="38" spans="2:25" ht="11.25">
      <c r="B38" s="178" t="s">
        <v>124</v>
      </c>
      <c r="C38" s="178"/>
      <c r="D38" s="179" t="s">
        <v>215</v>
      </c>
      <c r="E38" s="180"/>
    </row>
    <row r="39" spans="2:25" ht="11.25">
      <c r="B39" s="178" t="s">
        <v>127</v>
      </c>
      <c r="C39" s="178"/>
      <c r="D39" s="179" t="s">
        <v>190</v>
      </c>
      <c r="E39" s="180"/>
    </row>
    <row r="40" spans="2:25" ht="11.25">
      <c r="B40" s="178" t="s">
        <v>179</v>
      </c>
      <c r="C40" s="178"/>
      <c r="D40" s="179">
        <f>D45*D47</f>
        <v>28342.799999999999</v>
      </c>
      <c r="E40" s="180"/>
    </row>
    <row r="41" spans="2:25" ht="11.25">
      <c r="B41" s="178" t="s">
        <v>131</v>
      </c>
      <c r="C41" s="178"/>
      <c r="D41" s="179" t="s">
        <v>207</v>
      </c>
      <c r="E41" s="180"/>
    </row>
    <row r="42" spans="2:25" ht="11.25">
      <c r="B42" s="178" t="s">
        <v>134</v>
      </c>
      <c r="C42" s="178"/>
      <c r="D42" s="184">
        <v>43189</v>
      </c>
      <c r="E42" s="180"/>
    </row>
    <row r="43" spans="2:25" ht="11.25">
      <c r="B43" s="178" t="s">
        <v>136</v>
      </c>
      <c r="C43" s="178"/>
      <c r="D43" s="179">
        <v>13015</v>
      </c>
      <c r="E43" s="180"/>
    </row>
    <row r="44" spans="2:25" ht="11.25">
      <c r="B44" s="178" t="s">
        <v>138</v>
      </c>
      <c r="C44" s="178"/>
      <c r="D44" s="179">
        <v>13015</v>
      </c>
      <c r="E44" s="180"/>
    </row>
    <row r="45" spans="2:25" ht="11.25">
      <c r="B45" s="178" t="s">
        <v>208</v>
      </c>
      <c r="C45" s="178"/>
      <c r="D45" s="179">
        <v>472.38</v>
      </c>
      <c r="E45" s="180"/>
    </row>
    <row r="46" spans="2:25" ht="11.25">
      <c r="B46" s="178" t="s">
        <v>209</v>
      </c>
      <c r="C46" s="178"/>
      <c r="D46" s="179" t="s">
        <v>214</v>
      </c>
      <c r="E46" s="180"/>
    </row>
    <row r="47" spans="2:25" ht="11.25">
      <c r="B47" s="178" t="s">
        <v>210</v>
      </c>
      <c r="C47" s="178"/>
      <c r="D47" s="179">
        <v>60</v>
      </c>
      <c r="E47" s="180"/>
    </row>
    <row r="48" spans="2:25" ht="12" thickBot="1">
      <c r="B48" s="181" t="s">
        <v>147</v>
      </c>
      <c r="C48" s="181"/>
      <c r="D48" s="182" t="s">
        <v>148</v>
      </c>
      <c r="E48" s="183"/>
    </row>
    <row r="49" ht="11.25" thickTop="1"/>
  </sheetData>
  <mergeCells count="251"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abSelected="1" topLeftCell="C1" zoomScaleNormal="100" workbookViewId="0">
      <selection activeCell="L13" sqref="L13"/>
    </sheetView>
  </sheetViews>
  <sheetFormatPr defaultColWidth="9" defaultRowHeight="11.2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>
      <c r="B1" s="199" t="s">
        <v>37</v>
      </c>
      <c r="C1" s="199"/>
    </row>
    <row r="2" spans="1:25" ht="12" thickTop="1">
      <c r="B2" s="3" t="s">
        <v>0</v>
      </c>
      <c r="C2" s="4">
        <v>43111</v>
      </c>
    </row>
    <row r="3" spans="1:25" ht="13.5">
      <c r="A3" s="47" t="s">
        <v>201</v>
      </c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22</v>
      </c>
      <c r="E8" s="21">
        <f t="shared" ref="E8:E26" ca="1" si="0">TODAY()</f>
        <v>43165</v>
      </c>
      <c r="F8" s="21">
        <f t="shared" ref="F8:F11" ca="1" si="1">E8+H8</f>
        <v>43195</v>
      </c>
      <c r="G8" s="19">
        <v>3800</v>
      </c>
      <c r="H8" s="19">
        <v>30</v>
      </c>
      <c r="I8" s="22">
        <f t="shared" ref="I8:I18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-224.93338518819201</v>
      </c>
      <c r="M8" s="25"/>
      <c r="N8" s="24">
        <f t="shared" ref="N8:N9" si="3">M8/10000*I8*P8</f>
        <v>0</v>
      </c>
      <c r="O8" s="24">
        <f t="shared" ref="O8:O9" si="4">IF(L8&lt;=0,ABS(L8)+N8,L8-N8)</f>
        <v>224.93338518819201</v>
      </c>
      <c r="P8" s="20">
        <f>RTD("wdf.rtq",,D8,"LastPrice")</f>
        <v>3956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5.6858793020270984E-2</v>
      </c>
      <c r="U8" s="24">
        <f>_xll.dnetGBlackScholesNGreeks("delta",$Q8,$P8,$G8,$I8,$C$3,$J8,$K8,$C$4)*R8</f>
        <v>-0.6941061377119695</v>
      </c>
      <c r="V8" s="24">
        <f>_xll.dnetGBlackScholesNGreeks("vega",$Q8,$P8,$G8,$I8,$C$3,$J8,$K8,$C$4)*R8</f>
        <v>-3.9642783461952149</v>
      </c>
    </row>
    <row r="9" spans="1:2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43165</v>
      </c>
      <c r="F9" s="8">
        <f t="shared" ca="1" si="1"/>
        <v>43197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>
      <c r="A10" s="42"/>
      <c r="B10" s="13" t="s">
        <v>172</v>
      </c>
      <c r="C10" s="10" t="s">
        <v>161</v>
      </c>
      <c r="D10" s="10" t="s">
        <v>212</v>
      </c>
      <c r="E10" s="8">
        <v>43046</v>
      </c>
      <c r="F10" s="8">
        <v>43126</v>
      </c>
      <c r="G10" s="10">
        <v>100</v>
      </c>
      <c r="H10" s="10">
        <f>F10-E10</f>
        <v>80</v>
      </c>
      <c r="I10" s="12">
        <f t="shared" si="2"/>
        <v>0.21917808219178081</v>
      </c>
      <c r="J10" s="12">
        <v>0</v>
      </c>
      <c r="K10" s="9">
        <v>0.25</v>
      </c>
      <c r="L10" s="13">
        <f>_xll.dnetGBlackScholesNGreeks("price",$Q10,$P10,$G10,$I10,$C$3,$J10,$K10,$C$4)*R10</f>
        <v>4.6461909092771876</v>
      </c>
      <c r="M10" s="15"/>
      <c r="N10" s="13">
        <f t="shared" ref="N10" si="7">M10/10000*I10*P10</f>
        <v>0</v>
      </c>
      <c r="O10" s="13">
        <f t="shared" ref="O10" si="8">IF(L10&lt;=0,ABS(L10)+N10,L10-N10)</f>
        <v>4.6461909092771876</v>
      </c>
      <c r="P10" s="11">
        <v>100</v>
      </c>
      <c r="Q10" s="10" t="s">
        <v>24</v>
      </c>
      <c r="R10" s="10">
        <f t="shared" ref="R10" si="9">IF(S10="中金买入",1,-1)</f>
        <v>1</v>
      </c>
      <c r="S10" s="10" t="s">
        <v>151</v>
      </c>
      <c r="T10" s="14">
        <f t="shared" ref="T10" si="10">O10/P10</f>
        <v>4.6461909092771876E-2</v>
      </c>
      <c r="U10" s="13">
        <f>_xll.dnetGBlackScholesNGreeks("delta",$Q10,$P10,$G10,$I10,$C$3,$J10,$K10,$C$4)*R10</f>
        <v>0.52104396214645021</v>
      </c>
      <c r="V10" s="13">
        <f>_xll.dnetGBlackScholesNGreeks("vega",$Q10,$P10,$G10,$I10,$C$3,$J10,$K10,$C$4)*R10</f>
        <v>0.18563540944411017</v>
      </c>
    </row>
    <row r="11" spans="1:25" ht="10.5" customHeight="1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43165</v>
      </c>
      <c r="F11" s="8">
        <f t="shared" ca="1" si="1"/>
        <v>43225</v>
      </c>
      <c r="G11" s="10">
        <v>50000</v>
      </c>
      <c r="H11" s="10">
        <v>60</v>
      </c>
      <c r="I11" s="12">
        <f t="shared" si="2"/>
        <v>0.16438356164383561</v>
      </c>
      <c r="J11" s="12">
        <v>0</v>
      </c>
      <c r="K11" s="9">
        <v>0.14499999999999999</v>
      </c>
      <c r="L11" s="13">
        <f>_xll.dnetGBlackScholesNGreeks("price",$Q11,$P11,$G11,$I11,$C$3,$J11,$K11,$C$4)*R11</f>
        <v>362.0449930802115</v>
      </c>
      <c r="M11" s="15">
        <v>30</v>
      </c>
      <c r="N11" s="13">
        <f t="shared" ref="N11" si="11">M11/10000*I11*P11</f>
        <v>25.841095890410958</v>
      </c>
      <c r="O11" s="13">
        <f t="shared" ref="O11" si="12">IF(L11&lt;=0,ABS(L11)+N11,L11-N11)</f>
        <v>336.20389718980056</v>
      </c>
      <c r="P11" s="11">
        <f>RTD("wdf.rtq",,D11,"LastPrice")</f>
        <v>52400</v>
      </c>
      <c r="Q11" s="10" t="s">
        <v>85</v>
      </c>
      <c r="R11" s="10">
        <f t="shared" ref="R11" si="13">IF(S11="中金买入",1,-1)</f>
        <v>1</v>
      </c>
      <c r="S11" s="10" t="s">
        <v>151</v>
      </c>
      <c r="T11" s="14">
        <f t="shared" ref="T11" si="14">O11/P11</f>
        <v>6.4161049082023004E-3</v>
      </c>
      <c r="U11" s="13">
        <f>_xll.dnetGBlackScholesNGreeks("delta",$Q11,$P11,$G11,$I11,$C$3,$J11,$K11,$C$4)*R11</f>
        <v>-0.20348200341686606</v>
      </c>
      <c r="V11" s="13">
        <f>_xll.dnetGBlackScholesNGreeks("vega",$Q11,$P11,$G11,$I11,$C$3,$J11,$K11,$C$4)*R11</f>
        <v>59.944916877097057</v>
      </c>
    </row>
    <row r="12" spans="1:25" ht="10.5" customHeight="1">
      <c r="A12" s="42"/>
      <c r="B12" s="13" t="s">
        <v>172</v>
      </c>
      <c r="C12" s="10" t="s">
        <v>161</v>
      </c>
      <c r="D12" s="10" t="s">
        <v>206</v>
      </c>
      <c r="E12" s="8">
        <f t="shared" ca="1" si="0"/>
        <v>43165</v>
      </c>
      <c r="F12" s="8">
        <f t="shared" ref="F12" ca="1" si="15">E12+H12</f>
        <v>43211</v>
      </c>
      <c r="G12" s="10">
        <v>96</v>
      </c>
      <c r="H12" s="10">
        <v>46</v>
      </c>
      <c r="I12" s="12">
        <f t="shared" si="2"/>
        <v>0.12602739726027398</v>
      </c>
      <c r="J12" s="12">
        <v>0</v>
      </c>
      <c r="K12" s="9">
        <v>0.24</v>
      </c>
      <c r="L12" s="13">
        <f>_xll.dnetGBlackScholesNGreeks("price",$Q12,$P12,$G12,$I12,$C$3,$J12,$K12,$C$4)*R12</f>
        <v>-1.7005272775470353</v>
      </c>
      <c r="M12" s="15">
        <v>0</v>
      </c>
      <c r="N12" s="13">
        <f t="shared" ref="N12" si="16">M12/10000*I12*P12</f>
        <v>0</v>
      </c>
      <c r="O12" s="13">
        <f t="shared" ref="O12" si="17">IF(L12&lt;=0,ABS(L12)+N12,L12-N12)</f>
        <v>1.7005272775470353</v>
      </c>
      <c r="P12" s="11">
        <v>100</v>
      </c>
      <c r="Q12" s="10" t="s">
        <v>85</v>
      </c>
      <c r="R12" s="10">
        <f t="shared" ref="R12" si="18">IF(S12="中金买入",1,-1)</f>
        <v>-1</v>
      </c>
      <c r="S12" s="10" t="s">
        <v>20</v>
      </c>
      <c r="T12" s="14">
        <f t="shared" ref="T12" si="19">O12/P12</f>
        <v>1.7005272775470353E-2</v>
      </c>
      <c r="U12" s="13">
        <f>_xll.dnetGBlackScholesNGreeks("delta",$Q12,$P12,$G12,$I12,$C$3,$J12,$K12,$C$4)*R12</f>
        <v>0.30017262283248414</v>
      </c>
      <c r="V12" s="13">
        <f>_xll.dnetGBlackScholesNGreeks("vega",$Q12,$P12,$G12,$I12,$C$3,$J12,$K12,$C$4)*R12</f>
        <v>-0.12327079289164722</v>
      </c>
    </row>
    <row r="13" spans="1:25" ht="10.5" customHeight="1">
      <c r="A13" s="42"/>
      <c r="B13" s="13" t="s">
        <v>172</v>
      </c>
      <c r="C13" s="10" t="s">
        <v>161</v>
      </c>
      <c r="D13" s="10" t="s">
        <v>217</v>
      </c>
      <c r="E13" s="8">
        <f t="shared" ca="1" si="0"/>
        <v>43165</v>
      </c>
      <c r="F13" s="8">
        <f t="shared" ref="F13" ca="1" si="20">E13+H13</f>
        <v>43196</v>
      </c>
      <c r="G13" s="11">
        <f>P13</f>
        <v>2197</v>
      </c>
      <c r="H13" s="10">
        <v>31</v>
      </c>
      <c r="I13" s="12">
        <f t="shared" si="2"/>
        <v>8.4931506849315067E-2</v>
      </c>
      <c r="J13" s="12">
        <v>0</v>
      </c>
      <c r="K13" s="9">
        <v>0.155</v>
      </c>
      <c r="L13" s="13">
        <f>_xll.dnetGBlackScholesNGreeks("price",$Q13,$P13,$G13,$I13,$C$3,$J13,$K13,$C$4)*R13</f>
        <v>-39.521335105602247</v>
      </c>
      <c r="M13" s="15">
        <v>0</v>
      </c>
      <c r="N13" s="13">
        <f t="shared" ref="N13:N17" si="21">M13/10000*I13*P13</f>
        <v>0</v>
      </c>
      <c r="O13" s="13">
        <f t="shared" ref="O13:O17" si="22">IF(L13&lt;=0,ABS(L13)+N13,L13-N13)</f>
        <v>39.521335105602247</v>
      </c>
      <c r="P13" s="11">
        <f>RTD("wdf.rtq",,D13,"LastPrice")</f>
        <v>2197</v>
      </c>
      <c r="Q13" s="10" t="s">
        <v>39</v>
      </c>
      <c r="R13" s="10">
        <f t="shared" ref="R13:R17" si="23">IF(S13="中金买入",1,-1)</f>
        <v>-1</v>
      </c>
      <c r="S13" s="10" t="s">
        <v>20</v>
      </c>
      <c r="T13" s="14">
        <f t="shared" ref="T13:T17" si="24">O13/P13</f>
        <v>1.7988773375331019E-2</v>
      </c>
      <c r="U13" s="13">
        <f>_xll.dnetGBlackScholesNGreeks("delta",$Q13,$P13,$G13,$I13,$C$3,$J13,$K13,$C$4)*R13</f>
        <v>-0.50814579249163216</v>
      </c>
      <c r="V13" s="13">
        <f>_xll.dnetGBlackScholesNGreeks("vega",$Q13,$P13,$G13,$I13,$C$3,$J13,$K13,$C$4)*R13</f>
        <v>-2.549329121310393</v>
      </c>
    </row>
    <row r="14" spans="1:25" s="175" customFormat="1">
      <c r="A14" s="168"/>
      <c r="B14" s="169" t="s">
        <v>218</v>
      </c>
      <c r="C14" s="170"/>
      <c r="D14" s="170" t="s">
        <v>186</v>
      </c>
      <c r="E14" s="171">
        <f t="shared" ca="1" si="0"/>
        <v>43165</v>
      </c>
      <c r="F14" s="171">
        <v>43219</v>
      </c>
      <c r="G14" s="172">
        <v>3699.9999992799999</v>
      </c>
      <c r="H14" s="170">
        <f ca="1">F14-E14</f>
        <v>54</v>
      </c>
      <c r="I14" s="173">
        <f t="shared" ca="1" si="2"/>
        <v>0.14794520547945206</v>
      </c>
      <c r="J14" s="173">
        <v>0</v>
      </c>
      <c r="K14" s="170">
        <v>0.18</v>
      </c>
      <c r="L14" s="169">
        <f ca="1">_xll.dnetGBlackScholesNGreeks("price",$Q14,$P14,$G14,$I14,$C$3,$J14,$K14,$C$4)*R14</f>
        <v>-50.60021167903983</v>
      </c>
      <c r="M14" s="170">
        <v>0</v>
      </c>
      <c r="N14" s="169">
        <f t="shared" ca="1" si="21"/>
        <v>0</v>
      </c>
      <c r="O14" s="169">
        <f t="shared" ca="1" si="22"/>
        <v>50.60021167903983</v>
      </c>
      <c r="P14" s="172">
        <f>RTD("wdf.rtq",,D14,"LastPrice")</f>
        <v>3833</v>
      </c>
      <c r="Q14" s="170" t="s">
        <v>85</v>
      </c>
      <c r="R14" s="170">
        <f t="shared" si="23"/>
        <v>-1</v>
      </c>
      <c r="S14" s="170" t="s">
        <v>20</v>
      </c>
      <c r="T14" s="174">
        <f t="shared" ca="1" si="24"/>
        <v>1.3201203151327898E-2</v>
      </c>
      <c r="U14" s="169">
        <f ca="1">_xll.dnetGBlackScholesNGreeks("delta",$Q14,$P14,$G14,$I14,$C$3,$J14,$K14,$C$4)*R14</f>
        <v>0.29211623094624883</v>
      </c>
      <c r="V14" s="169">
        <f ca="1">_xll.dnetGBlackScholesNGreeks("vega",$Q14,$P14,$G14,$I14,$C$3,$J14,$K14,$C$4)*R14</f>
        <v>-5.0539202618195986</v>
      </c>
    </row>
    <row r="15" spans="1:25" s="175" customFormat="1">
      <c r="A15" s="168"/>
      <c r="B15" s="169" t="s">
        <v>219</v>
      </c>
      <c r="C15" s="170"/>
      <c r="D15" s="170" t="s">
        <v>186</v>
      </c>
      <c r="E15" s="171">
        <f t="shared" ca="1" si="0"/>
        <v>43165</v>
      </c>
      <c r="F15" s="171">
        <v>43203</v>
      </c>
      <c r="G15" s="172">
        <v>3720.0000015999999</v>
      </c>
      <c r="H15" s="170">
        <f t="shared" ref="H15:H18" ca="1" si="25">F15-E15</f>
        <v>38</v>
      </c>
      <c r="I15" s="173">
        <f t="shared" ca="1" si="2"/>
        <v>0.10410958904109589</v>
      </c>
      <c r="J15" s="173">
        <v>0</v>
      </c>
      <c r="K15" s="170">
        <v>0.18</v>
      </c>
      <c r="L15" s="169">
        <f ca="1">_xll.dnetGBlackScholesNGreeks("price",$Q15,$P15,$G15,$I15,$C$3,$J15,$K15,$C$4)*R15</f>
        <v>-42.259726263205494</v>
      </c>
      <c r="M15" s="170">
        <v>0</v>
      </c>
      <c r="N15" s="169">
        <f t="shared" ca="1" si="21"/>
        <v>0</v>
      </c>
      <c r="O15" s="169">
        <f t="shared" ca="1" si="22"/>
        <v>42.259726263205494</v>
      </c>
      <c r="P15" s="172">
        <f>RTD("wdf.rtq",,D15,"LastPrice")</f>
        <v>3833</v>
      </c>
      <c r="Q15" s="170" t="s">
        <v>85</v>
      </c>
      <c r="R15" s="170">
        <f t="shared" si="23"/>
        <v>-1</v>
      </c>
      <c r="S15" s="170" t="s">
        <v>20</v>
      </c>
      <c r="T15" s="174">
        <f t="shared" ca="1" si="24"/>
        <v>1.1025235132586875E-2</v>
      </c>
      <c r="U15" s="169">
        <f ca="1">_xll.dnetGBlackScholesNGreeks("delta",$Q15,$P15,$G15,$I15,$C$3,$J15,$K15,$C$4)*R15</f>
        <v>0.29251737804543154</v>
      </c>
      <c r="V15" s="169">
        <f ca="1">_xll.dnetGBlackScholesNGreeks("vega",$Q15,$P15,$G15,$I15,$C$3,$J15,$K15,$C$4)*R15</f>
        <v>-4.2442512634637524</v>
      </c>
    </row>
    <row r="16" spans="1:25" s="175" customFormat="1">
      <c r="A16" s="168"/>
      <c r="B16" s="169" t="s">
        <v>220</v>
      </c>
      <c r="C16" s="170"/>
      <c r="D16" s="170" t="s">
        <v>186</v>
      </c>
      <c r="E16" s="171">
        <f t="shared" ca="1" si="0"/>
        <v>43165</v>
      </c>
      <c r="F16" s="171">
        <v>43203</v>
      </c>
      <c r="G16" s="172">
        <v>3650.00000142</v>
      </c>
      <c r="H16" s="170">
        <f t="shared" ca="1" si="25"/>
        <v>38</v>
      </c>
      <c r="I16" s="173">
        <f t="shared" ca="1" si="2"/>
        <v>0.10410958904109589</v>
      </c>
      <c r="J16" s="173">
        <v>0</v>
      </c>
      <c r="K16" s="170">
        <v>0.18</v>
      </c>
      <c r="L16" s="169">
        <f ca="1">_xll.dnetGBlackScholesNGreeks("price",$Q16,$P16,$G16,$I16,$C$3,$J16,$K16,$C$4)*R16</f>
        <v>-24.165244573863447</v>
      </c>
      <c r="M16" s="170">
        <v>0</v>
      </c>
      <c r="N16" s="169">
        <f t="shared" ca="1" si="21"/>
        <v>0</v>
      </c>
      <c r="O16" s="169">
        <f t="shared" ca="1" si="22"/>
        <v>24.165244573863447</v>
      </c>
      <c r="P16" s="172">
        <f>RTD("wdf.rtq",,D16,"LastPrice")</f>
        <v>3833</v>
      </c>
      <c r="Q16" s="170" t="s">
        <v>85</v>
      </c>
      <c r="R16" s="170">
        <f t="shared" si="23"/>
        <v>-1</v>
      </c>
      <c r="S16" s="170" t="s">
        <v>20</v>
      </c>
      <c r="T16" s="174">
        <f t="shared" ca="1" si="24"/>
        <v>6.3045250649265451E-3</v>
      </c>
      <c r="U16" s="169">
        <f ca="1">_xll.dnetGBlackScholesNGreeks("delta",$Q16,$P16,$G16,$I16,$C$3,$J16,$K16,$C$4)*R16</f>
        <v>0.1913816726244022</v>
      </c>
      <c r="V16" s="169">
        <f ca="1">_xll.dnetGBlackScholesNGreeks("vega",$Q16,$P16,$G16,$I16,$C$3,$J16,$K16,$C$4)*R16</f>
        <v>-3.3655448304330093</v>
      </c>
    </row>
    <row r="17" spans="1:22" s="175" customFormat="1">
      <c r="A17" s="168"/>
      <c r="B17" s="169" t="s">
        <v>221</v>
      </c>
      <c r="C17" s="170"/>
      <c r="D17" s="170" t="s">
        <v>186</v>
      </c>
      <c r="E17" s="171">
        <f t="shared" ca="1" si="0"/>
        <v>43165</v>
      </c>
      <c r="F17" s="171">
        <v>43189</v>
      </c>
      <c r="G17" s="172">
        <v>3650.0000014560001</v>
      </c>
      <c r="H17" s="170">
        <f t="shared" ca="1" si="25"/>
        <v>24</v>
      </c>
      <c r="I17" s="173">
        <f t="shared" ca="1" si="2"/>
        <v>6.575342465753424E-2</v>
      </c>
      <c r="J17" s="173">
        <v>0</v>
      </c>
      <c r="K17" s="170">
        <v>0.2</v>
      </c>
      <c r="L17" s="169">
        <f ca="1">_xll.dnetGBlackScholesNGreeks("price",$Q17,$P17,$G17,$I17,$C$3,$J17,$K17,$C$4)*R17</f>
        <v>-17.408588221014725</v>
      </c>
      <c r="M17" s="170">
        <v>0</v>
      </c>
      <c r="N17" s="169">
        <f t="shared" ca="1" si="21"/>
        <v>0</v>
      </c>
      <c r="O17" s="169">
        <f t="shared" ca="1" si="22"/>
        <v>17.408588221014725</v>
      </c>
      <c r="P17" s="172">
        <f>RTD("wdf.rtq",,D17,"LastPrice")</f>
        <v>3833</v>
      </c>
      <c r="Q17" s="170" t="s">
        <v>85</v>
      </c>
      <c r="R17" s="170">
        <f t="shared" si="23"/>
        <v>-1</v>
      </c>
      <c r="S17" s="170" t="s">
        <v>20</v>
      </c>
      <c r="T17" s="174">
        <f t="shared" ca="1" si="24"/>
        <v>4.5417657764191821E-3</v>
      </c>
      <c r="U17" s="169">
        <f ca="1">_xll.dnetGBlackScholesNGreeks("delta",$Q17,$P17,$G17,$I17,$C$3,$J17,$K17,$C$4)*R17</f>
        <v>0.16344099113894117</v>
      </c>
      <c r="V17" s="169">
        <f ca="1">_xll.dnetGBlackScholesNGreeks("vega",$Q17,$P17,$G17,$I17,$C$3,$J17,$K17,$C$4)*R17</f>
        <v>-2.4218028612512512</v>
      </c>
    </row>
    <row r="18" spans="1:22" s="175" customFormat="1">
      <c r="A18" s="168"/>
      <c r="B18" s="169" t="s">
        <v>222</v>
      </c>
      <c r="C18" s="170"/>
      <c r="D18" s="170" t="s">
        <v>186</v>
      </c>
      <c r="E18" s="171">
        <f t="shared" ca="1" si="0"/>
        <v>43165</v>
      </c>
      <c r="F18" s="171">
        <v>43167</v>
      </c>
      <c r="G18" s="172">
        <v>3550.00000086</v>
      </c>
      <c r="H18" s="170">
        <f t="shared" ca="1" si="25"/>
        <v>2</v>
      </c>
      <c r="I18" s="173">
        <f t="shared" ca="1" si="2"/>
        <v>5.4794520547945206E-3</v>
      </c>
      <c r="J18" s="173">
        <v>0</v>
      </c>
      <c r="K18" s="170">
        <v>0.2</v>
      </c>
      <c r="L18" s="169">
        <f ca="1">_xll.dnetGBlackScholesNGreeks("price",$Q18,$P18,$G18,$I18,$C$3,$J18,$K18,$C$4)*R18</f>
        <v>-1.0902965597942775E-6</v>
      </c>
      <c r="M18" s="170">
        <v>0</v>
      </c>
      <c r="N18" s="169">
        <f t="shared" ref="N18" ca="1" si="26">M18/10000*I18*P18</f>
        <v>0</v>
      </c>
      <c r="O18" s="169">
        <f t="shared" ref="O18" ca="1" si="27">IF(L18&lt;=0,ABS(L18)+N18,L18-N18)</f>
        <v>1.0902965597942775E-6</v>
      </c>
      <c r="P18" s="172">
        <f>RTD("wdf.rtq",,D18,"LastPrice")</f>
        <v>3833</v>
      </c>
      <c r="Q18" s="170" t="s">
        <v>85</v>
      </c>
      <c r="R18" s="170">
        <f t="shared" ref="R18" si="28">IF(S18="中金买入",1,-1)</f>
        <v>-1</v>
      </c>
      <c r="S18" s="170" t="s">
        <v>20</v>
      </c>
      <c r="T18" s="174">
        <f t="shared" ref="T18" ca="1" si="29">O18/P18</f>
        <v>2.8444992428757567E-10</v>
      </c>
      <c r="U18" s="169">
        <f ca="1">_xll.dnetGBlackScholesNGreeks("delta",$Q18,$P18,$G18,$I18,$C$3,$J18,$K18,$C$4)*R18</f>
        <v>1.0614843081661711E-7</v>
      </c>
      <c r="V18" s="169">
        <f ca="1">_xll.dnetGBlackScholesNGreeks("vega",$Q18,$P18,$G18,$I18,$C$3,$J18,$K18,$C$4)*R18</f>
        <v>-2.0669676870885989E-6</v>
      </c>
    </row>
    <row r="19" spans="1:22" ht="10.5" customHeight="1">
      <c r="A19" s="42"/>
      <c r="B19" s="13" t="s">
        <v>172</v>
      </c>
      <c r="C19" s="10" t="s">
        <v>161</v>
      </c>
      <c r="D19" s="10" t="s">
        <v>223</v>
      </c>
      <c r="E19" s="8">
        <f t="shared" ca="1" si="0"/>
        <v>43165</v>
      </c>
      <c r="F19" s="8">
        <f t="shared" ref="F19:F21" ca="1" si="30">E19+H19</f>
        <v>43190</v>
      </c>
      <c r="G19" s="167">
        <v>556.5</v>
      </c>
      <c r="H19" s="10">
        <v>25</v>
      </c>
      <c r="I19" s="12">
        <f t="shared" ref="I19:I21" si="31">H19/365</f>
        <v>6.8493150684931503E-2</v>
      </c>
      <c r="J19" s="12">
        <v>0</v>
      </c>
      <c r="K19" s="9">
        <v>0.25</v>
      </c>
      <c r="L19" s="13">
        <f>_xll.dnetGBlackScholesNGreeks("price",$Q19,$P19,$G19,$I19,$C$3,$J19,$K19,$C$4)*R19</f>
        <v>-5.1808034056005283</v>
      </c>
      <c r="M19" s="15">
        <v>0</v>
      </c>
      <c r="N19" s="13">
        <f t="shared" ref="N19:N21" si="32">M19/10000*I19*P19</f>
        <v>0</v>
      </c>
      <c r="O19" s="13">
        <f t="shared" ref="O19:O21" si="33">IF(L19&lt;=0,ABS(L19)+N19,L19-N19)</f>
        <v>5.1808034056005283</v>
      </c>
      <c r="P19" s="11">
        <v>532</v>
      </c>
      <c r="Q19" s="10" t="s">
        <v>39</v>
      </c>
      <c r="R19" s="10">
        <f t="shared" ref="R19:R21" si="34">IF(S19="中金买入",1,-1)</f>
        <v>-1</v>
      </c>
      <c r="S19" s="10" t="s">
        <v>20</v>
      </c>
      <c r="T19" s="14">
        <f t="shared" ref="T19:T21" si="35">O19/P19</f>
        <v>9.7383522661664071E-3</v>
      </c>
      <c r="U19" s="13">
        <f>_xll.dnetGBlackScholesNGreeks("delta",$Q19,$P19,$G19,$I19,$C$3,$J19,$K19,$C$4)*R19</f>
        <v>-0.25574586690737533</v>
      </c>
      <c r="V19" s="13">
        <f>_xll.dnetGBlackScholesNGreeks("vega",$Q19,$P19,$G19,$I19,$C$3,$J19,$K19,$C$4)*R19</f>
        <v>-0.44733029117898582</v>
      </c>
    </row>
    <row r="20" spans="1:22" ht="10.5" customHeight="1">
      <c r="A20" s="42"/>
      <c r="B20" s="13" t="s">
        <v>172</v>
      </c>
      <c r="C20" s="10" t="s">
        <v>161</v>
      </c>
      <c r="D20" s="10" t="s">
        <v>206</v>
      </c>
      <c r="E20" s="8">
        <f t="shared" ca="1" si="0"/>
        <v>43165</v>
      </c>
      <c r="F20" s="8">
        <f t="shared" ca="1" si="30"/>
        <v>43193</v>
      </c>
      <c r="G20" s="10">
        <f>P20</f>
        <v>3956</v>
      </c>
      <c r="H20" s="10">
        <v>28</v>
      </c>
      <c r="I20" s="12">
        <f t="shared" si="31"/>
        <v>7.6712328767123292E-2</v>
      </c>
      <c r="J20" s="12">
        <v>0</v>
      </c>
      <c r="K20" s="9">
        <v>0.14499999999999999</v>
      </c>
      <c r="L20" s="13">
        <f>_xll.dnetGBlackScholesNGreeks("price",$Q20,$P20,$G20,$I20,$C$3,$J20,$K20,$C$4)*R20</f>
        <v>63.280723284922715</v>
      </c>
      <c r="M20" s="15">
        <v>0</v>
      </c>
      <c r="N20" s="13">
        <f t="shared" si="32"/>
        <v>0</v>
      </c>
      <c r="O20" s="13">
        <f t="shared" si="33"/>
        <v>63.280723284922715</v>
      </c>
      <c r="P20" s="11">
        <f>RTD("wdf.rtq",,D20,"LastPrice")</f>
        <v>3956</v>
      </c>
      <c r="Q20" s="10" t="s">
        <v>226</v>
      </c>
      <c r="R20" s="10">
        <f t="shared" si="34"/>
        <v>1</v>
      </c>
      <c r="S20" s="10" t="s">
        <v>151</v>
      </c>
      <c r="T20" s="14">
        <f t="shared" si="35"/>
        <v>1.5996138343003719E-2</v>
      </c>
      <c r="U20" s="13">
        <f>_xll.dnetGBlackScholesNGreeks("delta",$Q20,$P20,$G20,$I20,$C$3,$J20,$K20,$C$4)*R20</f>
        <v>0.50723153408398503</v>
      </c>
      <c r="V20" s="13">
        <f>_xll.dnetGBlackScholesNGreeks("vega",$Q20,$P20,$G20,$I20,$C$3,$J20,$K20,$C$4)*R20</f>
        <v>4.3635998753516105</v>
      </c>
    </row>
    <row r="21" spans="1:22" ht="10.5" customHeight="1">
      <c r="A21" s="42"/>
      <c r="B21" s="13" t="s">
        <v>172</v>
      </c>
      <c r="C21" s="10" t="s">
        <v>161</v>
      </c>
      <c r="D21" s="10" t="s">
        <v>225</v>
      </c>
      <c r="E21" s="8">
        <f t="shared" ca="1" si="0"/>
        <v>43165</v>
      </c>
      <c r="F21" s="8">
        <f t="shared" ca="1" si="30"/>
        <v>43193</v>
      </c>
      <c r="G21" s="11">
        <f>P21</f>
        <v>3956</v>
      </c>
      <c r="H21" s="10">
        <v>28</v>
      </c>
      <c r="I21" s="12">
        <f t="shared" si="31"/>
        <v>7.6712328767123292E-2</v>
      </c>
      <c r="J21" s="12">
        <v>0</v>
      </c>
      <c r="K21" s="9">
        <v>0.19500000000000001</v>
      </c>
      <c r="L21" s="13">
        <f>_xll.dnetGBlackScholesNGreeks("price",$Q21,$P21,$G21,$I21,$C$3,$J21,$K21,$C$4)*R21</f>
        <v>-85.097038577834155</v>
      </c>
      <c r="M21" s="15">
        <v>0</v>
      </c>
      <c r="N21" s="13">
        <f t="shared" si="32"/>
        <v>0</v>
      </c>
      <c r="O21" s="13">
        <f t="shared" si="33"/>
        <v>85.097038577834155</v>
      </c>
      <c r="P21" s="11">
        <f>RTD("wdf.rtq",,D21,"LastPrice")</f>
        <v>3956</v>
      </c>
      <c r="Q21" s="10" t="s">
        <v>39</v>
      </c>
      <c r="R21" s="10">
        <f t="shared" si="34"/>
        <v>-1</v>
      </c>
      <c r="S21" s="10" t="s">
        <v>20</v>
      </c>
      <c r="T21" s="14">
        <f t="shared" si="35"/>
        <v>2.1510879316944932E-2</v>
      </c>
      <c r="U21" s="13">
        <f>_xll.dnetGBlackScholesNGreeks("delta",$Q21,$P21,$G21,$I21,$C$3,$J21,$K21,$C$4)*R21</f>
        <v>-0.50998890453683998</v>
      </c>
      <c r="V21" s="13">
        <f>_xll.dnetGBlackScholesNGreeks("vega",$Q21,$P21,$G21,$I21,$C$3,$J21,$K21,$C$4)*R21</f>
        <v>-4.3628886072266369</v>
      </c>
    </row>
    <row r="22" spans="1:22" ht="10.5" customHeight="1">
      <c r="A22" s="42"/>
      <c r="B22" s="13" t="s">
        <v>172</v>
      </c>
      <c r="C22" s="10" t="s">
        <v>161</v>
      </c>
      <c r="D22" s="10" t="s">
        <v>227</v>
      </c>
      <c r="E22" s="8">
        <f t="shared" ca="1" si="0"/>
        <v>43165</v>
      </c>
      <c r="F22" s="8">
        <f t="shared" ref="F22:F23" ca="1" si="36">E22+H22</f>
        <v>43347</v>
      </c>
      <c r="G22" s="11">
        <f>P22</f>
        <v>3826</v>
      </c>
      <c r="H22" s="10">
        <v>182</v>
      </c>
      <c r="I22" s="12">
        <f t="shared" ref="I22:I23" si="37">H22/365</f>
        <v>0.49863013698630138</v>
      </c>
      <c r="J22" s="12">
        <v>0</v>
      </c>
      <c r="K22" s="9">
        <v>0.26</v>
      </c>
      <c r="L22" s="13">
        <f>_xll.dnetGBlackScholesNGreeks("price",$Q22,$P22,$G22,$I22,$C$3,$J22,$K22,$C$4)*R22</f>
        <v>-277.06201077841433</v>
      </c>
      <c r="M22" s="15">
        <v>0</v>
      </c>
      <c r="N22" s="13">
        <f t="shared" ref="N22:N23" si="38">M22/10000*I22*P22</f>
        <v>0</v>
      </c>
      <c r="O22" s="13">
        <f t="shared" ref="O22:O23" si="39">IF(L22&lt;=0,ABS(L22)+N22,L22-N22)</f>
        <v>277.06201077841433</v>
      </c>
      <c r="P22" s="11">
        <v>3826</v>
      </c>
      <c r="Q22" s="10" t="s">
        <v>39</v>
      </c>
      <c r="R22" s="10">
        <f t="shared" ref="R22:R23" si="40">IF(S22="中金买入",1,-1)</f>
        <v>-1</v>
      </c>
      <c r="S22" s="10" t="s">
        <v>20</v>
      </c>
      <c r="T22" s="14">
        <f t="shared" ref="T22:T23" si="41">O22/P22</f>
        <v>7.241558044391383E-2</v>
      </c>
      <c r="U22" s="13">
        <f>_xll.dnetGBlackScholesNGreeks("delta",$Q22,$P22,$G22,$I22,$C$3,$J22,$K22,$C$4)*R22</f>
        <v>-0.53124626961107424</v>
      </c>
      <c r="V22" s="13">
        <f>_xll.dnetGBlackScholesNGreeks("vega",$Q22,$P22,$G22,$I22,$C$3,$J22,$K22,$C$4)*R22</f>
        <v>-10.626310092589847</v>
      </c>
    </row>
    <row r="23" spans="1:22" ht="10.5" customHeight="1">
      <c r="A23" s="42"/>
      <c r="B23" s="13" t="s">
        <v>172</v>
      </c>
      <c r="C23" s="10" t="s">
        <v>161</v>
      </c>
      <c r="D23" s="10" t="s">
        <v>225</v>
      </c>
      <c r="E23" s="8">
        <f t="shared" ca="1" si="0"/>
        <v>43165</v>
      </c>
      <c r="F23" s="8">
        <f t="shared" ca="1" si="36"/>
        <v>43193</v>
      </c>
      <c r="G23" s="11">
        <f>P23</f>
        <v>3956</v>
      </c>
      <c r="H23" s="10">
        <v>28</v>
      </c>
      <c r="I23" s="12">
        <f t="shared" si="37"/>
        <v>7.6712328767123292E-2</v>
      </c>
      <c r="J23" s="12">
        <v>0</v>
      </c>
      <c r="K23" s="9">
        <v>0.19500000000000001</v>
      </c>
      <c r="L23" s="13">
        <f>_xll.dnetGBlackScholesNGreeks("price",$Q23,$P23,$G23,$I23,$C$3,$J23,$K23,$C$4)*R23</f>
        <v>-85.097038577834155</v>
      </c>
      <c r="M23" s="15">
        <v>0</v>
      </c>
      <c r="N23" s="13">
        <f t="shared" si="38"/>
        <v>0</v>
      </c>
      <c r="O23" s="13">
        <f t="shared" si="39"/>
        <v>85.097038577834155</v>
      </c>
      <c r="P23" s="11">
        <f>RTD("wdf.rtq",,D23,"LastPrice")</f>
        <v>3956</v>
      </c>
      <c r="Q23" s="10" t="s">
        <v>39</v>
      </c>
      <c r="R23" s="10">
        <f t="shared" si="40"/>
        <v>-1</v>
      </c>
      <c r="S23" s="10" t="s">
        <v>20</v>
      </c>
      <c r="T23" s="14">
        <f t="shared" si="41"/>
        <v>2.1510879316944932E-2</v>
      </c>
      <c r="U23" s="13">
        <f>_xll.dnetGBlackScholesNGreeks("delta",$Q23,$P23,$G23,$I23,$C$3,$J23,$K23,$C$4)*R23</f>
        <v>-0.50998890453683998</v>
      </c>
      <c r="V23" s="13">
        <f>_xll.dnetGBlackScholesNGreeks("vega",$Q23,$P23,$G23,$I23,$C$3,$J23,$K23,$C$4)*R23</f>
        <v>-4.3628886072266369</v>
      </c>
    </row>
    <row r="24" spans="1:22" ht="10.5" customHeight="1">
      <c r="A24" s="42"/>
      <c r="B24" s="13" t="s">
        <v>172</v>
      </c>
      <c r="C24" s="10" t="s">
        <v>161</v>
      </c>
      <c r="D24" s="10" t="s">
        <v>214</v>
      </c>
      <c r="E24" s="8">
        <f t="shared" ca="1" si="0"/>
        <v>43165</v>
      </c>
      <c r="F24" s="8">
        <f t="shared" ref="F24:F26" ca="1" si="42">E24+H24</f>
        <v>43196</v>
      </c>
      <c r="G24" s="11">
        <f>P24</f>
        <v>12905</v>
      </c>
      <c r="H24" s="10">
        <v>31</v>
      </c>
      <c r="I24" s="12">
        <f t="shared" ref="I24:I26" si="43">H24/365</f>
        <v>8.4931506849315067E-2</v>
      </c>
      <c r="J24" s="12">
        <v>0</v>
      </c>
      <c r="K24" s="9">
        <v>0.22</v>
      </c>
      <c r="L24" s="13">
        <f>_xll.dnetGBlackScholesNGreeks("price",$Q24,$P24,$G24,$I24,$C$3,$J24,$K24,$C$4)*R24</f>
        <v>329.46788219716655</v>
      </c>
      <c r="M24" s="15">
        <v>0</v>
      </c>
      <c r="N24" s="13">
        <f t="shared" ref="N24:N26" si="44">M24/10000*I24*P24</f>
        <v>0</v>
      </c>
      <c r="O24" s="13">
        <f t="shared" ref="O24:O26" si="45">IF(L24&lt;=0,ABS(L24)+N24,L24-N24)</f>
        <v>329.46788219716655</v>
      </c>
      <c r="P24" s="11">
        <f>RTD("wdf.rtq",,D24,"LastPrice")</f>
        <v>12905</v>
      </c>
      <c r="Q24" s="10" t="s">
        <v>39</v>
      </c>
      <c r="R24" s="10">
        <f t="shared" ref="R24:R26" si="46">IF(S24="中金买入",1,-1)</f>
        <v>1</v>
      </c>
      <c r="S24" s="10" t="s">
        <v>151</v>
      </c>
      <c r="T24" s="14">
        <f t="shared" ref="T24:T26" si="47">O24/P24</f>
        <v>2.5530250460842042E-2</v>
      </c>
      <c r="U24" s="13">
        <f>_xll.dnetGBlackScholesNGreeks("delta",$Q24,$P24,$G24,$I24,$C$3,$J24,$K24,$C$4)*R24</f>
        <v>0.5119165310588869</v>
      </c>
      <c r="V24" s="13">
        <f>_xll.dnetGBlackScholesNGreeks("vega",$Q24,$P24,$G24,$I24,$C$3,$J24,$K24,$C$4)*R24</f>
        <v>14.970678166970174</v>
      </c>
    </row>
    <row r="25" spans="1:22" ht="10.5" customHeight="1">
      <c r="A25" s="42"/>
      <c r="B25" s="13" t="s">
        <v>172</v>
      </c>
      <c r="C25" s="10" t="s">
        <v>161</v>
      </c>
      <c r="D25" s="10" t="s">
        <v>228</v>
      </c>
      <c r="E25" s="8">
        <f t="shared" ca="1" si="0"/>
        <v>43165</v>
      </c>
      <c r="F25" s="8">
        <f t="shared" ca="1" si="42"/>
        <v>43196</v>
      </c>
      <c r="G25" s="11">
        <v>12500</v>
      </c>
      <c r="H25" s="10">
        <v>31</v>
      </c>
      <c r="I25" s="12">
        <f t="shared" si="43"/>
        <v>8.4931506849315067E-2</v>
      </c>
      <c r="J25" s="12">
        <v>0</v>
      </c>
      <c r="K25" s="9">
        <v>0.22</v>
      </c>
      <c r="L25" s="13">
        <f>_xll.dnetGBlackScholesNGreeks("price",$Q25,$P25,$G25,$I25,$C$3,$J25,$K25,$C$4)*R25</f>
        <v>565.73570878036662</v>
      </c>
      <c r="M25" s="15">
        <v>0</v>
      </c>
      <c r="N25" s="13">
        <f t="shared" si="44"/>
        <v>0</v>
      </c>
      <c r="O25" s="13">
        <f t="shared" si="45"/>
        <v>565.73570878036662</v>
      </c>
      <c r="P25" s="11">
        <f>RTD("wdf.rtq",,D25,"LastPrice")</f>
        <v>12905</v>
      </c>
      <c r="Q25" s="10" t="s">
        <v>39</v>
      </c>
      <c r="R25" s="10">
        <f t="shared" si="46"/>
        <v>1</v>
      </c>
      <c r="S25" s="10" t="s">
        <v>151</v>
      </c>
      <c r="T25" s="14">
        <f t="shared" si="47"/>
        <v>4.3838489638153171E-2</v>
      </c>
      <c r="U25" s="13">
        <f>_xll.dnetGBlackScholesNGreeks("delta",$Q25,$P25,$G25,$I25,$C$3,$J25,$K25,$C$4)*R25</f>
        <v>0.70054097159299999</v>
      </c>
      <c r="V25" s="13">
        <f>_xll.dnetGBlackScholesNGreeks("vega",$Q25,$P25,$G25,$I25,$C$3,$J25,$K25,$C$4)*R25</f>
        <v>13.016871500469279</v>
      </c>
    </row>
    <row r="26" spans="1:22" ht="10.5" customHeight="1">
      <c r="A26" s="42"/>
      <c r="B26" s="13" t="s">
        <v>172</v>
      </c>
      <c r="C26" s="10" t="s">
        <v>161</v>
      </c>
      <c r="D26" s="10" t="s">
        <v>214</v>
      </c>
      <c r="E26" s="8">
        <f t="shared" ca="1" si="0"/>
        <v>43165</v>
      </c>
      <c r="F26" s="8">
        <f t="shared" ca="1" si="42"/>
        <v>43196</v>
      </c>
      <c r="G26" s="11">
        <v>12000</v>
      </c>
      <c r="H26" s="10">
        <v>31</v>
      </c>
      <c r="I26" s="12">
        <f t="shared" si="43"/>
        <v>8.4931506849315067E-2</v>
      </c>
      <c r="J26" s="12">
        <v>0</v>
      </c>
      <c r="K26" s="9">
        <v>0.22</v>
      </c>
      <c r="L26" s="13">
        <f>_xll.dnetGBlackScholesNGreeks("price",$Q26,$P26,$G26,$I26,$C$3,$J26,$K26,$C$4)*R26</f>
        <v>954.52407095328454</v>
      </c>
      <c r="M26" s="15">
        <v>0</v>
      </c>
      <c r="N26" s="13">
        <f t="shared" si="44"/>
        <v>0</v>
      </c>
      <c r="O26" s="13">
        <f t="shared" si="45"/>
        <v>954.52407095328454</v>
      </c>
      <c r="P26" s="11">
        <f>RTD("wdf.rtq",,D26,"LastPrice")</f>
        <v>12905</v>
      </c>
      <c r="Q26" s="10" t="s">
        <v>39</v>
      </c>
      <c r="R26" s="10">
        <f t="shared" si="46"/>
        <v>1</v>
      </c>
      <c r="S26" s="10" t="s">
        <v>151</v>
      </c>
      <c r="T26" s="14">
        <f t="shared" si="47"/>
        <v>7.3965445250157649E-2</v>
      </c>
      <c r="U26" s="13">
        <f>_xll.dnetGBlackScholesNGreeks("delta",$Q26,$P26,$G26,$I26,$C$3,$J26,$K26,$C$4)*R26</f>
        <v>0.87672081044729566</v>
      </c>
      <c r="V26" s="13">
        <f>_xll.dnetGBlackScholesNGreeks("vega",$Q26,$P26,$G26,$I26,$C$3,$J26,$K26,$C$4)*R26</f>
        <v>7.5834077145100309</v>
      </c>
    </row>
    <row r="27" spans="1:22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ht="15">
      <c r="A31" s="42"/>
      <c r="B31" s="103"/>
      <c r="C31" s="104"/>
      <c r="D31" s="104"/>
      <c r="E31" s="105"/>
      <c r="F31" s="105"/>
      <c r="G31" s="104"/>
      <c r="H31" s="176">
        <v>60240963.859999999</v>
      </c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>
      <c r="A32" s="42"/>
      <c r="B32" s="103"/>
      <c r="C32" s="104"/>
      <c r="D32" s="104"/>
      <c r="E32" s="105"/>
      <c r="F32" s="105"/>
      <c r="G32" s="104"/>
      <c r="H32" s="104">
        <f>H31/G22</f>
        <v>15745.155216936748</v>
      </c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>
      <c r="A33" s="42"/>
      <c r="B33" s="103"/>
      <c r="C33" s="104"/>
      <c r="D33" s="104"/>
      <c r="E33" s="105"/>
      <c r="F33" s="104"/>
      <c r="G33" s="104"/>
      <c r="H33" s="104">
        <f>H32/20</f>
        <v>787.25776084683741</v>
      </c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>
      <c r="A34" s="42"/>
      <c r="B34" s="103"/>
      <c r="C34" s="104"/>
      <c r="D34" s="104"/>
      <c r="E34" s="105"/>
      <c r="F34" s="104">
        <v>483116</v>
      </c>
      <c r="G34" s="104"/>
      <c r="H34" s="104">
        <v>3825</v>
      </c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>
      <c r="A35" s="42"/>
      <c r="B35" s="103"/>
      <c r="C35" s="104"/>
      <c r="D35" s="104"/>
      <c r="E35" s="105"/>
      <c r="F35" s="104">
        <v>0.05</v>
      </c>
      <c r="G35" s="104"/>
      <c r="H35" s="104">
        <f>H31/H34</f>
        <v>15749.271597385621</v>
      </c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>
      <c r="A36" s="42"/>
      <c r="B36" s="103"/>
      <c r="C36" s="104"/>
      <c r="D36" s="104"/>
      <c r="E36" s="105"/>
      <c r="F36" s="104">
        <f>F35*F34</f>
        <v>24155.800000000003</v>
      </c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>
      <c r="A37" s="42"/>
      <c r="B37" s="103"/>
      <c r="C37" s="104"/>
      <c r="D37" s="104"/>
      <c r="E37" s="105"/>
      <c r="F37" s="104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>
      <c r="A38" s="42"/>
      <c r="B38" s="103"/>
      <c r="C38" s="104"/>
      <c r="D38" s="104"/>
      <c r="E38" s="105"/>
      <c r="F38" s="104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>
      <c r="A39" s="42"/>
      <c r="B39" s="103"/>
      <c r="C39" s="104"/>
      <c r="D39" s="104"/>
      <c r="E39" s="105"/>
      <c r="F39" s="104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>
      <c r="A40" s="42"/>
      <c r="B40" s="103"/>
      <c r="C40" s="104"/>
      <c r="D40" s="104"/>
      <c r="E40" s="105"/>
      <c r="F40" s="104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200" t="s">
        <v>37</v>
      </c>
      <c r="C1" s="199"/>
    </row>
    <row r="2" spans="1:22" ht="12" thickTop="1">
      <c r="B2" s="29" t="s">
        <v>0</v>
      </c>
      <c r="C2" s="4">
        <v>43061</v>
      </c>
    </row>
    <row r="3" spans="1:22">
      <c r="B3" s="29" t="s">
        <v>1</v>
      </c>
      <c r="C3" s="29">
        <v>0.02</v>
      </c>
    </row>
    <row r="4" spans="1:22" ht="12" thickBot="1">
      <c r="B4" s="30" t="s">
        <v>18</v>
      </c>
      <c r="C4" s="30">
        <v>0.01</v>
      </c>
    </row>
    <row r="5" spans="1:22" ht="12" thickTop="1"/>
    <row r="6" spans="1:22" ht="12" thickBot="1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43165</v>
      </c>
      <c r="G8" s="54">
        <f ca="1">F8+I8</f>
        <v>43195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43165</v>
      </c>
      <c r="G9" s="62">
        <f ca="1">G8</f>
        <v>43195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43165</v>
      </c>
      <c r="G10" s="70">
        <f ca="1">G9</f>
        <v>43195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99" t="s">
        <v>38</v>
      </c>
      <c r="C1" s="199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3956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43165</v>
      </c>
      <c r="N8" s="21">
        <f ca="1">M8+O8</f>
        <v>43195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-79.12</v>
      </c>
      <c r="T8" s="25">
        <v>80</v>
      </c>
      <c r="U8" s="24">
        <f>T8/10000*P8*H8</f>
        <v>2.6012054794520547</v>
      </c>
      <c r="V8" s="24">
        <f>IF(S8&lt;=0,ABS(S8)+U8,S8-U8)</f>
        <v>81.721205479452053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43165</v>
      </c>
      <c r="N9" s="8">
        <f ca="1">M9+O9</f>
        <v>43345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/>
  <cols>
    <col min="1" max="1" width="10.875" bestFit="1" customWidth="1"/>
  </cols>
  <sheetData>
    <row r="1" spans="1:6" ht="15.75" thickBot="1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161</v>
      </c>
    </row>
    <row r="10" spans="1:16">
      <c r="A10" s="2" t="s">
        <v>169</v>
      </c>
    </row>
    <row r="11" spans="1:16">
      <c r="A11" s="2" t="s">
        <v>176</v>
      </c>
    </row>
    <row r="12" spans="1:16">
      <c r="A12" s="2" t="s">
        <v>177</v>
      </c>
    </row>
    <row r="13" spans="1:16">
      <c r="A13" s="2" t="s">
        <v>178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201" t="s">
        <v>37</v>
      </c>
      <c r="C1" s="201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3956</v>
      </c>
      <c r="I8" s="19">
        <v>3800</v>
      </c>
      <c r="J8" s="21">
        <f ca="1">TODAY()</f>
        <v>43165</v>
      </c>
      <c r="K8" s="21">
        <f ca="1">J8+L8</f>
        <v>43195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227.19662903035987</v>
      </c>
      <c r="P8" s="25">
        <v>80</v>
      </c>
      <c r="Q8" s="24">
        <f>P8/10000*M8*H8*(-E8)</f>
        <v>2.6012054794520547</v>
      </c>
      <c r="R8" s="24">
        <f>O8+Q8</f>
        <v>229.79783450981193</v>
      </c>
      <c r="S8" s="26">
        <f>R8/H8</f>
        <v>5.8088431372551048E-2</v>
      </c>
      <c r="T8" s="24">
        <f>_xll.dnetGBlackScholesNGreeks("delta",$G8,$H8,$I8,$M8,$C$3,$C$4,$N8,$C$4)</f>
        <v>0.69801210700006777</v>
      </c>
      <c r="U8" s="24">
        <f>_xll.dnetGBlackScholesNGreeks("vega",$G8,$H8,$I8,$M8,$C$3,$C$4,$N8)</f>
        <v>3.9480215836181287</v>
      </c>
    </row>
    <row r="9" spans="1:21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43165</v>
      </c>
      <c r="K9" s="8">
        <f ca="1">J9+L9</f>
        <v>43195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43165</v>
      </c>
      <c r="K10" s="8">
        <f ca="1">J10+L10</f>
        <v>43195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2018-03-06T02:51:34Z</dcterms:modified>
</cp:coreProperties>
</file>