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firstSheet="1" activeTab="4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R17" i="1" l="1"/>
  <c r="I17" i="1"/>
  <c r="N17" i="1" s="1"/>
  <c r="E17" i="1"/>
  <c r="F17" i="1" s="1"/>
  <c r="L17" i="1"/>
  <c r="V17" i="1"/>
  <c r="O17" i="1" l="1"/>
  <c r="T17" i="1" s="1"/>
  <c r="U17" i="1"/>
  <c r="R16" i="1" l="1"/>
  <c r="I16" i="1"/>
  <c r="E16" i="1"/>
  <c r="F16" i="1" s="1"/>
  <c r="P16" i="1"/>
  <c r="L16" i="1"/>
  <c r="N16" i="1" l="1"/>
  <c r="O16" i="1" s="1"/>
  <c r="T16" i="1" s="1"/>
  <c r="P15" i="1"/>
  <c r="V16" i="1"/>
  <c r="U16" i="1"/>
  <c r="R15" i="1" l="1"/>
  <c r="I15" i="1"/>
  <c r="E15" i="1"/>
  <c r="F15" i="1" s="1"/>
  <c r="R14" i="1"/>
  <c r="I14" i="1"/>
  <c r="E14" i="1"/>
  <c r="F14" i="1" s="1"/>
  <c r="E10" i="1"/>
  <c r="E11" i="1"/>
  <c r="F11" i="1" s="1"/>
  <c r="E12" i="1"/>
  <c r="F12" i="1" s="1"/>
  <c r="I12" i="1"/>
  <c r="R12" i="1"/>
  <c r="E13" i="1"/>
  <c r="F13" i="1" s="1"/>
  <c r="I13" i="1"/>
  <c r="R13" i="1"/>
  <c r="P12" i="1"/>
  <c r="L12" i="1" s="1"/>
  <c r="P14" i="1"/>
  <c r="P13" i="1"/>
  <c r="V14" i="1"/>
  <c r="U13" i="1"/>
  <c r="V15" i="1"/>
  <c r="N15" i="1" l="1"/>
  <c r="N14" i="1"/>
  <c r="N12" i="1"/>
  <c r="O12" i="1" s="1"/>
  <c r="T12" i="1" s="1"/>
  <c r="N13" i="1"/>
  <c r="V13" i="1"/>
  <c r="U14" i="1"/>
  <c r="L14" i="1"/>
  <c r="U15" i="1"/>
  <c r="L15" i="1"/>
  <c r="V12" i="1"/>
  <c r="L13" i="1"/>
  <c r="U12" i="1"/>
  <c r="O14" i="1" l="1"/>
  <c r="T14" i="1" s="1"/>
  <c r="O15" i="1"/>
  <c r="T15" i="1" s="1"/>
  <c r="O13" i="1"/>
  <c r="T13" i="1" s="1"/>
  <c r="U96" i="6" l="1"/>
  <c r="R11" i="1" l="1"/>
  <c r="I11" i="1"/>
  <c r="P11" i="1"/>
  <c r="V11" i="1" s="1"/>
  <c r="N11" i="1" l="1"/>
  <c r="L11" i="1"/>
  <c r="U11" i="1"/>
  <c r="O11" i="1" l="1"/>
  <c r="T11" i="1" s="1"/>
  <c r="R10" i="1" l="1"/>
  <c r="D40" i="2" l="1"/>
  <c r="D37" i="2"/>
  <c r="I26" i="2"/>
  <c r="I23" i="2"/>
  <c r="X23" i="2" l="1"/>
  <c r="S23" i="2"/>
  <c r="X26" i="2"/>
  <c r="S26" i="2"/>
  <c r="N26" i="2" l="1"/>
  <c r="N23" i="2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V9" i="9"/>
  <c r="U8" i="9"/>
  <c r="M8" i="9"/>
  <c r="M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9" i="7"/>
  <c r="O9" i="7"/>
  <c r="H8" i="7"/>
  <c r="H8" i="8"/>
  <c r="K9" i="8"/>
  <c r="O10" i="7"/>
  <c r="T10" i="7"/>
  <c r="U10" i="7"/>
  <c r="T9" i="7"/>
  <c r="U8" i="8" l="1"/>
  <c r="Q9" i="7"/>
  <c r="R9" i="7" s="1"/>
  <c r="S9" i="7" s="1"/>
  <c r="Q10" i="7"/>
  <c r="R10" i="7" s="1"/>
  <c r="S10" i="7" s="1"/>
  <c r="Q8" i="7"/>
  <c r="K8" i="8"/>
  <c r="U8" i="7"/>
  <c r="T8" i="7"/>
  <c r="X9" i="8"/>
  <c r="S9" i="8"/>
  <c r="Y9" i="8"/>
  <c r="O8" i="7"/>
  <c r="V9" i="8" l="1"/>
  <c r="W9" i="8" s="1"/>
  <c r="R8" i="7"/>
  <c r="S8" i="7" s="1"/>
  <c r="X8" i="8"/>
  <c r="S8" i="8"/>
  <c r="Y8" i="8"/>
  <c r="V8" i="8" l="1"/>
  <c r="W8" i="8" s="1"/>
  <c r="R9" i="1"/>
  <c r="R8" i="1"/>
  <c r="I9" i="1" l="1"/>
  <c r="E9" i="1"/>
  <c r="F9" i="1" s="1"/>
  <c r="I8" i="1"/>
  <c r="E8" i="1"/>
  <c r="F8" i="1" s="1"/>
  <c r="U9" i="1"/>
  <c r="V9" i="1"/>
  <c r="L9" i="1"/>
  <c r="P8" i="1"/>
  <c r="N8" i="1" l="1"/>
  <c r="N9" i="1"/>
  <c r="O9" i="1" s="1"/>
  <c r="T9" i="1" s="1"/>
  <c r="L8" i="1"/>
  <c r="U8" i="1"/>
  <c r="V8" i="1"/>
  <c r="O8" i="1" l="1"/>
  <c r="T8" i="1" s="1"/>
  <c r="I10" i="1" l="1"/>
  <c r="F10" i="1"/>
  <c r="L10" i="1"/>
  <c r="V10" i="1"/>
  <c r="U10" i="1"/>
  <c r="N10" i="1" l="1"/>
  <c r="O10" i="1" s="1"/>
  <c r="T10" i="1" s="1"/>
</calcChain>
</file>

<file path=xl/sharedStrings.xml><?xml version="1.0" encoding="utf-8"?>
<sst xmlns="http://schemas.openxmlformats.org/spreadsheetml/2006/main" count="1122" uniqueCount="221">
  <si>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</si>
  <si>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</si>
  <si>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</si>
  <si>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</si>
  <si>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</si>
  <si>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</si>
  <si>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</si>
  <si>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</si>
  <si>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</si>
  <si>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</si>
  <si>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</si>
  <si>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</si>
  <si>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</si>
  <si>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</si>
  <si>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</si>
  <si>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</si>
  <si>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</si>
  <si>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</si>
  <si>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</si>
  <si>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</si>
  <si>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</si>
  <si>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</si>
  <si>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</si>
  <si>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</si>
  <si>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</si>
  <si>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</si>
  <si>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</si>
  <si>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</si>
  <si>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</si>
  <si>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</si>
  <si>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</si>
  <si>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</si>
  <si>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</si>
  <si>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</si>
  <si>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</si>
  <si>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</si>
  <si>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</si>
  <si>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</si>
  <si>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</si>
  <si>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</si>
  <si>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</si>
  <si>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</si>
  <si>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</si>
  <si>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</si>
  <si>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</si>
  <si>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</si>
  <si>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</si>
  <si>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</si>
  <si>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</si>
  <si>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</si>
  <si>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</si>
  <si>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</si>
  <si>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</si>
  <si>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</si>
  <si>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</si>
  <si>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</si>
  <si>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</si>
  <si>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</si>
  <si>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</si>
  <si>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</si>
  <si>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</si>
  <si>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</si>
  <si>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</si>
  <si>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</si>
  <si>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</si>
  <si>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</si>
  <si>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</si>
  <si>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</si>
  <si>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</si>
  <si>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</si>
  <si>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</si>
  <si>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</si>
  <si>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</si>
  <si>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</si>
  <si>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</si>
  <si>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</si>
  <si>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</si>
  <si>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</si>
  <si>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</si>
  <si>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</si>
  <si>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</si>
  <si>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</si>
  <si>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</si>
  <si>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</si>
  <si>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</si>
  <si>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</si>
  <si>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</si>
  <si>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</si>
  <si>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</si>
  <si>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</si>
  <si>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</si>
  <si>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</si>
  <si>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</si>
  <si>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</si>
  <si>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</si>
  <si>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</si>
  <si>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</si>
  <si>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</si>
  <si>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</si>
  <si>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</si>
  <si>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</si>
  <si>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</si>
  <si>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</si>
  <si>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</si>
  <si>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</si>
  <si>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</si>
  <si>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</si>
  <si>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</si>
  <si>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</si>
  <si>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</si>
  <si>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</si>
  <si>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</si>
  <si>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</si>
  <si>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</si>
  <si>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</si>
  <si>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</si>
  <si>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</si>
  <si>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</si>
  <si>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</si>
  <si>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</si>
  <si>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</si>
  <si>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</si>
  <si>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</si>
  <si>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</si>
  <si>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</si>
  <si>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</si>
  <si>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</si>
  <si>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</si>
  <si>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</si>
  <si>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</si>
  <si>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</si>
  <si>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</si>
  <si>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</si>
  <si>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</si>
  <si>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</si>
  <si>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</si>
  <si>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</si>
  <si>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</si>
  <si>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</si>
  <si>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</si>
  <si>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</si>
  <si>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</si>
  <si>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</si>
  <si>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</si>
  <si>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</si>
  <si>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</si>
  <si>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</si>
  <si>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</si>
  <si>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</si>
  <si>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</si>
  <si>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</si>
  <si>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</si>
  <si>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</si>
  <si>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</si>
  <si>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</si>
  <si>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</si>
  <si>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</si>
  <si>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</si>
  <si>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</si>
  <si>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</si>
  <si>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</si>
  <si>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</si>
  <si>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</si>
  <si>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</si>
  <si>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</si>
  <si>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</si>
  <si>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</si>
  <si>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</si>
  <si>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</si>
  <si>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</si>
  <si>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</si>
  <si>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</si>
  <si>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</si>
  <si>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</si>
  <si>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</si>
  <si>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</si>
  <si>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</si>
  <si>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</si>
  <si>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</si>
  <si>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</si>
  <si>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</si>
  <si>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</si>
  <si>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</si>
  <si>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</si>
  <si>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</si>
  <si>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</si>
  <si>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</si>
  <si>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</si>
  <si>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</si>
  <si>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</si>
  <si>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</si>
  <si>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</si>
  <si>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</si>
  <si>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</si>
  <si>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</si>
  <si>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</si>
  <si>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</si>
  <si>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</si>
  <si>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</si>
  <si>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</si>
  <si>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</si>
  <si>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</si>
  <si>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</si>
  <si>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</si>
  <si>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</si>
  <si>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ru1809</t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</si>
  <si>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</si>
  <si>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</si>
  <si>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</si>
  <si>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</si>
  <si>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</si>
  <si>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i1809</t>
  </si>
  <si>
    <t>bh18e</t>
    <phoneticPr fontId="1" type="noConversion"/>
  </si>
  <si>
    <t>cu1805</t>
    <phoneticPr fontId="1" type="noConversion"/>
  </si>
  <si>
    <t>cs1805</t>
  </si>
  <si>
    <t>吨数</t>
    <phoneticPr fontId="1" type="noConversion"/>
  </si>
  <si>
    <t>al1805</t>
    <phoneticPr fontId="1" type="noConversion"/>
  </si>
  <si>
    <t>江铜国贸</t>
    <phoneticPr fontId="1" type="noConversion"/>
  </si>
  <si>
    <t>zn1806</t>
  </si>
  <si>
    <t>zn1806</t>
    <phoneticPr fontId="1" type="noConversion"/>
  </si>
  <si>
    <t>au9999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</si>
</sst>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0.00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93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79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79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79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180" fontId="5" fillId="6" borderId="0" xfId="0" applyNumberFormat="1" applyFont="1" applyFill="1"/>
    <xf numFmtId="1" fontId="5" fillId="6" borderId="0" xfId="0" applyNumberFormat="1" applyFont="1" applyFill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32" fillId="10" borderId="3" xfId="0" applyNumberFormat="1" applyFont="1" applyFill="1" applyBorder="1" applyAlignment="1">
      <alignment horizontal="right" vertical="center"/>
    </xf>
    <xf numFmtId="14" fontId="32" fillId="10" borderId="0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3" fontId="5" fillId="9" borderId="2" xfId="2" applyFont="1" applyFill="1" applyBorder="1" applyAlignment="1"/>
  </cellXfs>
  <cellStyles count="3">
    <cellStyle name="百分比" xfId="1" builtinId="5"/>
    <cellStyle name="常规" xfId="0" builtinId="0"/>
    <cellStyle name="千位分隔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52020</v>
        <stp/>
        <stp>cu1805</stp>
        <stp>LastPrice</stp>
        <tr r="P11" s="1"/>
      </tp>
      <tp>
        <v>14230</v>
        <stp/>
        <stp>al1805</stp>
        <stp>LastPrice</stp>
        <tr r="P13" s="1"/>
        <tr r="P14" s="1"/>
        <tr r="P12" s="1"/>
      </tp>
      <tp>
        <v>25045</v>
        <stp/>
        <stp>zn1806</stp>
        <stp>LastPrice</stp>
        <tr r="P16" s="1"/>
      </tp>
      <tp>
        <v>3794</v>
        <stp/>
        <stp>RB1805</stp>
        <stp>LastPrice</stp>
        <tr r="P8" s="1"/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108"/>
  <sheetViews>
    <sheetView topLeftCell="A79" zoomScaleNormal="100" workbookViewId="0">
      <selection activeCell="C97" sqref="C97:R98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7" t="s">
        <v>158</v>
      </c>
      <c r="C1" s="167"/>
      <c r="D1" s="167"/>
    </row>
    <row r="2" spans="2:18" ht="12" thickTop="1" x14ac:dyDescent="0.15"/>
    <row r="5" spans="2:18" x14ac:dyDescent="0.15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186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186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186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181</v>
      </c>
      <c r="D15" s="41" t="s">
        <v>180</v>
      </c>
      <c r="E15" s="41" t="s">
        <v>10</v>
      </c>
      <c r="F15" s="41" t="s">
        <v>184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182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187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187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181</v>
      </c>
      <c r="D20" s="41" t="s">
        <v>180</v>
      </c>
      <c r="E20" s="41" t="s">
        <v>10</v>
      </c>
      <c r="F20" s="41" t="s">
        <v>184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182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188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188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181</v>
      </c>
      <c r="D25" s="41" t="s">
        <v>180</v>
      </c>
      <c r="E25" s="41" t="s">
        <v>10</v>
      </c>
      <c r="F25" s="41" t="s">
        <v>184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182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189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189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191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181</v>
      </c>
      <c r="D30" s="41" t="s">
        <v>180</v>
      </c>
      <c r="E30" s="41" t="s">
        <v>10</v>
      </c>
      <c r="F30" s="41" t="s">
        <v>184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182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191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181</v>
      </c>
      <c r="D32" s="41" t="s">
        <v>180</v>
      </c>
      <c r="E32" s="41" t="s">
        <v>10</v>
      </c>
      <c r="F32" s="41" t="s">
        <v>184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182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186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186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191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181</v>
      </c>
      <c r="D37" s="41" t="s">
        <v>180</v>
      </c>
      <c r="E37" s="41" t="s">
        <v>10</v>
      </c>
      <c r="F37" s="41" t="s">
        <v>184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182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192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192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192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192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192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192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 x14ac:dyDescent="0.15">
      <c r="B44" s="100"/>
      <c r="C44" s="41" t="s">
        <v>181</v>
      </c>
      <c r="D44" s="41" t="s">
        <v>180</v>
      </c>
      <c r="E44" s="41" t="s">
        <v>10</v>
      </c>
      <c r="F44" s="41" t="s">
        <v>184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182</v>
      </c>
      <c r="O44" s="41" t="s">
        <v>8</v>
      </c>
      <c r="P44" s="41" t="s">
        <v>23</v>
      </c>
      <c r="Q44" s="41"/>
      <c r="R44" s="41" t="s">
        <v>30</v>
      </c>
    </row>
    <row r="45" spans="2:18" x14ac:dyDescent="0.15">
      <c r="B45" s="101" t="s">
        <v>160</v>
      </c>
      <c r="C45" s="101" t="s">
        <v>193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 x14ac:dyDescent="0.15">
      <c r="B46" s="100"/>
      <c r="C46" s="41" t="s">
        <v>181</v>
      </c>
      <c r="D46" s="41" t="s">
        <v>180</v>
      </c>
      <c r="E46" s="41" t="s">
        <v>10</v>
      </c>
      <c r="F46" s="41" t="s">
        <v>184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182</v>
      </c>
      <c r="O46" s="41" t="s">
        <v>8</v>
      </c>
      <c r="P46" s="41" t="s">
        <v>23</v>
      </c>
      <c r="Q46" s="41"/>
      <c r="R46" s="41" t="s">
        <v>30</v>
      </c>
    </row>
    <row r="47" spans="2:18" x14ac:dyDescent="0.15">
      <c r="B47" s="101" t="s">
        <v>160</v>
      </c>
      <c r="C47" s="101" t="s">
        <v>186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 x14ac:dyDescent="0.15">
      <c r="B48" s="101" t="s">
        <v>160</v>
      </c>
      <c r="C48" s="101" t="s">
        <v>186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 x14ac:dyDescent="0.15">
      <c r="B49" s="101" t="s">
        <v>160</v>
      </c>
      <c r="C49" s="101" t="s">
        <v>186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 x14ac:dyDescent="0.15">
      <c r="B50" s="101" t="s">
        <v>160</v>
      </c>
      <c r="C50" s="101" t="s">
        <v>186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 x14ac:dyDescent="0.15">
      <c r="B51" s="100"/>
      <c r="C51" s="41" t="s">
        <v>181</v>
      </c>
      <c r="D51" s="41" t="s">
        <v>180</v>
      </c>
      <c r="E51" s="41" t="s">
        <v>10</v>
      </c>
      <c r="F51" s="41" t="s">
        <v>184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182</v>
      </c>
      <c r="O51" s="41" t="s">
        <v>8</v>
      </c>
      <c r="P51" s="41" t="s">
        <v>23</v>
      </c>
      <c r="Q51" s="41"/>
      <c r="R51" s="41" t="s">
        <v>30</v>
      </c>
    </row>
    <row r="52" spans="2:18" x14ac:dyDescent="0.15">
      <c r="B52" s="101" t="s">
        <v>160</v>
      </c>
      <c r="C52" s="101" t="s">
        <v>200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 x14ac:dyDescent="0.15">
      <c r="B53" s="101" t="s">
        <v>160</v>
      </c>
      <c r="C53" s="101" t="s">
        <v>200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 x14ac:dyDescent="0.15">
      <c r="B54" s="101" t="s">
        <v>160</v>
      </c>
      <c r="C54" s="101" t="s">
        <v>200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 x14ac:dyDescent="0.15">
      <c r="B55" s="101" t="s">
        <v>160</v>
      </c>
      <c r="C55" s="101" t="s">
        <v>200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 x14ac:dyDescent="0.15">
      <c r="B56" s="41"/>
      <c r="C56" s="41" t="s">
        <v>181</v>
      </c>
      <c r="D56" s="41" t="s">
        <v>180</v>
      </c>
      <c r="E56" s="41" t="s">
        <v>10</v>
      </c>
      <c r="F56" s="41" t="s">
        <v>184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182</v>
      </c>
      <c r="O56" s="41" t="s">
        <v>8</v>
      </c>
      <c r="P56" s="41" t="s">
        <v>23</v>
      </c>
      <c r="Q56" s="41"/>
      <c r="R56" s="41" t="s">
        <v>30</v>
      </c>
    </row>
    <row r="57" spans="2:18" x14ac:dyDescent="0.15">
      <c r="B57" s="101" t="s">
        <v>160</v>
      </c>
      <c r="C57" s="101" t="s">
        <v>186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 x14ac:dyDescent="0.15">
      <c r="B58" s="101" t="s">
        <v>160</v>
      </c>
      <c r="C58" s="101" t="s">
        <v>186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 x14ac:dyDescent="0.15">
      <c r="B59" s="101" t="s">
        <v>160</v>
      </c>
      <c r="C59" s="101" t="s">
        <v>186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 x14ac:dyDescent="0.15">
      <c r="B60" s="101" t="s">
        <v>160</v>
      </c>
      <c r="C60" s="101" t="s">
        <v>186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 x14ac:dyDescent="0.15">
      <c r="B61" s="41"/>
      <c r="C61" s="41" t="s">
        <v>181</v>
      </c>
      <c r="D61" s="41" t="s">
        <v>180</v>
      </c>
      <c r="E61" s="41" t="s">
        <v>10</v>
      </c>
      <c r="F61" s="41" t="s">
        <v>184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182</v>
      </c>
      <c r="O61" s="41" t="s">
        <v>8</v>
      </c>
      <c r="P61" s="41" t="s">
        <v>23</v>
      </c>
      <c r="Q61" s="41"/>
      <c r="R61" s="41" t="s">
        <v>30</v>
      </c>
    </row>
    <row r="62" spans="2:18" x14ac:dyDescent="0.15">
      <c r="B62" s="101" t="s">
        <v>160</v>
      </c>
      <c r="C62" s="101" t="s">
        <v>186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 x14ac:dyDescent="0.15">
      <c r="B63" s="101" t="s">
        <v>160</v>
      </c>
      <c r="C63" s="101" t="s">
        <v>186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 x14ac:dyDescent="0.15">
      <c r="B64" s="101" t="s">
        <v>160</v>
      </c>
      <c r="C64" s="101" t="s">
        <v>186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 x14ac:dyDescent="0.15">
      <c r="B65" s="101" t="s">
        <v>160</v>
      </c>
      <c r="C65" s="101" t="s">
        <v>186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 x14ac:dyDescent="0.15">
      <c r="B67" s="41"/>
      <c r="C67" s="41" t="s">
        <v>181</v>
      </c>
      <c r="D67" s="41" t="s">
        <v>180</v>
      </c>
      <c r="E67" s="41" t="s">
        <v>10</v>
      </c>
      <c r="F67" s="41" t="s">
        <v>184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182</v>
      </c>
      <c r="O67" s="41" t="s">
        <v>8</v>
      </c>
      <c r="P67" s="41" t="s">
        <v>23</v>
      </c>
      <c r="Q67" s="41"/>
      <c r="R67" s="41" t="s">
        <v>30</v>
      </c>
    </row>
    <row r="68" spans="2:18" x14ac:dyDescent="0.15">
      <c r="B68" s="101" t="s">
        <v>160</v>
      </c>
      <c r="C68" s="101" t="s">
        <v>204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54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 x14ac:dyDescent="0.15">
      <c r="B69" s="101" t="s">
        <v>160</v>
      </c>
      <c r="C69" s="101" t="s">
        <v>204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54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 x14ac:dyDescent="0.15">
      <c r="B70" s="101" t="s">
        <v>160</v>
      </c>
      <c r="C70" s="101" t="s">
        <v>204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54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  <row r="71" spans="2:18" x14ac:dyDescent="0.15">
      <c r="B71" s="41"/>
      <c r="C71" s="41" t="s">
        <v>181</v>
      </c>
      <c r="D71" s="41" t="s">
        <v>180</v>
      </c>
      <c r="E71" s="41" t="s">
        <v>10</v>
      </c>
      <c r="F71" s="41" t="s">
        <v>184</v>
      </c>
      <c r="G71" s="41" t="s">
        <v>11</v>
      </c>
      <c r="H71" s="41" t="s">
        <v>12</v>
      </c>
      <c r="I71" s="41" t="s">
        <v>47</v>
      </c>
      <c r="J71" s="41" t="s">
        <v>13</v>
      </c>
      <c r="K71" s="41" t="s">
        <v>14</v>
      </c>
      <c r="L71" s="41" t="s">
        <v>26</v>
      </c>
      <c r="M71" s="41" t="s">
        <v>28</v>
      </c>
      <c r="N71" s="41" t="s">
        <v>182</v>
      </c>
      <c r="O71" s="41" t="s">
        <v>8</v>
      </c>
      <c r="P71" s="41" t="s">
        <v>23</v>
      </c>
      <c r="Q71" s="41"/>
      <c r="R71" s="41" t="s">
        <v>30</v>
      </c>
    </row>
    <row r="72" spans="2:18" x14ac:dyDescent="0.15">
      <c r="B72" s="101" t="s">
        <v>160</v>
      </c>
      <c r="C72" s="101" t="s">
        <v>205</v>
      </c>
      <c r="D72" s="102">
        <v>43154</v>
      </c>
      <c r="E72" s="102">
        <v>43243</v>
      </c>
      <c r="F72" s="101">
        <v>13230</v>
      </c>
      <c r="G72" s="101">
        <v>89</v>
      </c>
      <c r="H72" s="101">
        <v>0.24383561643835616</v>
      </c>
      <c r="I72" s="101">
        <v>0</v>
      </c>
      <c r="J72" s="101">
        <v>0.32</v>
      </c>
      <c r="K72" s="101">
        <v>-829.0846857534234</v>
      </c>
      <c r="L72" s="101">
        <v>0</v>
      </c>
      <c r="M72" s="101">
        <v>0</v>
      </c>
      <c r="N72" s="154">
        <v>829.0846857534234</v>
      </c>
      <c r="O72" s="101">
        <v>13230</v>
      </c>
      <c r="P72" s="101" t="s">
        <v>39</v>
      </c>
      <c r="Q72" s="101">
        <v>-1</v>
      </c>
      <c r="R72" s="101" t="s">
        <v>20</v>
      </c>
    </row>
    <row r="73" spans="2:18" x14ac:dyDescent="0.15">
      <c r="B73" s="101" t="s">
        <v>160</v>
      </c>
      <c r="C73" s="101" t="s">
        <v>205</v>
      </c>
      <c r="D73" s="102">
        <v>43154</v>
      </c>
      <c r="E73" s="102">
        <v>43304</v>
      </c>
      <c r="F73" s="101">
        <v>13230</v>
      </c>
      <c r="G73" s="101">
        <v>150</v>
      </c>
      <c r="H73" s="101">
        <v>0.41095890410958902</v>
      </c>
      <c r="I73" s="101">
        <v>0</v>
      </c>
      <c r="J73" s="101">
        <v>0.32</v>
      </c>
      <c r="K73" s="101">
        <v>-1071.984666211627</v>
      </c>
      <c r="L73" s="101">
        <v>0</v>
      </c>
      <c r="M73" s="101">
        <v>0</v>
      </c>
      <c r="N73" s="154">
        <v>1071.984666211627</v>
      </c>
      <c r="O73" s="101">
        <v>13230</v>
      </c>
      <c r="P73" s="101" t="s">
        <v>39</v>
      </c>
      <c r="Q73" s="101">
        <v>-1</v>
      </c>
      <c r="R73" s="101" t="s">
        <v>20</v>
      </c>
    </row>
    <row r="74" spans="2:18" x14ac:dyDescent="0.15">
      <c r="B74" s="41"/>
      <c r="C74" s="41" t="s">
        <v>181</v>
      </c>
      <c r="D74" s="41" t="s">
        <v>180</v>
      </c>
      <c r="E74" s="41" t="s">
        <v>10</v>
      </c>
      <c r="F74" s="41" t="s">
        <v>184</v>
      </c>
      <c r="G74" s="41" t="s">
        <v>11</v>
      </c>
      <c r="H74" s="41" t="s">
        <v>12</v>
      </c>
      <c r="I74" s="41" t="s">
        <v>47</v>
      </c>
      <c r="J74" s="41" t="s">
        <v>13</v>
      </c>
      <c r="K74" s="41" t="s">
        <v>14</v>
      </c>
      <c r="L74" s="41" t="s">
        <v>26</v>
      </c>
      <c r="M74" s="41" t="s">
        <v>28</v>
      </c>
      <c r="N74" s="41" t="s">
        <v>182</v>
      </c>
      <c r="O74" s="41" t="s">
        <v>8</v>
      </c>
      <c r="P74" s="41" t="s">
        <v>23</v>
      </c>
      <c r="Q74" s="41"/>
      <c r="R74" s="41" t="s">
        <v>30</v>
      </c>
    </row>
    <row r="75" spans="2:18" x14ac:dyDescent="0.15">
      <c r="B75" s="101" t="s">
        <v>160</v>
      </c>
      <c r="C75" s="101" t="s">
        <v>204</v>
      </c>
      <c r="D75" s="102">
        <v>43154</v>
      </c>
      <c r="E75" s="102">
        <v>43214</v>
      </c>
      <c r="F75" s="101">
        <v>51000</v>
      </c>
      <c r="G75" s="101">
        <v>60</v>
      </c>
      <c r="H75" s="101">
        <v>0.15890410958904111</v>
      </c>
      <c r="I75" s="101">
        <v>0</v>
      </c>
      <c r="J75" s="101">
        <v>0.13</v>
      </c>
      <c r="K75" s="101">
        <v>200.9221634639307</v>
      </c>
      <c r="L75" s="101">
        <v>30</v>
      </c>
      <c r="M75" s="101">
        <v>25.685260273972606</v>
      </c>
      <c r="N75" s="154">
        <v>175.2369031899581</v>
      </c>
      <c r="O75" s="101">
        <v>53880</v>
      </c>
      <c r="P75" s="101" t="s">
        <v>85</v>
      </c>
      <c r="Q75" s="101">
        <v>1</v>
      </c>
      <c r="R75" s="101" t="s">
        <v>151</v>
      </c>
    </row>
    <row r="76" spans="2:18" x14ac:dyDescent="0.15">
      <c r="B76" s="101" t="s">
        <v>160</v>
      </c>
      <c r="C76" s="101" t="s">
        <v>204</v>
      </c>
      <c r="D76" s="102">
        <v>43154</v>
      </c>
      <c r="E76" s="102">
        <v>43214</v>
      </c>
      <c r="F76" s="101">
        <v>50000</v>
      </c>
      <c r="G76" s="101">
        <v>60</v>
      </c>
      <c r="H76" s="101">
        <v>0.15890410958904111</v>
      </c>
      <c r="I76" s="101">
        <v>0</v>
      </c>
      <c r="J76" s="101">
        <v>0.13</v>
      </c>
      <c r="K76" s="101">
        <v>89.509361348313178</v>
      </c>
      <c r="L76" s="101">
        <v>30</v>
      </c>
      <c r="M76" s="101">
        <v>25.685260273972606</v>
      </c>
      <c r="N76" s="154">
        <v>63.824101074340575</v>
      </c>
      <c r="O76" s="101">
        <v>53880</v>
      </c>
      <c r="P76" s="101" t="s">
        <v>85</v>
      </c>
      <c r="Q76" s="101">
        <v>1</v>
      </c>
      <c r="R76" s="101" t="s">
        <v>151</v>
      </c>
    </row>
    <row r="77" spans="2:18" x14ac:dyDescent="0.15">
      <c r="B77" s="101" t="s">
        <v>160</v>
      </c>
      <c r="C77" s="101" t="s">
        <v>204</v>
      </c>
      <c r="D77" s="102">
        <v>43154</v>
      </c>
      <c r="E77" s="102">
        <v>43214</v>
      </c>
      <c r="F77" s="101">
        <v>49900</v>
      </c>
      <c r="G77" s="101">
        <v>60</v>
      </c>
      <c r="H77" s="101">
        <v>0.15890410958904111</v>
      </c>
      <c r="I77" s="101">
        <v>0</v>
      </c>
      <c r="J77" s="101">
        <v>0.13</v>
      </c>
      <c r="K77" s="101">
        <v>81.976031730444447</v>
      </c>
      <c r="L77" s="101">
        <v>30</v>
      </c>
      <c r="M77" s="101">
        <v>25.685260273972606</v>
      </c>
      <c r="N77" s="154">
        <v>56.290771456471845</v>
      </c>
      <c r="O77" s="101">
        <v>53880</v>
      </c>
      <c r="P77" s="101" t="s">
        <v>85</v>
      </c>
      <c r="Q77" s="101">
        <v>1</v>
      </c>
      <c r="R77" s="101" t="s">
        <v>151</v>
      </c>
    </row>
    <row r="79" spans="2:18" x14ac:dyDescent="0.15">
      <c r="B79" s="41"/>
      <c r="C79" s="41" t="s">
        <v>181</v>
      </c>
      <c r="D79" s="41" t="s">
        <v>180</v>
      </c>
      <c r="E79" s="41" t="s">
        <v>10</v>
      </c>
      <c r="F79" s="41" t="s">
        <v>184</v>
      </c>
      <c r="G79" s="41" t="s">
        <v>11</v>
      </c>
      <c r="H79" s="41" t="s">
        <v>12</v>
      </c>
      <c r="I79" s="41" t="s">
        <v>47</v>
      </c>
      <c r="J79" s="41" t="s">
        <v>13</v>
      </c>
      <c r="K79" s="41" t="s">
        <v>14</v>
      </c>
      <c r="L79" s="41" t="s">
        <v>26</v>
      </c>
      <c r="M79" s="41" t="s">
        <v>28</v>
      </c>
      <c r="N79" s="41" t="s">
        <v>182</v>
      </c>
      <c r="O79" s="41" t="s">
        <v>8</v>
      </c>
      <c r="P79" s="41" t="s">
        <v>23</v>
      </c>
      <c r="Q79" s="41"/>
      <c r="R79" s="41" t="s">
        <v>30</v>
      </c>
    </row>
    <row r="80" spans="2:18" x14ac:dyDescent="0.15">
      <c r="B80" s="101" t="s">
        <v>160</v>
      </c>
      <c r="C80" s="101" t="s">
        <v>211</v>
      </c>
      <c r="D80" s="102">
        <v>43154</v>
      </c>
      <c r="E80" s="102">
        <v>43182</v>
      </c>
      <c r="F80" s="101">
        <v>561.5</v>
      </c>
      <c r="G80" s="101">
        <v>28</v>
      </c>
      <c r="H80" s="101">
        <v>7.1232876712328766E-2</v>
      </c>
      <c r="I80" s="101">
        <v>0</v>
      </c>
      <c r="J80" s="101">
        <v>0.23</v>
      </c>
      <c r="K80" s="101">
        <v>13.729066207063568</v>
      </c>
      <c r="L80" s="101"/>
      <c r="M80" s="101">
        <v>0</v>
      </c>
      <c r="N80" s="153">
        <v>13.729066207063568</v>
      </c>
      <c r="O80" s="101">
        <v>561.5</v>
      </c>
      <c r="P80" s="101" t="s">
        <v>85</v>
      </c>
      <c r="Q80" s="101">
        <v>1</v>
      </c>
      <c r="R80" s="101" t="s">
        <v>151</v>
      </c>
    </row>
    <row r="81" spans="2:21" x14ac:dyDescent="0.15">
      <c r="B81" s="101" t="s">
        <v>160</v>
      </c>
      <c r="C81" s="101" t="s">
        <v>211</v>
      </c>
      <c r="D81" s="102">
        <v>43154</v>
      </c>
      <c r="E81" s="102">
        <v>43182</v>
      </c>
      <c r="F81" s="101">
        <v>556.5</v>
      </c>
      <c r="G81" s="101">
        <v>28</v>
      </c>
      <c r="H81" s="101">
        <v>7.1232876712328766E-2</v>
      </c>
      <c r="I81" s="101">
        <v>0</v>
      </c>
      <c r="J81" s="101">
        <v>0.23</v>
      </c>
      <c r="K81" s="101">
        <v>11.316292927249776</v>
      </c>
      <c r="L81" s="101"/>
      <c r="M81" s="101">
        <v>0</v>
      </c>
      <c r="N81" s="153">
        <v>11.316292927249776</v>
      </c>
      <c r="O81" s="101">
        <v>561.5</v>
      </c>
      <c r="P81" s="101" t="s">
        <v>85</v>
      </c>
      <c r="Q81" s="101">
        <v>1</v>
      </c>
      <c r="R81" s="101" t="s">
        <v>151</v>
      </c>
    </row>
    <row r="82" spans="2:21" x14ac:dyDescent="0.15">
      <c r="B82" s="101" t="s">
        <v>160</v>
      </c>
      <c r="C82" s="101" t="s">
        <v>211</v>
      </c>
      <c r="D82" s="102">
        <v>43154</v>
      </c>
      <c r="E82" s="102">
        <v>43182</v>
      </c>
      <c r="F82" s="101">
        <v>551.5</v>
      </c>
      <c r="G82" s="101">
        <v>28</v>
      </c>
      <c r="H82" s="101">
        <v>7.1232876712328766E-2</v>
      </c>
      <c r="I82" s="101">
        <v>0</v>
      </c>
      <c r="J82" s="101">
        <v>0.23</v>
      </c>
      <c r="K82" s="101">
        <v>9.1926214191410054</v>
      </c>
      <c r="L82" s="101"/>
      <c r="M82" s="101">
        <v>0</v>
      </c>
      <c r="N82" s="153">
        <v>9.1926214191410054</v>
      </c>
      <c r="O82" s="101">
        <v>561.5</v>
      </c>
      <c r="P82" s="101" t="s">
        <v>85</v>
      </c>
      <c r="Q82" s="101">
        <v>1</v>
      </c>
      <c r="R82" s="101" t="s">
        <v>151</v>
      </c>
    </row>
    <row r="83" spans="2:21" x14ac:dyDescent="0.15">
      <c r="B83" s="101" t="s">
        <v>160</v>
      </c>
      <c r="C83" s="101" t="s">
        <v>211</v>
      </c>
      <c r="D83" s="102">
        <v>43154</v>
      </c>
      <c r="E83" s="102">
        <v>43182</v>
      </c>
      <c r="F83" s="101">
        <v>546.5</v>
      </c>
      <c r="G83" s="101">
        <v>28</v>
      </c>
      <c r="H83" s="101">
        <v>7.1232876712328766E-2</v>
      </c>
      <c r="I83" s="101">
        <v>0</v>
      </c>
      <c r="J83" s="101">
        <v>0.23</v>
      </c>
      <c r="K83" s="101">
        <v>7.3527029092152816</v>
      </c>
      <c r="L83" s="101"/>
      <c r="M83" s="101">
        <v>0</v>
      </c>
      <c r="N83" s="153">
        <v>7.3527029092152816</v>
      </c>
      <c r="O83" s="101">
        <v>561.5</v>
      </c>
      <c r="P83" s="101" t="s">
        <v>85</v>
      </c>
      <c r="Q83" s="101">
        <v>1</v>
      </c>
      <c r="R83" s="101" t="s">
        <v>151</v>
      </c>
    </row>
    <row r="84" spans="2:21" x14ac:dyDescent="0.15">
      <c r="B84" s="101"/>
      <c r="C84" s="101"/>
      <c r="D84" s="102"/>
      <c r="E84" s="102"/>
      <c r="F84" s="101"/>
      <c r="G84" s="101"/>
      <c r="H84" s="101"/>
      <c r="I84" s="101"/>
      <c r="J84" s="101"/>
      <c r="K84" s="101"/>
      <c r="L84" s="101"/>
      <c r="M84" s="101"/>
      <c r="N84" s="153"/>
      <c r="O84" s="101"/>
      <c r="P84" s="101"/>
      <c r="Q84" s="101"/>
      <c r="R84" s="101"/>
    </row>
    <row r="85" spans="2:21" x14ac:dyDescent="0.15">
      <c r="B85" s="101" t="s">
        <v>160</v>
      </c>
      <c r="C85" s="101" t="s">
        <v>211</v>
      </c>
      <c r="D85" s="102">
        <v>43154</v>
      </c>
      <c r="E85" s="102">
        <v>43214</v>
      </c>
      <c r="F85" s="101">
        <v>561.5</v>
      </c>
      <c r="G85" s="101">
        <v>60</v>
      </c>
      <c r="H85" s="101">
        <v>0.15890410958904111</v>
      </c>
      <c r="I85" s="101">
        <v>0</v>
      </c>
      <c r="J85" s="101">
        <v>0.23</v>
      </c>
      <c r="K85" s="101">
        <v>20.465526063397192</v>
      </c>
      <c r="L85" s="101"/>
      <c r="M85" s="101">
        <v>0</v>
      </c>
      <c r="N85" s="153">
        <v>20.465526063397192</v>
      </c>
      <c r="O85" s="101">
        <v>561.5</v>
      </c>
      <c r="P85" s="101" t="s">
        <v>85</v>
      </c>
      <c r="Q85" s="101">
        <v>1</v>
      </c>
      <c r="R85" s="101" t="s">
        <v>151</v>
      </c>
    </row>
    <row r="86" spans="2:21" x14ac:dyDescent="0.15">
      <c r="B86" s="101" t="s">
        <v>160</v>
      </c>
      <c r="C86" s="101" t="s">
        <v>211</v>
      </c>
      <c r="D86" s="102">
        <v>43154</v>
      </c>
      <c r="E86" s="102">
        <v>43214</v>
      </c>
      <c r="F86" s="101">
        <v>556.5</v>
      </c>
      <c r="G86" s="101">
        <v>60</v>
      </c>
      <c r="H86" s="101">
        <v>0.15890410958904111</v>
      </c>
      <c r="I86" s="101">
        <v>0</v>
      </c>
      <c r="J86" s="101">
        <v>0.23</v>
      </c>
      <c r="K86" s="101">
        <v>17.979151892593507</v>
      </c>
      <c r="L86" s="101"/>
      <c r="M86" s="101">
        <v>0</v>
      </c>
      <c r="N86" s="153">
        <v>17.979151892593507</v>
      </c>
      <c r="O86" s="101">
        <v>561.5</v>
      </c>
      <c r="P86" s="101" t="s">
        <v>85</v>
      </c>
      <c r="Q86" s="101">
        <v>1</v>
      </c>
      <c r="R86" s="101" t="s">
        <v>151</v>
      </c>
    </row>
    <row r="87" spans="2:21" x14ac:dyDescent="0.15">
      <c r="B87" s="101" t="s">
        <v>160</v>
      </c>
      <c r="C87" s="101" t="s">
        <v>211</v>
      </c>
      <c r="D87" s="102">
        <v>43154</v>
      </c>
      <c r="E87" s="102">
        <v>43214</v>
      </c>
      <c r="F87" s="101">
        <v>551.5</v>
      </c>
      <c r="G87" s="101">
        <v>60</v>
      </c>
      <c r="H87" s="101">
        <v>0.15890410958904111</v>
      </c>
      <c r="I87" s="101">
        <v>0</v>
      </c>
      <c r="J87" s="101">
        <v>0.23</v>
      </c>
      <c r="K87" s="101">
        <v>15.68721653179449</v>
      </c>
      <c r="L87" s="101"/>
      <c r="M87" s="101">
        <v>0</v>
      </c>
      <c r="N87" s="153">
        <v>15.68721653179449</v>
      </c>
      <c r="O87" s="101">
        <v>561.5</v>
      </c>
      <c r="P87" s="101" t="s">
        <v>85</v>
      </c>
      <c r="Q87" s="101">
        <v>1</v>
      </c>
      <c r="R87" s="101" t="s">
        <v>151</v>
      </c>
    </row>
    <row r="88" spans="2:21" x14ac:dyDescent="0.15">
      <c r="B88" s="101" t="s">
        <v>160</v>
      </c>
      <c r="C88" s="101" t="s">
        <v>211</v>
      </c>
      <c r="D88" s="102">
        <v>43154</v>
      </c>
      <c r="E88" s="102">
        <v>43214</v>
      </c>
      <c r="F88" s="101">
        <v>546.5</v>
      </c>
      <c r="G88" s="101">
        <v>60</v>
      </c>
      <c r="H88" s="101">
        <v>0.15890410958904111</v>
      </c>
      <c r="I88" s="101">
        <v>0</v>
      </c>
      <c r="J88" s="101">
        <v>0.23</v>
      </c>
      <c r="K88" s="101">
        <v>13.589539034876509</v>
      </c>
      <c r="L88" s="101"/>
      <c r="M88" s="101">
        <v>0</v>
      </c>
      <c r="N88" s="153">
        <v>13.589539034876509</v>
      </c>
      <c r="O88" s="101">
        <v>561.5</v>
      </c>
      <c r="P88" s="101" t="s">
        <v>85</v>
      </c>
      <c r="Q88" s="101">
        <v>1</v>
      </c>
      <c r="R88" s="101" t="s">
        <v>151</v>
      </c>
    </row>
    <row r="89" spans="2:21" x14ac:dyDescent="0.15">
      <c r="B89" s="41"/>
      <c r="C89" s="41" t="s">
        <v>181</v>
      </c>
      <c r="D89" s="41" t="s">
        <v>180</v>
      </c>
      <c r="E89" s="41" t="s">
        <v>10</v>
      </c>
      <c r="F89" s="41" t="s">
        <v>184</v>
      </c>
      <c r="G89" s="41" t="s">
        <v>11</v>
      </c>
      <c r="H89" s="41" t="s">
        <v>12</v>
      </c>
      <c r="I89" s="41" t="s">
        <v>47</v>
      </c>
      <c r="J89" s="41" t="s">
        <v>13</v>
      </c>
      <c r="K89" s="41" t="s">
        <v>14</v>
      </c>
      <c r="L89" s="41" t="s">
        <v>26</v>
      </c>
      <c r="M89" s="41" t="s">
        <v>28</v>
      </c>
      <c r="N89" s="41" t="s">
        <v>182</v>
      </c>
      <c r="O89" s="41" t="s">
        <v>8</v>
      </c>
      <c r="P89" s="41" t="s">
        <v>23</v>
      </c>
      <c r="Q89" s="41"/>
      <c r="R89" s="41" t="s">
        <v>30</v>
      </c>
    </row>
    <row r="90" spans="2:21" x14ac:dyDescent="0.15">
      <c r="B90" s="101" t="s">
        <v>160</v>
      </c>
      <c r="C90" s="101" t="s">
        <v>204</v>
      </c>
      <c r="D90" s="102">
        <v>43157</v>
      </c>
      <c r="E90" s="102">
        <v>43217</v>
      </c>
      <c r="F90" s="101">
        <v>50000</v>
      </c>
      <c r="G90" s="101">
        <v>60</v>
      </c>
      <c r="H90" s="101">
        <v>0.16438356164383561</v>
      </c>
      <c r="I90" s="101">
        <v>0</v>
      </c>
      <c r="J90" s="101">
        <v>0.14499999999999999</v>
      </c>
      <c r="K90" s="101">
        <v>154.98635620531513</v>
      </c>
      <c r="L90" s="101">
        <v>30</v>
      </c>
      <c r="M90" s="101">
        <v>26.531506849315068</v>
      </c>
      <c r="N90" s="153">
        <v>128.45484935600007</v>
      </c>
      <c r="O90" s="101">
        <v>53800</v>
      </c>
      <c r="P90" s="101" t="s">
        <v>85</v>
      </c>
      <c r="Q90" s="101">
        <v>1</v>
      </c>
      <c r="R90" s="101" t="s">
        <v>151</v>
      </c>
    </row>
    <row r="91" spans="2:21" x14ac:dyDescent="0.15">
      <c r="B91" s="41"/>
      <c r="C91" s="41" t="s">
        <v>181</v>
      </c>
      <c r="D91" s="41" t="s">
        <v>180</v>
      </c>
      <c r="E91" s="41" t="s">
        <v>10</v>
      </c>
      <c r="F91" s="41" t="s">
        <v>184</v>
      </c>
      <c r="G91" s="41" t="s">
        <v>11</v>
      </c>
      <c r="H91" s="41" t="s">
        <v>12</v>
      </c>
      <c r="I91" s="41" t="s">
        <v>47</v>
      </c>
      <c r="J91" s="41" t="s">
        <v>13</v>
      </c>
      <c r="K91" s="41" t="s">
        <v>14</v>
      </c>
      <c r="L91" s="41" t="s">
        <v>26</v>
      </c>
      <c r="M91" s="41" t="s">
        <v>28</v>
      </c>
      <c r="N91" s="41" t="s">
        <v>182</v>
      </c>
      <c r="O91" s="41" t="s">
        <v>8</v>
      </c>
      <c r="P91" s="41" t="s">
        <v>23</v>
      </c>
      <c r="Q91" s="41"/>
      <c r="R91" s="41" t="s">
        <v>30</v>
      </c>
    </row>
    <row r="92" spans="2:21" x14ac:dyDescent="0.15">
      <c r="B92" s="101" t="s">
        <v>160</v>
      </c>
      <c r="C92" s="101" t="s">
        <v>192</v>
      </c>
      <c r="D92" s="102">
        <v>43157</v>
      </c>
      <c r="E92" s="102">
        <v>43203</v>
      </c>
      <c r="F92" s="101">
        <v>96</v>
      </c>
      <c r="G92" s="101">
        <v>46</v>
      </c>
      <c r="H92" s="101">
        <v>0.12602739726027398</v>
      </c>
      <c r="I92" s="101">
        <v>0</v>
      </c>
      <c r="J92" s="101">
        <v>0.24</v>
      </c>
      <c r="K92" s="101">
        <v>-1.7005272775470353</v>
      </c>
      <c r="L92" s="101">
        <v>0</v>
      </c>
      <c r="M92" s="101">
        <v>0</v>
      </c>
      <c r="N92" s="153">
        <v>1.7005272775470353</v>
      </c>
      <c r="O92" s="101">
        <v>100</v>
      </c>
      <c r="P92" s="101" t="s">
        <v>85</v>
      </c>
      <c r="Q92" s="101">
        <v>-1</v>
      </c>
      <c r="R92" s="101" t="s">
        <v>20</v>
      </c>
    </row>
    <row r="93" spans="2:21" x14ac:dyDescent="0.15">
      <c r="B93" s="41"/>
      <c r="C93" s="41" t="s">
        <v>181</v>
      </c>
      <c r="D93" s="41" t="s">
        <v>180</v>
      </c>
      <c r="E93" s="41" t="s">
        <v>10</v>
      </c>
      <c r="F93" s="41" t="s">
        <v>184</v>
      </c>
      <c r="G93" s="41" t="s">
        <v>11</v>
      </c>
      <c r="H93" s="41" t="s">
        <v>12</v>
      </c>
      <c r="I93" s="41" t="s">
        <v>47</v>
      </c>
      <c r="J93" s="41" t="s">
        <v>13</v>
      </c>
      <c r="K93" s="41" t="s">
        <v>14</v>
      </c>
      <c r="L93" s="41" t="s">
        <v>26</v>
      </c>
      <c r="M93" s="41" t="s">
        <v>28</v>
      </c>
      <c r="N93" s="41" t="s">
        <v>182</v>
      </c>
      <c r="O93" s="41" t="s">
        <v>8</v>
      </c>
      <c r="P93" s="41" t="s">
        <v>23</v>
      </c>
      <c r="Q93" s="41"/>
      <c r="R93" s="41" t="s">
        <v>30</v>
      </c>
    </row>
    <row r="94" spans="2:21" x14ac:dyDescent="0.15">
      <c r="B94" s="101" t="s">
        <v>160</v>
      </c>
      <c r="C94" s="101" t="s">
        <v>191</v>
      </c>
      <c r="D94" s="102">
        <v>43159</v>
      </c>
      <c r="E94" s="102">
        <v>43189</v>
      </c>
      <c r="F94" s="101">
        <v>13015</v>
      </c>
      <c r="G94" s="101">
        <v>30</v>
      </c>
      <c r="H94" s="101">
        <v>8.2191780821917804E-2</v>
      </c>
      <c r="I94" s="101">
        <v>0</v>
      </c>
      <c r="J94" s="101">
        <v>0.30499999999999999</v>
      </c>
      <c r="K94" s="101">
        <v>-453.12291403983545</v>
      </c>
      <c r="L94" s="101">
        <v>180</v>
      </c>
      <c r="M94" s="101">
        <v>19.255068493150681</v>
      </c>
      <c r="N94" s="153">
        <v>472.37798253298615</v>
      </c>
      <c r="O94" s="101">
        <v>13015</v>
      </c>
      <c r="P94" s="101" t="s">
        <v>39</v>
      </c>
      <c r="Q94" s="101">
        <v>-1</v>
      </c>
      <c r="R94" s="101" t="s">
        <v>20</v>
      </c>
      <c r="U94" s="6">
        <v>30000</v>
      </c>
    </row>
    <row r="95" spans="2:21" x14ac:dyDescent="0.15">
      <c r="B95" s="41"/>
      <c r="C95" s="41" t="s">
        <v>181</v>
      </c>
      <c r="D95" s="41" t="s">
        <v>180</v>
      </c>
      <c r="E95" s="41" t="s">
        <v>10</v>
      </c>
      <c r="F95" s="41" t="s">
        <v>184</v>
      </c>
      <c r="G95" s="41" t="s">
        <v>11</v>
      </c>
      <c r="H95" s="41" t="s">
        <v>12</v>
      </c>
      <c r="I95" s="41" t="s">
        <v>47</v>
      </c>
      <c r="J95" s="41" t="s">
        <v>13</v>
      </c>
      <c r="K95" s="41" t="s">
        <v>14</v>
      </c>
      <c r="L95" s="41" t="s">
        <v>26</v>
      </c>
      <c r="M95" s="41" t="s">
        <v>28</v>
      </c>
      <c r="N95" s="41" t="s">
        <v>182</v>
      </c>
      <c r="O95" s="41" t="s">
        <v>8</v>
      </c>
      <c r="P95" s="41" t="s">
        <v>23</v>
      </c>
      <c r="Q95" s="41"/>
      <c r="R95" s="41" t="s">
        <v>30</v>
      </c>
      <c r="U95" s="6">
        <v>472</v>
      </c>
    </row>
    <row r="96" spans="2:21" x14ac:dyDescent="0.15">
      <c r="B96" s="101" t="s">
        <v>160</v>
      </c>
      <c r="C96" s="101" t="s">
        <v>214</v>
      </c>
      <c r="D96" s="102">
        <v>43161</v>
      </c>
      <c r="E96" s="102">
        <v>43192</v>
      </c>
      <c r="F96" s="101">
        <v>2171</v>
      </c>
      <c r="G96" s="101">
        <v>31</v>
      </c>
      <c r="H96" s="101">
        <v>8.4931506849315067E-2</v>
      </c>
      <c r="I96" s="101">
        <v>0</v>
      </c>
      <c r="J96" s="101">
        <v>0.155</v>
      </c>
      <c r="K96" s="101">
        <v>-39.053626997843594</v>
      </c>
      <c r="L96" s="101">
        <v>0</v>
      </c>
      <c r="M96" s="101">
        <v>0</v>
      </c>
      <c r="N96" s="153">
        <v>39.053626997843594</v>
      </c>
      <c r="O96" s="101">
        <v>2171</v>
      </c>
      <c r="P96" s="101" t="s">
        <v>39</v>
      </c>
      <c r="Q96" s="101">
        <v>-1</v>
      </c>
      <c r="R96" s="101" t="s">
        <v>20</v>
      </c>
      <c r="U96" s="6">
        <f>U94/U95</f>
        <v>63.559322033898304</v>
      </c>
    </row>
    <row r="97" spans="2:18" x14ac:dyDescent="0.15">
      <c r="B97" s="41"/>
      <c r="C97" s="41" t="s">
        <v>181</v>
      </c>
      <c r="D97" s="41" t="s">
        <v>180</v>
      </c>
      <c r="E97" s="41" t="s">
        <v>10</v>
      </c>
      <c r="F97" s="41" t="s">
        <v>184</v>
      </c>
      <c r="G97" s="41" t="s">
        <v>11</v>
      </c>
      <c r="H97" s="41" t="s">
        <v>12</v>
      </c>
      <c r="I97" s="41" t="s">
        <v>47</v>
      </c>
      <c r="J97" s="41" t="s">
        <v>13</v>
      </c>
      <c r="K97" s="41" t="s">
        <v>14</v>
      </c>
      <c r="L97" s="41" t="s">
        <v>26</v>
      </c>
      <c r="M97" s="41" t="s">
        <v>28</v>
      </c>
      <c r="N97" s="41" t="s">
        <v>182</v>
      </c>
      <c r="O97" s="41" t="s">
        <v>8</v>
      </c>
      <c r="P97" s="41" t="s">
        <v>23</v>
      </c>
      <c r="Q97" s="41"/>
      <c r="R97" s="41" t="s">
        <v>30</v>
      </c>
    </row>
    <row r="98" spans="2:18" x14ac:dyDescent="0.15">
      <c r="B98" s="101" t="s">
        <v>160</v>
      </c>
      <c r="C98" s="101" t="s">
        <v>218</v>
      </c>
      <c r="D98" s="102">
        <v>43166</v>
      </c>
      <c r="E98" s="102">
        <v>43238</v>
      </c>
      <c r="F98" s="101">
        <v>22000</v>
      </c>
      <c r="G98" s="101">
        <v>72</v>
      </c>
      <c r="H98" s="101">
        <v>0.19726027397260273</v>
      </c>
      <c r="I98" s="101">
        <v>0</v>
      </c>
      <c r="J98" s="101">
        <v>0.23</v>
      </c>
      <c r="K98" s="101">
        <v>-94.290778450317248</v>
      </c>
      <c r="L98" s="101">
        <v>0</v>
      </c>
      <c r="M98" s="101">
        <v>0</v>
      </c>
      <c r="N98" s="153">
        <v>94.290778450317248</v>
      </c>
      <c r="O98" s="101">
        <v>25300</v>
      </c>
      <c r="P98" s="101" t="s">
        <v>85</v>
      </c>
      <c r="Q98" s="101">
        <v>-1</v>
      </c>
      <c r="R98" s="101" t="s">
        <v>20</v>
      </c>
    </row>
    <row r="102" spans="2:18" x14ac:dyDescent="0.15">
      <c r="C102" s="41" t="s">
        <v>181</v>
      </c>
      <c r="D102" s="41" t="s">
        <v>180</v>
      </c>
      <c r="E102" s="41" t="s">
        <v>10</v>
      </c>
      <c r="F102" s="41" t="s">
        <v>184</v>
      </c>
      <c r="N102" s="41" t="s">
        <v>215</v>
      </c>
      <c r="O102" s="41" t="s">
        <v>182</v>
      </c>
      <c r="Q102" s="41" t="s">
        <v>30</v>
      </c>
    </row>
    <row r="103" spans="2:18" x14ac:dyDescent="0.15">
      <c r="C103" s="101" t="s">
        <v>186</v>
      </c>
      <c r="D103" s="102">
        <v>43164</v>
      </c>
      <c r="E103" s="102">
        <v>43219.625</v>
      </c>
      <c r="F103" s="154">
        <v>3699.9999992799999</v>
      </c>
      <c r="G103" s="101">
        <v>55.625</v>
      </c>
      <c r="H103" s="101"/>
      <c r="I103" s="101"/>
      <c r="J103" s="101"/>
      <c r="K103" s="101"/>
      <c r="L103" s="101"/>
      <c r="M103" s="101"/>
      <c r="N103" s="154">
        <v>5000</v>
      </c>
      <c r="O103" s="153">
        <v>52.921203427240471</v>
      </c>
      <c r="Q103" s="101" t="s">
        <v>20</v>
      </c>
    </row>
    <row r="104" spans="2:18" x14ac:dyDescent="0.15">
      <c r="C104" s="101" t="s">
        <v>186</v>
      </c>
      <c r="D104" s="102">
        <v>43164</v>
      </c>
      <c r="E104" s="102">
        <v>43203.625</v>
      </c>
      <c r="F104" s="154">
        <v>3720.0000015999999</v>
      </c>
      <c r="G104" s="101">
        <v>39.625</v>
      </c>
      <c r="H104" s="101"/>
      <c r="I104" s="101"/>
      <c r="J104" s="101"/>
      <c r="K104" s="101"/>
      <c r="L104" s="101"/>
      <c r="M104" s="101"/>
      <c r="N104" s="154">
        <v>10000</v>
      </c>
      <c r="O104" s="153">
        <v>44.750588158605751</v>
      </c>
      <c r="Q104" s="101" t="s">
        <v>20</v>
      </c>
    </row>
    <row r="105" spans="2:18" x14ac:dyDescent="0.15">
      <c r="C105" s="101" t="s">
        <v>186</v>
      </c>
      <c r="D105" s="102">
        <v>43164</v>
      </c>
      <c r="E105" s="102">
        <v>43203.625</v>
      </c>
      <c r="F105" s="154">
        <v>3650.00000142</v>
      </c>
      <c r="G105" s="101">
        <v>39.625</v>
      </c>
      <c r="H105" s="101"/>
      <c r="I105" s="101"/>
      <c r="J105" s="101"/>
      <c r="K105" s="101"/>
      <c r="L105" s="101"/>
      <c r="M105" s="101"/>
      <c r="N105" s="154">
        <v>10000</v>
      </c>
      <c r="O105" s="153">
        <v>25.946642731012503</v>
      </c>
      <c r="Q105" s="101" t="s">
        <v>20</v>
      </c>
    </row>
    <row r="106" spans="2:18" x14ac:dyDescent="0.15">
      <c r="C106" s="101" t="s">
        <v>186</v>
      </c>
      <c r="D106" s="102">
        <v>43164</v>
      </c>
      <c r="E106" s="102">
        <v>43189.625</v>
      </c>
      <c r="F106" s="154">
        <v>3650.0000014560001</v>
      </c>
      <c r="G106" s="101">
        <v>25.625</v>
      </c>
      <c r="H106" s="101"/>
      <c r="I106" s="101"/>
      <c r="J106" s="101"/>
      <c r="K106" s="101"/>
      <c r="L106" s="101"/>
      <c r="M106" s="101"/>
      <c r="N106" s="154">
        <v>10000</v>
      </c>
      <c r="O106" s="153">
        <v>19.272655133425701</v>
      </c>
      <c r="Q106" s="101" t="s">
        <v>20</v>
      </c>
    </row>
    <row r="107" spans="2:18" x14ac:dyDescent="0.15">
      <c r="C107" s="101" t="s">
        <v>186</v>
      </c>
      <c r="D107" s="102">
        <v>43164</v>
      </c>
      <c r="E107" s="102">
        <v>43219.625</v>
      </c>
      <c r="F107" s="154">
        <v>3625.0000025260001</v>
      </c>
      <c r="G107" s="101">
        <v>17.625</v>
      </c>
      <c r="H107" s="101"/>
      <c r="I107" s="101"/>
      <c r="J107" s="101"/>
      <c r="K107" s="101"/>
      <c r="L107" s="101"/>
      <c r="M107" s="101"/>
      <c r="N107" s="154">
        <v>5000</v>
      </c>
      <c r="O107" s="153">
        <v>0.25</v>
      </c>
      <c r="Q107" s="101" t="s">
        <v>20</v>
      </c>
    </row>
    <row r="108" spans="2:18" x14ac:dyDescent="0.15">
      <c r="F108" s="166"/>
      <c r="N108" s="165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7" t="s">
        <v>158</v>
      </c>
      <c r="C1" s="167"/>
      <c r="D1" s="167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1" activePane="bottomLeft" state="frozen"/>
      <selection pane="bottomLeft" activeCell="B36" sqref="B36:E48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9.625" style="155" customWidth="1"/>
    <col min="9" max="9" width="9" style="155"/>
    <col min="10" max="10" width="9.25" style="155" customWidth="1"/>
    <col min="11" max="16384" width="9" style="155"/>
  </cols>
  <sheetData>
    <row r="1" spans="2:20" ht="11.25" thickBot="1" x14ac:dyDescent="0.2">
      <c r="B1" s="186" t="s">
        <v>118</v>
      </c>
      <c r="C1" s="186"/>
    </row>
    <row r="2" spans="2:20" ht="11.25" thickTop="1" x14ac:dyDescent="0.15"/>
    <row r="3" spans="2:20" ht="11.25" thickBot="1" x14ac:dyDescent="0.2">
      <c r="B3" s="185" t="s">
        <v>119</v>
      </c>
      <c r="C3" s="185"/>
      <c r="D3" s="185"/>
      <c r="E3" s="185"/>
      <c r="G3" s="184" t="s">
        <v>120</v>
      </c>
      <c r="H3" s="184"/>
      <c r="I3" s="184"/>
      <c r="J3" s="184"/>
      <c r="L3" s="185" t="s">
        <v>165</v>
      </c>
      <c r="M3" s="185"/>
      <c r="N3" s="185"/>
      <c r="O3" s="185"/>
      <c r="Q3" s="184" t="s">
        <v>166</v>
      </c>
      <c r="R3" s="184"/>
      <c r="S3" s="184"/>
      <c r="T3" s="184"/>
    </row>
    <row r="4" spans="2:20" ht="12" thickTop="1" thickBot="1" x14ac:dyDescent="0.2">
      <c r="B4" s="174" t="s">
        <v>121</v>
      </c>
      <c r="C4" s="174"/>
      <c r="D4" s="174"/>
      <c r="E4" s="174"/>
      <c r="G4" s="174" t="s">
        <v>34</v>
      </c>
      <c r="H4" s="174"/>
      <c r="I4" s="174"/>
      <c r="J4" s="174"/>
      <c r="L4" s="174" t="s">
        <v>121</v>
      </c>
      <c r="M4" s="174"/>
      <c r="N4" s="174"/>
      <c r="O4" s="174"/>
      <c r="Q4" s="174" t="s">
        <v>34</v>
      </c>
      <c r="R4" s="174"/>
      <c r="S4" s="174"/>
      <c r="T4" s="174"/>
    </row>
    <row r="5" spans="2:20" ht="15" customHeight="1" thickTop="1" x14ac:dyDescent="0.15">
      <c r="B5" s="181" t="s">
        <v>122</v>
      </c>
      <c r="C5" s="181"/>
      <c r="D5" s="187"/>
      <c r="E5" s="188"/>
      <c r="G5" s="181" t="s">
        <v>123</v>
      </c>
      <c r="H5" s="181"/>
      <c r="I5" s="158"/>
      <c r="J5" s="159"/>
      <c r="L5" s="156" t="s">
        <v>122</v>
      </c>
      <c r="M5" s="157"/>
      <c r="N5" s="158"/>
      <c r="O5" s="159"/>
      <c r="Q5" s="181" t="s">
        <v>123</v>
      </c>
      <c r="R5" s="181"/>
      <c r="S5" s="158"/>
      <c r="T5" s="159"/>
    </row>
    <row r="6" spans="2:20" x14ac:dyDescent="0.15">
      <c r="B6" s="181" t="s">
        <v>124</v>
      </c>
      <c r="C6" s="181"/>
      <c r="D6" s="182" t="s">
        <v>125</v>
      </c>
      <c r="E6" s="183"/>
      <c r="G6" s="181" t="s">
        <v>126</v>
      </c>
      <c r="H6" s="181"/>
      <c r="I6" s="182"/>
      <c r="J6" s="183"/>
      <c r="L6" s="181" t="s">
        <v>124</v>
      </c>
      <c r="M6" s="181"/>
      <c r="N6" s="182" t="s">
        <v>125</v>
      </c>
      <c r="O6" s="183"/>
      <c r="Q6" s="181" t="s">
        <v>126</v>
      </c>
      <c r="R6" s="181"/>
      <c r="S6" s="182"/>
      <c r="T6" s="183"/>
    </row>
    <row r="7" spans="2:20" ht="2.25" customHeight="1" x14ac:dyDescent="0.15">
      <c r="B7" s="181" t="s">
        <v>127</v>
      </c>
      <c r="C7" s="181"/>
      <c r="D7" s="182" t="s">
        <v>125</v>
      </c>
      <c r="E7" s="183"/>
      <c r="G7" s="181" t="s">
        <v>128</v>
      </c>
      <c r="H7" s="181"/>
      <c r="I7" s="182"/>
      <c r="J7" s="183"/>
      <c r="L7" s="181" t="s">
        <v>127</v>
      </c>
      <c r="M7" s="181"/>
      <c r="N7" s="182" t="s">
        <v>125</v>
      </c>
      <c r="O7" s="183"/>
      <c r="Q7" s="181" t="s">
        <v>128</v>
      </c>
      <c r="R7" s="181"/>
      <c r="S7" s="182"/>
      <c r="T7" s="183"/>
    </row>
    <row r="8" spans="2:20" hidden="1" x14ac:dyDescent="0.15">
      <c r="B8" s="181" t="s">
        <v>129</v>
      </c>
      <c r="C8" s="181"/>
      <c r="D8" s="182">
        <f>D13*D15</f>
        <v>305000</v>
      </c>
      <c r="E8" s="183"/>
      <c r="G8" s="181" t="s">
        <v>130</v>
      </c>
      <c r="H8" s="181"/>
      <c r="I8" s="182"/>
      <c r="J8" s="183"/>
      <c r="L8" s="181" t="s">
        <v>129</v>
      </c>
      <c r="M8" s="181"/>
      <c r="N8" s="182">
        <f>N14*N16</f>
        <v>305000</v>
      </c>
      <c r="O8" s="183"/>
      <c r="Q8" s="181" t="s">
        <v>130</v>
      </c>
      <c r="R8" s="181"/>
      <c r="S8" s="182"/>
      <c r="T8" s="183"/>
    </row>
    <row r="9" spans="2:20" hidden="1" x14ac:dyDescent="0.15">
      <c r="B9" s="181" t="s">
        <v>131</v>
      </c>
      <c r="C9" s="181"/>
      <c r="D9" s="182" t="s">
        <v>132</v>
      </c>
      <c r="E9" s="183"/>
      <c r="G9" s="181" t="s">
        <v>133</v>
      </c>
      <c r="H9" s="181"/>
      <c r="I9" s="182"/>
      <c r="J9" s="183"/>
      <c r="L9" s="181" t="s">
        <v>131</v>
      </c>
      <c r="M9" s="181"/>
      <c r="N9" s="182" t="s">
        <v>132</v>
      </c>
      <c r="O9" s="183"/>
      <c r="Q9" s="181" t="s">
        <v>133</v>
      </c>
      <c r="R9" s="181"/>
      <c r="S9" s="182"/>
      <c r="T9" s="183"/>
    </row>
    <row r="10" spans="2:20" hidden="1" x14ac:dyDescent="0.15">
      <c r="B10" s="181" t="s">
        <v>134</v>
      </c>
      <c r="C10" s="181"/>
      <c r="D10" s="182">
        <v>43084</v>
      </c>
      <c r="E10" s="183"/>
      <c r="G10" s="160" t="s">
        <v>135</v>
      </c>
      <c r="H10" s="160"/>
      <c r="I10" s="182"/>
      <c r="J10" s="183"/>
      <c r="L10" s="181" t="s">
        <v>134</v>
      </c>
      <c r="M10" s="181"/>
      <c r="N10" s="182">
        <v>43084</v>
      </c>
      <c r="O10" s="183"/>
      <c r="Q10" s="160" t="s">
        <v>135</v>
      </c>
      <c r="R10" s="160"/>
      <c r="S10" s="182"/>
      <c r="T10" s="183"/>
    </row>
    <row r="11" spans="2:20" hidden="1" x14ac:dyDescent="0.15">
      <c r="B11" s="181" t="s">
        <v>136</v>
      </c>
      <c r="C11" s="181"/>
      <c r="D11" s="182">
        <v>3935</v>
      </c>
      <c r="E11" s="183"/>
      <c r="G11" s="181" t="s">
        <v>137</v>
      </c>
      <c r="H11" s="181"/>
      <c r="I11" s="182"/>
      <c r="J11" s="183"/>
      <c r="L11" s="181" t="s">
        <v>136</v>
      </c>
      <c r="M11" s="181"/>
      <c r="N11" s="182">
        <v>3935</v>
      </c>
      <c r="O11" s="183"/>
      <c r="Q11" s="181" t="s">
        <v>137</v>
      </c>
      <c r="R11" s="181"/>
      <c r="S11" s="182"/>
      <c r="T11" s="183"/>
    </row>
    <row r="12" spans="2:20" hidden="1" x14ac:dyDescent="0.15">
      <c r="B12" s="181" t="s">
        <v>138</v>
      </c>
      <c r="C12" s="181"/>
      <c r="D12" s="182">
        <v>3800</v>
      </c>
      <c r="E12" s="183"/>
      <c r="G12" s="181" t="s">
        <v>139</v>
      </c>
      <c r="H12" s="181"/>
      <c r="I12" s="182"/>
      <c r="J12" s="183"/>
      <c r="L12" s="181" t="s">
        <v>163</v>
      </c>
      <c r="M12" s="181"/>
      <c r="N12" s="182">
        <v>3800</v>
      </c>
      <c r="O12" s="183"/>
      <c r="Q12" s="181" t="s">
        <v>167</v>
      </c>
      <c r="R12" s="181"/>
      <c r="S12" s="182"/>
      <c r="T12" s="183"/>
    </row>
    <row r="13" spans="2:20" hidden="1" x14ac:dyDescent="0.15">
      <c r="B13" s="181" t="s">
        <v>140</v>
      </c>
      <c r="C13" s="181"/>
      <c r="D13" s="182">
        <v>61</v>
      </c>
      <c r="E13" s="183"/>
      <c r="G13" s="181" t="s">
        <v>141</v>
      </c>
      <c r="H13" s="181"/>
      <c r="I13" s="182"/>
      <c r="J13" s="183"/>
      <c r="L13" s="181" t="s">
        <v>164</v>
      </c>
      <c r="M13" s="181"/>
      <c r="N13" s="182">
        <v>3800</v>
      </c>
      <c r="O13" s="183"/>
      <c r="Q13" s="181" t="s">
        <v>168</v>
      </c>
      <c r="R13" s="181"/>
      <c r="S13" s="182"/>
      <c r="T13" s="183"/>
    </row>
    <row r="14" spans="2:20" hidden="1" x14ac:dyDescent="0.15">
      <c r="B14" s="181" t="s">
        <v>142</v>
      </c>
      <c r="C14" s="181"/>
      <c r="D14" s="182" t="s">
        <v>143</v>
      </c>
      <c r="E14" s="183"/>
      <c r="G14" s="181" t="s">
        <v>144</v>
      </c>
      <c r="H14" s="181"/>
      <c r="I14" s="161"/>
      <c r="J14" s="162"/>
      <c r="L14" s="181" t="s">
        <v>140</v>
      </c>
      <c r="M14" s="181"/>
      <c r="N14" s="182">
        <v>61</v>
      </c>
      <c r="O14" s="183"/>
      <c r="Q14" s="181" t="s">
        <v>141</v>
      </c>
      <c r="R14" s="181"/>
      <c r="S14" s="182"/>
      <c r="T14" s="183"/>
    </row>
    <row r="15" spans="2:20" hidden="1" x14ac:dyDescent="0.15">
      <c r="B15" s="181" t="s">
        <v>145</v>
      </c>
      <c r="C15" s="181"/>
      <c r="D15" s="182">
        <v>5000</v>
      </c>
      <c r="E15" s="183"/>
      <c r="G15" s="181" t="s">
        <v>146</v>
      </c>
      <c r="H15" s="181"/>
      <c r="I15" s="182"/>
      <c r="J15" s="183"/>
      <c r="L15" s="181" t="s">
        <v>142</v>
      </c>
      <c r="M15" s="181"/>
      <c r="N15" s="182" t="s">
        <v>143</v>
      </c>
      <c r="O15" s="183"/>
      <c r="Q15" s="181" t="s">
        <v>144</v>
      </c>
      <c r="R15" s="181"/>
      <c r="S15" s="161"/>
      <c r="T15" s="162"/>
    </row>
    <row r="16" spans="2:20" ht="11.25" hidden="1" thickBot="1" x14ac:dyDescent="0.2">
      <c r="B16" s="178" t="s">
        <v>147</v>
      </c>
      <c r="C16" s="178"/>
      <c r="D16" s="179" t="s">
        <v>148</v>
      </c>
      <c r="E16" s="180"/>
      <c r="G16" s="178" t="s">
        <v>149</v>
      </c>
      <c r="H16" s="178"/>
      <c r="I16" s="179"/>
      <c r="J16" s="180"/>
      <c r="L16" s="181" t="s">
        <v>145</v>
      </c>
      <c r="M16" s="181"/>
      <c r="N16" s="182">
        <v>5000</v>
      </c>
      <c r="O16" s="183"/>
      <c r="Q16" s="181" t="s">
        <v>146</v>
      </c>
      <c r="R16" s="181"/>
      <c r="S16" s="182"/>
      <c r="T16" s="183"/>
    </row>
    <row r="17" spans="2:25" ht="12" hidden="1" thickTop="1" thickBot="1" x14ac:dyDescent="0.2">
      <c r="L17" s="178" t="s">
        <v>147</v>
      </c>
      <c r="M17" s="178"/>
      <c r="N17" s="179" t="s">
        <v>148</v>
      </c>
      <c r="O17" s="180"/>
      <c r="Q17" s="178" t="s">
        <v>149</v>
      </c>
      <c r="R17" s="178"/>
      <c r="S17" s="179"/>
      <c r="T17" s="180"/>
    </row>
    <row r="19" spans="2:25" x14ac:dyDescent="0.15">
      <c r="B19" s="163" t="s">
        <v>150</v>
      </c>
    </row>
    <row r="21" spans="2:25" ht="11.25" thickBot="1" x14ac:dyDescent="0.2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 x14ac:dyDescent="0.2">
      <c r="B22" s="177" t="s">
        <v>195</v>
      </c>
      <c r="C22" s="177"/>
      <c r="D22" s="177"/>
      <c r="E22" s="177"/>
      <c r="G22" s="177" t="s">
        <v>196</v>
      </c>
      <c r="H22" s="177"/>
      <c r="I22" s="177"/>
      <c r="J22" s="177"/>
      <c r="L22" s="174" t="s">
        <v>196</v>
      </c>
      <c r="M22" s="174"/>
      <c r="N22" s="174"/>
      <c r="O22" s="174"/>
      <c r="Q22" s="177" t="s">
        <v>195</v>
      </c>
      <c r="R22" s="177"/>
      <c r="S22" s="177"/>
      <c r="T22" s="177"/>
      <c r="V22" s="174" t="s">
        <v>196</v>
      </c>
      <c r="W22" s="174"/>
      <c r="X22" s="174"/>
      <c r="Y22" s="174"/>
    </row>
    <row r="23" spans="2:25" ht="12" thickTop="1" x14ac:dyDescent="0.15">
      <c r="B23" s="168" t="s">
        <v>122</v>
      </c>
      <c r="C23" s="168"/>
      <c r="D23" s="175">
        <f ca="1">TODAY()</f>
        <v>43167</v>
      </c>
      <c r="E23" s="176"/>
      <c r="G23" s="168" t="s">
        <v>122</v>
      </c>
      <c r="H23" s="168"/>
      <c r="I23" s="175">
        <f ca="1">TODAY()</f>
        <v>43167</v>
      </c>
      <c r="J23" s="176"/>
      <c r="L23" s="168" t="s">
        <v>122</v>
      </c>
      <c r="M23" s="168"/>
      <c r="N23" s="175">
        <f ca="1">TODAY()</f>
        <v>43167</v>
      </c>
      <c r="O23" s="176"/>
      <c r="Q23" s="168" t="s">
        <v>122</v>
      </c>
      <c r="R23" s="168"/>
      <c r="S23" s="175">
        <f ca="1">TODAY()-1</f>
        <v>43166</v>
      </c>
      <c r="T23" s="176"/>
      <c r="V23" s="168" t="s">
        <v>122</v>
      </c>
      <c r="W23" s="168"/>
      <c r="X23" s="175">
        <f ca="1">TODAY()-1</f>
        <v>43166</v>
      </c>
      <c r="Y23" s="176"/>
    </row>
    <row r="24" spans="2:25" ht="11.25" x14ac:dyDescent="0.15">
      <c r="B24" s="168" t="s">
        <v>124</v>
      </c>
      <c r="C24" s="168"/>
      <c r="D24" s="169" t="s">
        <v>190</v>
      </c>
      <c r="E24" s="170"/>
      <c r="G24" s="168" t="s">
        <v>124</v>
      </c>
      <c r="H24" s="168"/>
      <c r="I24" s="169" t="s">
        <v>190</v>
      </c>
      <c r="J24" s="170"/>
      <c r="L24" s="168" t="s">
        <v>124</v>
      </c>
      <c r="M24" s="168"/>
      <c r="N24" s="169" t="s">
        <v>36</v>
      </c>
      <c r="O24" s="170"/>
      <c r="Q24" s="168" t="s">
        <v>124</v>
      </c>
      <c r="R24" s="168"/>
      <c r="S24" s="169" t="s">
        <v>36</v>
      </c>
      <c r="T24" s="170"/>
      <c r="V24" s="168" t="s">
        <v>124</v>
      </c>
      <c r="W24" s="168"/>
      <c r="X24" s="169" t="s">
        <v>36</v>
      </c>
      <c r="Y24" s="170"/>
    </row>
    <row r="25" spans="2:25" ht="11.25" x14ac:dyDescent="0.15">
      <c r="B25" s="168" t="s">
        <v>127</v>
      </c>
      <c r="C25" s="168"/>
      <c r="D25" s="169" t="s">
        <v>5</v>
      </c>
      <c r="E25" s="170"/>
      <c r="G25" s="168" t="s">
        <v>127</v>
      </c>
      <c r="H25" s="168"/>
      <c r="I25" s="169" t="s">
        <v>5</v>
      </c>
      <c r="J25" s="170"/>
      <c r="L25" s="168" t="s">
        <v>127</v>
      </c>
      <c r="M25" s="168"/>
      <c r="N25" s="169" t="s">
        <v>203</v>
      </c>
      <c r="O25" s="170"/>
      <c r="Q25" s="168" t="s">
        <v>127</v>
      </c>
      <c r="R25" s="168"/>
      <c r="S25" s="169" t="s">
        <v>194</v>
      </c>
      <c r="T25" s="170"/>
      <c r="V25" s="168" t="s">
        <v>127</v>
      </c>
      <c r="W25" s="168"/>
      <c r="X25" s="169" t="s">
        <v>194</v>
      </c>
      <c r="Y25" s="170"/>
    </row>
    <row r="26" spans="2:25" ht="11.25" x14ac:dyDescent="0.15">
      <c r="B26" s="168" t="s">
        <v>129</v>
      </c>
      <c r="C26" s="168"/>
      <c r="D26" s="169">
        <f>D31*D33</f>
        <v>388800</v>
      </c>
      <c r="E26" s="170"/>
      <c r="G26" s="168" t="s">
        <v>179</v>
      </c>
      <c r="H26" s="168"/>
      <c r="I26" s="169">
        <f>I31*I33</f>
        <v>271800</v>
      </c>
      <c r="J26" s="170"/>
      <c r="L26" s="168" t="s">
        <v>129</v>
      </c>
      <c r="M26" s="168"/>
      <c r="N26" s="169">
        <f>N31*N33</f>
        <v>275000</v>
      </c>
      <c r="O26" s="170"/>
      <c r="Q26" s="168" t="s">
        <v>129</v>
      </c>
      <c r="R26" s="168"/>
      <c r="S26" s="169">
        <f>S31*S33</f>
        <v>235799.99999999997</v>
      </c>
      <c r="T26" s="170"/>
      <c r="V26" s="168" t="s">
        <v>129</v>
      </c>
      <c r="W26" s="168"/>
      <c r="X26" s="169">
        <f>X31*X33</f>
        <v>235799.99999999997</v>
      </c>
      <c r="Y26" s="170"/>
    </row>
    <row r="27" spans="2:25" ht="11.25" x14ac:dyDescent="0.15">
      <c r="B27" s="168" t="s">
        <v>131</v>
      </c>
      <c r="C27" s="168"/>
      <c r="D27" s="169" t="s">
        <v>132</v>
      </c>
      <c r="E27" s="170"/>
      <c r="G27" s="168" t="s">
        <v>131</v>
      </c>
      <c r="H27" s="168"/>
      <c r="I27" s="169" t="s">
        <v>207</v>
      </c>
      <c r="J27" s="170"/>
      <c r="L27" s="168" t="s">
        <v>131</v>
      </c>
      <c r="M27" s="168"/>
      <c r="N27" s="169" t="s">
        <v>197</v>
      </c>
      <c r="O27" s="170"/>
      <c r="Q27" s="168" t="s">
        <v>131</v>
      </c>
      <c r="R27" s="168"/>
      <c r="S27" s="169" t="s">
        <v>198</v>
      </c>
      <c r="T27" s="170"/>
      <c r="V27" s="168" t="s">
        <v>131</v>
      </c>
      <c r="W27" s="168"/>
      <c r="X27" s="169" t="s">
        <v>197</v>
      </c>
      <c r="Y27" s="170"/>
    </row>
    <row r="28" spans="2:25" ht="11.25" x14ac:dyDescent="0.15">
      <c r="B28" s="168" t="s">
        <v>134</v>
      </c>
      <c r="C28" s="168"/>
      <c r="D28" s="175">
        <v>43182</v>
      </c>
      <c r="E28" s="170"/>
      <c r="G28" s="168" t="s">
        <v>134</v>
      </c>
      <c r="H28" s="168"/>
      <c r="I28" s="175">
        <v>43182</v>
      </c>
      <c r="J28" s="170"/>
      <c r="L28" s="168" t="s">
        <v>134</v>
      </c>
      <c r="M28" s="168"/>
      <c r="N28" s="175">
        <v>43219</v>
      </c>
      <c r="O28" s="170"/>
      <c r="Q28" s="168" t="s">
        <v>134</v>
      </c>
      <c r="R28" s="168"/>
      <c r="S28" s="175">
        <v>43201</v>
      </c>
      <c r="T28" s="170"/>
      <c r="V28" s="168" t="s">
        <v>134</v>
      </c>
      <c r="W28" s="168"/>
      <c r="X28" s="175">
        <v>43201</v>
      </c>
      <c r="Y28" s="170"/>
    </row>
    <row r="29" spans="2:25" ht="11.25" x14ac:dyDescent="0.15">
      <c r="B29" s="168" t="s">
        <v>136</v>
      </c>
      <c r="C29" s="168"/>
      <c r="D29" s="169">
        <v>3856</v>
      </c>
      <c r="E29" s="170"/>
      <c r="G29" s="168" t="s">
        <v>136</v>
      </c>
      <c r="H29" s="168"/>
      <c r="I29" s="169">
        <v>3856</v>
      </c>
      <c r="J29" s="170"/>
      <c r="L29" s="168" t="s">
        <v>136</v>
      </c>
      <c r="M29" s="168"/>
      <c r="N29" s="169">
        <v>3760</v>
      </c>
      <c r="O29" s="170"/>
      <c r="Q29" s="168" t="s">
        <v>136</v>
      </c>
      <c r="R29" s="168"/>
      <c r="S29" s="169">
        <v>524</v>
      </c>
      <c r="T29" s="170"/>
      <c r="V29" s="168" t="s">
        <v>136</v>
      </c>
      <c r="W29" s="168"/>
      <c r="X29" s="169">
        <v>524</v>
      </c>
      <c r="Y29" s="170"/>
    </row>
    <row r="30" spans="2:25" ht="11.25" x14ac:dyDescent="0.15">
      <c r="B30" s="168" t="s">
        <v>138</v>
      </c>
      <c r="C30" s="168"/>
      <c r="D30" s="169">
        <v>3800</v>
      </c>
      <c r="E30" s="170"/>
      <c r="G30" s="168" t="s">
        <v>138</v>
      </c>
      <c r="H30" s="168"/>
      <c r="I30" s="169">
        <v>3930</v>
      </c>
      <c r="J30" s="170"/>
      <c r="L30" s="168" t="s">
        <v>138</v>
      </c>
      <c r="M30" s="168"/>
      <c r="N30" s="169">
        <v>3700</v>
      </c>
      <c r="O30" s="170"/>
      <c r="Q30" s="168" t="s">
        <v>138</v>
      </c>
      <c r="R30" s="168"/>
      <c r="S30" s="169">
        <v>524</v>
      </c>
      <c r="T30" s="170"/>
      <c r="V30" s="168" t="s">
        <v>138</v>
      </c>
      <c r="W30" s="168"/>
      <c r="X30" s="169">
        <v>524</v>
      </c>
      <c r="Y30" s="170"/>
    </row>
    <row r="31" spans="2:25" ht="11.25" x14ac:dyDescent="0.15">
      <c r="B31" s="168" t="s">
        <v>140</v>
      </c>
      <c r="C31" s="168"/>
      <c r="D31" s="169">
        <v>38.880000000000003</v>
      </c>
      <c r="E31" s="170"/>
      <c r="G31" s="168" t="s">
        <v>208</v>
      </c>
      <c r="H31" s="168"/>
      <c r="I31" s="169">
        <v>27.18</v>
      </c>
      <c r="J31" s="170"/>
      <c r="L31" s="168" t="s">
        <v>140</v>
      </c>
      <c r="M31" s="168"/>
      <c r="N31" s="169">
        <v>55</v>
      </c>
      <c r="O31" s="170"/>
      <c r="Q31" s="168" t="s">
        <v>140</v>
      </c>
      <c r="R31" s="168"/>
      <c r="S31" s="169">
        <v>23.58</v>
      </c>
      <c r="T31" s="170"/>
      <c r="V31" s="168" t="s">
        <v>140</v>
      </c>
      <c r="W31" s="168"/>
      <c r="X31" s="169">
        <v>23.58</v>
      </c>
      <c r="Y31" s="170"/>
    </row>
    <row r="32" spans="2:25" ht="11.25" x14ac:dyDescent="0.15">
      <c r="B32" s="168" t="s">
        <v>142</v>
      </c>
      <c r="C32" s="168"/>
      <c r="D32" s="169" t="s">
        <v>206</v>
      </c>
      <c r="E32" s="170"/>
      <c r="G32" s="168" t="s">
        <v>209</v>
      </c>
      <c r="H32" s="168"/>
      <c r="I32" s="169" t="s">
        <v>206</v>
      </c>
      <c r="J32" s="170"/>
      <c r="L32" s="168" t="s">
        <v>142</v>
      </c>
      <c r="M32" s="168"/>
      <c r="N32" s="169" t="s">
        <v>202</v>
      </c>
      <c r="O32" s="170"/>
      <c r="Q32" s="168" t="s">
        <v>142</v>
      </c>
      <c r="R32" s="168"/>
      <c r="S32" s="169" t="s">
        <v>199</v>
      </c>
      <c r="T32" s="170"/>
      <c r="V32" s="168" t="s">
        <v>142</v>
      </c>
      <c r="W32" s="168"/>
      <c r="X32" s="169" t="s">
        <v>199</v>
      </c>
      <c r="Y32" s="170"/>
    </row>
    <row r="33" spans="2:25" ht="11.25" x14ac:dyDescent="0.15">
      <c r="B33" s="168" t="s">
        <v>145</v>
      </c>
      <c r="C33" s="168"/>
      <c r="D33" s="169">
        <v>10000</v>
      </c>
      <c r="E33" s="170"/>
      <c r="G33" s="168" t="s">
        <v>210</v>
      </c>
      <c r="H33" s="168"/>
      <c r="I33" s="169">
        <v>10000</v>
      </c>
      <c r="J33" s="170"/>
      <c r="L33" s="168" t="s">
        <v>145</v>
      </c>
      <c r="M33" s="168"/>
      <c r="N33" s="169">
        <v>5000</v>
      </c>
      <c r="O33" s="170"/>
      <c r="Q33" s="168" t="s">
        <v>145</v>
      </c>
      <c r="R33" s="168"/>
      <c r="S33" s="169">
        <v>10000</v>
      </c>
      <c r="T33" s="170"/>
      <c r="V33" s="168" t="s">
        <v>145</v>
      </c>
      <c r="W33" s="168"/>
      <c r="X33" s="169">
        <v>10000</v>
      </c>
      <c r="Y33" s="170"/>
    </row>
    <row r="34" spans="2:25" ht="12" thickBot="1" x14ac:dyDescent="0.2">
      <c r="B34" s="171" t="s">
        <v>147</v>
      </c>
      <c r="C34" s="171"/>
      <c r="D34" s="172" t="s">
        <v>148</v>
      </c>
      <c r="E34" s="173"/>
      <c r="G34" s="171" t="s">
        <v>147</v>
      </c>
      <c r="H34" s="171"/>
      <c r="I34" s="172" t="s">
        <v>148</v>
      </c>
      <c r="J34" s="173"/>
      <c r="L34" s="171" t="s">
        <v>147</v>
      </c>
      <c r="M34" s="171"/>
      <c r="N34" s="172" t="s">
        <v>148</v>
      </c>
      <c r="O34" s="173"/>
      <c r="Q34" s="171" t="s">
        <v>147</v>
      </c>
      <c r="R34" s="171"/>
      <c r="S34" s="172" t="s">
        <v>148</v>
      </c>
      <c r="T34" s="173"/>
      <c r="V34" s="171" t="s">
        <v>147</v>
      </c>
      <c r="W34" s="171"/>
      <c r="X34" s="172" t="s">
        <v>148</v>
      </c>
      <c r="Y34" s="173"/>
    </row>
    <row r="35" spans="2:25" ht="11.25" thickTop="1" x14ac:dyDescent="0.15"/>
    <row r="36" spans="2:25" ht="12" thickBot="1" x14ac:dyDescent="0.2">
      <c r="B36" s="177" t="s">
        <v>121</v>
      </c>
      <c r="C36" s="177"/>
      <c r="D36" s="177"/>
      <c r="E36" s="177"/>
    </row>
    <row r="37" spans="2:25" ht="12" thickTop="1" x14ac:dyDescent="0.15">
      <c r="B37" s="168" t="s">
        <v>122</v>
      </c>
      <c r="C37" s="168"/>
      <c r="D37" s="175">
        <f ca="1">TODAY()</f>
        <v>43167</v>
      </c>
      <c r="E37" s="176"/>
    </row>
    <row r="38" spans="2:25" ht="11.25" x14ac:dyDescent="0.15">
      <c r="B38" s="168" t="s">
        <v>124</v>
      </c>
      <c r="C38" s="168"/>
      <c r="D38" s="169" t="s">
        <v>190</v>
      </c>
      <c r="E38" s="170"/>
    </row>
    <row r="39" spans="2:25" ht="11.25" x14ac:dyDescent="0.15">
      <c r="B39" s="168" t="s">
        <v>127</v>
      </c>
      <c r="C39" s="168"/>
      <c r="D39" s="169" t="s">
        <v>217</v>
      </c>
      <c r="E39" s="170"/>
    </row>
    <row r="40" spans="2:25" ht="11.25" x14ac:dyDescent="0.15">
      <c r="B40" s="168" t="s">
        <v>179</v>
      </c>
      <c r="C40" s="168"/>
      <c r="D40" s="169">
        <f>D45*D47</f>
        <v>210000</v>
      </c>
      <c r="E40" s="170"/>
    </row>
    <row r="41" spans="2:25" ht="11.25" x14ac:dyDescent="0.15">
      <c r="B41" s="168" t="s">
        <v>131</v>
      </c>
      <c r="C41" s="168"/>
      <c r="D41" s="169" t="s">
        <v>197</v>
      </c>
      <c r="E41" s="170"/>
    </row>
    <row r="42" spans="2:25" ht="11.25" x14ac:dyDescent="0.15">
      <c r="B42" s="168" t="s">
        <v>134</v>
      </c>
      <c r="C42" s="168"/>
      <c r="D42" s="175">
        <v>43196</v>
      </c>
      <c r="E42" s="170"/>
    </row>
    <row r="43" spans="2:25" ht="11.25" x14ac:dyDescent="0.15">
      <c r="B43" s="168" t="s">
        <v>136</v>
      </c>
      <c r="C43" s="168"/>
      <c r="D43" s="169">
        <v>14280</v>
      </c>
      <c r="E43" s="170"/>
    </row>
    <row r="44" spans="2:25" ht="11.25" x14ac:dyDescent="0.15">
      <c r="B44" s="168" t="s">
        <v>138</v>
      </c>
      <c r="C44" s="168"/>
      <c r="D44" s="169">
        <v>13750</v>
      </c>
      <c r="E44" s="170"/>
    </row>
    <row r="45" spans="2:25" ht="11.25" x14ac:dyDescent="0.15">
      <c r="B45" s="168" t="s">
        <v>208</v>
      </c>
      <c r="C45" s="168"/>
      <c r="D45" s="169">
        <v>42</v>
      </c>
      <c r="E45" s="170"/>
    </row>
    <row r="46" spans="2:25" ht="11.25" x14ac:dyDescent="0.15">
      <c r="B46" s="168" t="s">
        <v>209</v>
      </c>
      <c r="C46" s="168"/>
      <c r="D46" s="169" t="s">
        <v>216</v>
      </c>
      <c r="E46" s="170"/>
    </row>
    <row r="47" spans="2:25" ht="11.25" x14ac:dyDescent="0.15">
      <c r="B47" s="168" t="s">
        <v>210</v>
      </c>
      <c r="C47" s="168"/>
      <c r="D47" s="169">
        <v>5000</v>
      </c>
      <c r="E47" s="170"/>
    </row>
    <row r="48" spans="2:25" ht="12" thickBot="1" x14ac:dyDescent="0.2">
      <c r="B48" s="171" t="s">
        <v>147</v>
      </c>
      <c r="C48" s="171"/>
      <c r="D48" s="172" t="s">
        <v>148</v>
      </c>
      <c r="E48" s="173"/>
    </row>
    <row r="49" ht="11.25" thickTop="1" x14ac:dyDescent="0.15"/>
  </sheetData>
  <mergeCells count="25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6"/>
  <sheetViews>
    <sheetView topLeftCell="F1" zoomScaleNormal="100" workbookViewId="0">
      <selection activeCell="K29" sqref="K29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9.125" style="6" customWidth="1"/>
    <col min="4" max="6" width="9" style="6"/>
    <col min="7" max="7" width="9.75" style="6" bestFit="1" customWidth="1"/>
    <col min="8" max="8" width="15" style="6" customWidth="1"/>
    <col min="9" max="10" width="22.625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9" t="s">
        <v>37</v>
      </c>
      <c r="C1" s="189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47" t="s">
        <v>201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7" ca="1" si="0">TODAY()</f>
        <v>43167</v>
      </c>
      <c r="F8" s="21">
        <f t="shared" ref="F8" ca="1" si="1">E8+H8</f>
        <v>43197</v>
      </c>
      <c r="G8" s="19">
        <v>3800</v>
      </c>
      <c r="H8" s="19">
        <v>30</v>
      </c>
      <c r="I8" s="22">
        <f t="shared" ref="I8:I11" si="2">H8/365</f>
        <v>8.2191780821917804E-2</v>
      </c>
      <c r="J8" s="22">
        <v>0</v>
      </c>
      <c r="K8" s="23">
        <v>0.3</v>
      </c>
      <c r="L8" s="24">
        <f>_xll.dnetGBlackScholesNGreeks("price",$Q8,$P8,$G8,$I8,$C$3,$J8,$K8,$C$4)*R8</f>
        <v>-127.05530263350033</v>
      </c>
      <c r="M8" s="25"/>
      <c r="N8" s="24">
        <f t="shared" ref="N8:N9" si="3">M8/10000*I8*P8</f>
        <v>0</v>
      </c>
      <c r="O8" s="24">
        <f t="shared" ref="O8:O9" si="4">IF(L8&lt;=0,ABS(L8)+N8,L8-N8)</f>
        <v>127.05530263350033</v>
      </c>
      <c r="P8" s="20">
        <f>RTD("wdf.rtq",,D8,"LastPrice")</f>
        <v>3794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>
        <f t="shared" ref="T8:T9" si="6">O8/P8</f>
        <v>3.3488482507511949E-2</v>
      </c>
      <c r="U8" s="24">
        <f>_xll.dnetGBlackScholesNGreeks("delta",$Q8,$P8,$G8,$I8,$C$3,$J8,$K8,$C$4)*R8</f>
        <v>-0.50898791970439561</v>
      </c>
      <c r="V8" s="24">
        <f>_xll.dnetGBlackScholesNGreeks("vega",$Q8,$P8,$G8,$I8,$C$3,$J8,$K8,$C$4)*R8</f>
        <v>-4.3308756065274565</v>
      </c>
    </row>
    <row r="9" spans="1:25" x14ac:dyDescent="0.15">
      <c r="A9" s="42"/>
      <c r="B9" s="13" t="s">
        <v>172</v>
      </c>
      <c r="C9" s="10" t="s">
        <v>185</v>
      </c>
      <c r="D9" s="10" t="s">
        <v>22</v>
      </c>
      <c r="E9" s="8">
        <f t="shared" ca="1" si="0"/>
        <v>43167</v>
      </c>
      <c r="F9" s="8">
        <f t="shared" ref="F9:F13" ca="1" si="7">E9+H9</f>
        <v>43199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>
        <f>_xll.dnetGBlackScholesNGreeks("price",$Q9,$P9,$G9,$I9,$C$3,$J9,$K9,$C$4)*R9</f>
        <v>1.0209659960206068</v>
      </c>
      <c r="M9" s="15"/>
      <c r="N9" s="13">
        <f t="shared" si="3"/>
        <v>0</v>
      </c>
      <c r="O9" s="13">
        <f t="shared" si="4"/>
        <v>1.0209659960206068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>
        <f t="shared" si="6"/>
        <v>1.0209659960206069E-2</v>
      </c>
      <c r="U9" s="13">
        <f>_xll.dnetGBlackScholesNGreeks("delta",$Q9,$P9,$G9,$I9,$C$3,$J9,$K9,$C$4)*R9</f>
        <v>0.32026444001047594</v>
      </c>
      <c r="V9" s="13">
        <f>_xll.dnetGBlackScholesNGreeks("vega",$Q9,$P9,$G9,$I9,$C$3,$J9,$K9,$C$4)*R9</f>
        <v>0.10577397020897372</v>
      </c>
    </row>
    <row r="10" spans="1:25" x14ac:dyDescent="0.15">
      <c r="A10" s="42"/>
      <c r="B10" s="13" t="s">
        <v>172</v>
      </c>
      <c r="C10" s="10" t="s">
        <v>161</v>
      </c>
      <c r="D10" s="10" t="s">
        <v>212</v>
      </c>
      <c r="E10" s="8">
        <f t="shared" ca="1" si="0"/>
        <v>43167</v>
      </c>
      <c r="F10" s="8">
        <f t="shared" ca="1" si="7"/>
        <v>43207</v>
      </c>
      <c r="G10" s="10">
        <v>100</v>
      </c>
      <c r="H10" s="10">
        <v>40</v>
      </c>
      <c r="I10" s="12">
        <f t="shared" si="2"/>
        <v>0.1095890410958904</v>
      </c>
      <c r="J10" s="12">
        <v>0</v>
      </c>
      <c r="K10" s="9">
        <v>0.25</v>
      </c>
      <c r="L10" s="13">
        <f>_xll.dnetGBlackScholesNGreeks("price",$Q10,$P10,$G10,$I10,$C$3,$J10,$K10,$C$4)*R10</f>
        <v>3.2935012398635095</v>
      </c>
      <c r="M10" s="15"/>
      <c r="N10" s="13">
        <f t="shared" ref="N10" si="8">M10/10000*I10*P10</f>
        <v>0</v>
      </c>
      <c r="O10" s="13">
        <f t="shared" ref="O10" si="9">IF(L10&lt;=0,ABS(L10)+N10,L10-N10)</f>
        <v>3.2935012398635095</v>
      </c>
      <c r="P10" s="11">
        <v>100</v>
      </c>
      <c r="Q10" s="10" t="s">
        <v>24</v>
      </c>
      <c r="R10" s="10">
        <f t="shared" ref="R10" si="10">IF(S10="中金买入",1,-1)</f>
        <v>1</v>
      </c>
      <c r="S10" s="10" t="s">
        <v>151</v>
      </c>
      <c r="T10" s="14">
        <f t="shared" ref="T10" si="11">O10/P10</f>
        <v>3.2935012398635097E-2</v>
      </c>
      <c r="U10" s="13">
        <f>_xll.dnetGBlackScholesNGreeks("delta",$Q10,$P10,$G10,$I10,$C$3,$J10,$K10,$C$4)*R10</f>
        <v>0.51537280387350393</v>
      </c>
      <c r="V10" s="13">
        <f>_xll.dnetGBlackScholesNGreeks("vega",$Q10,$P10,$G10,$I10,$C$3,$J10,$K10,$C$4)*R10</f>
        <v>0.1316648126505342</v>
      </c>
    </row>
    <row r="11" spans="1:25" ht="10.5" customHeight="1" x14ac:dyDescent="0.15">
      <c r="A11" s="42"/>
      <c r="B11" s="13" t="s">
        <v>172</v>
      </c>
      <c r="C11" s="10" t="s">
        <v>161</v>
      </c>
      <c r="D11" s="10" t="s">
        <v>213</v>
      </c>
      <c r="E11" s="8">
        <f t="shared" ca="1" si="0"/>
        <v>43167</v>
      </c>
      <c r="F11" s="8">
        <f t="shared" ca="1" si="7"/>
        <v>43227</v>
      </c>
      <c r="G11" s="10">
        <v>50000</v>
      </c>
      <c r="H11" s="10">
        <v>60</v>
      </c>
      <c r="I11" s="12">
        <f t="shared" si="2"/>
        <v>0.16438356164383561</v>
      </c>
      <c r="J11" s="12">
        <v>0</v>
      </c>
      <c r="K11" s="9">
        <v>0.14499999999999999</v>
      </c>
      <c r="L11" s="13">
        <f>_xll.dnetGBlackScholesNGreeks("price",$Q11,$P11,$G11,$I11,$C$3,$J11,$K11,$C$4)*R11</f>
        <v>446.22842572467198</v>
      </c>
      <c r="M11" s="15">
        <v>30</v>
      </c>
      <c r="N11" s="13">
        <f t="shared" ref="N11" si="12">M11/10000*I11*P11</f>
        <v>25.653698630136986</v>
      </c>
      <c r="O11" s="13">
        <f t="shared" ref="O11" si="13">IF(L11&lt;=0,ABS(L11)+N11,L11-N11)</f>
        <v>420.57472709453498</v>
      </c>
      <c r="P11" s="11">
        <f>RTD("wdf.rtq",,D11,"LastPrice")</f>
        <v>52020</v>
      </c>
      <c r="Q11" s="10" t="s">
        <v>85</v>
      </c>
      <c r="R11" s="10">
        <f t="shared" ref="R11" si="14">IF(S11="中金买入",1,-1)</f>
        <v>1</v>
      </c>
      <c r="S11" s="10" t="s">
        <v>151</v>
      </c>
      <c r="T11" s="14">
        <f t="shared" ref="T11" si="15">O11/P11</f>
        <v>8.0848659572190507E-3</v>
      </c>
      <c r="U11" s="13">
        <f>_xll.dnetGBlackScholesNGreeks("delta",$Q11,$P11,$G11,$I11,$C$3,$J11,$K11,$C$4)*R11</f>
        <v>-0.24021265080591547</v>
      </c>
      <c r="V11" s="13">
        <f>_xll.dnetGBlackScholesNGreeks("vega",$Q11,$P11,$G11,$I11,$C$3,$J11,$K11,$C$4)*R11</f>
        <v>65.439849659952415</v>
      </c>
    </row>
    <row r="12" spans="1:25" x14ac:dyDescent="0.15">
      <c r="A12" s="42"/>
      <c r="B12" s="13" t="s">
        <v>172</v>
      </c>
      <c r="C12" s="10" t="s">
        <v>161</v>
      </c>
      <c r="D12" s="10" t="s">
        <v>216</v>
      </c>
      <c r="E12" s="8">
        <f t="shared" ca="1" si="0"/>
        <v>43167</v>
      </c>
      <c r="F12" s="8">
        <f t="shared" ca="1" si="7"/>
        <v>43197</v>
      </c>
      <c r="G12" s="10">
        <v>13500</v>
      </c>
      <c r="H12" s="10">
        <v>30</v>
      </c>
      <c r="I12" s="12">
        <f t="shared" ref="I12:I13" si="16">H12/365</f>
        <v>8.2191780821917804E-2</v>
      </c>
      <c r="J12" s="12">
        <v>0</v>
      </c>
      <c r="K12" s="9">
        <v>0.16</v>
      </c>
      <c r="L12" s="13">
        <f>_xll.dnetGBlackScholesNGreeks("price",$Q12,$P12,$G12,$I12,$C$3,$J12,$K12,$C$4)*R12</f>
        <v>-39.565415594916203</v>
      </c>
      <c r="M12" s="15">
        <v>80</v>
      </c>
      <c r="N12" s="13">
        <f t="shared" ref="N12:N13" si="17">M12/10000*I12*P12</f>
        <v>9.3567123287671237</v>
      </c>
      <c r="O12" s="13">
        <f t="shared" ref="O12:O13" si="18">IF(L12&lt;=0,ABS(L12)+N12,L12-N12)</f>
        <v>48.922127923683327</v>
      </c>
      <c r="P12" s="11">
        <f>RTD("wdf.rtq",,D12,"LastPrice")</f>
        <v>14230</v>
      </c>
      <c r="Q12" s="10" t="s">
        <v>85</v>
      </c>
      <c r="R12" s="10">
        <f t="shared" ref="R12:R13" si="19">IF(S12="中金买入",1,-1)</f>
        <v>-1</v>
      </c>
      <c r="S12" s="10" t="s">
        <v>20</v>
      </c>
      <c r="T12" s="14">
        <f t="shared" ref="T12:T13" si="20">O12/P12</f>
        <v>3.4379569869067692E-3</v>
      </c>
      <c r="U12" s="13">
        <f>_xll.dnetGBlackScholesNGreeks("delta",$Q12,$P12,$G12,$I12,$C$3,$J12,$K12,$C$4)*R12</f>
        <v>0.12059949488048005</v>
      </c>
      <c r="V12" s="13">
        <f>_xll.dnetGBlackScholesNGreeks("vega",$Q12,$P12,$G12,$I12,$C$3,$J12,$K12,$C$4)*R12</f>
        <v>-8.1737850547297057</v>
      </c>
    </row>
    <row r="13" spans="1:25" ht="10.5" customHeight="1" x14ac:dyDescent="0.15">
      <c r="A13" s="42"/>
      <c r="B13" s="13" t="s">
        <v>172</v>
      </c>
      <c r="C13" s="10" t="s">
        <v>161</v>
      </c>
      <c r="D13" s="10" t="s">
        <v>216</v>
      </c>
      <c r="E13" s="8">
        <f t="shared" ca="1" si="0"/>
        <v>43167</v>
      </c>
      <c r="F13" s="8">
        <f t="shared" ca="1" si="7"/>
        <v>43197</v>
      </c>
      <c r="G13" s="10">
        <v>13750</v>
      </c>
      <c r="H13" s="10">
        <v>30</v>
      </c>
      <c r="I13" s="12">
        <f t="shared" si="16"/>
        <v>8.2191780821917804E-2</v>
      </c>
      <c r="J13" s="12">
        <v>0</v>
      </c>
      <c r="K13" s="9">
        <v>0.16</v>
      </c>
      <c r="L13" s="13">
        <f>_xll.dnetGBlackScholesNGreeks("price",$Q13,$P13,$G13,$I13,$C$3,$J13,$K13,$C$4)*R13</f>
        <v>-84.293360652541651</v>
      </c>
      <c r="M13" s="15">
        <v>80</v>
      </c>
      <c r="N13" s="13">
        <f t="shared" si="17"/>
        <v>9.3567123287671237</v>
      </c>
      <c r="O13" s="13">
        <f t="shared" si="18"/>
        <v>93.650072981308767</v>
      </c>
      <c r="P13" s="11">
        <f>RTD("wdf.rtq",,D13,"LastPrice")</f>
        <v>14230</v>
      </c>
      <c r="Q13" s="10" t="s">
        <v>85</v>
      </c>
      <c r="R13" s="10">
        <f t="shared" si="19"/>
        <v>-1</v>
      </c>
      <c r="S13" s="10" t="s">
        <v>20</v>
      </c>
      <c r="T13" s="14">
        <f t="shared" si="20"/>
        <v>6.581171678236737E-3</v>
      </c>
      <c r="U13" s="13">
        <f>_xll.dnetGBlackScholesNGreeks("delta",$Q13,$P13,$G13,$I13,$C$3,$J13,$K13,$C$4)*R13</f>
        <v>0.21999521532052313</v>
      </c>
      <c r="V13" s="13">
        <f>_xll.dnetGBlackScholesNGreeks("vega",$Q13,$P13,$G13,$I13,$C$3,$J13,$K13,$C$4)*R13</f>
        <v>-12.060098566770648</v>
      </c>
    </row>
    <row r="14" spans="1:25" x14ac:dyDescent="0.15">
      <c r="A14" s="42"/>
      <c r="B14" s="13" t="s">
        <v>172</v>
      </c>
      <c r="C14" s="10" t="s">
        <v>161</v>
      </c>
      <c r="D14" s="10" t="s">
        <v>216</v>
      </c>
      <c r="E14" s="8">
        <f t="shared" ca="1" si="0"/>
        <v>43167</v>
      </c>
      <c r="F14" s="8">
        <f t="shared" ref="F14:F15" ca="1" si="21">E14+H14</f>
        <v>43197</v>
      </c>
      <c r="G14" s="10">
        <v>13500</v>
      </c>
      <c r="H14" s="10">
        <v>30</v>
      </c>
      <c r="I14" s="12">
        <f t="shared" ref="I14:I15" si="22">H14/365</f>
        <v>8.2191780821917804E-2</v>
      </c>
      <c r="J14" s="12">
        <v>0</v>
      </c>
      <c r="K14" s="9">
        <v>0.12</v>
      </c>
      <c r="L14" s="13">
        <f>_xll.dnetGBlackScholesNGreeks("price",$Q14,$P14,$G14,$I14,$C$3,$J14,$K14,$C$4)*R14</f>
        <v>13.000410375868341</v>
      </c>
      <c r="M14" s="15">
        <v>40</v>
      </c>
      <c r="N14" s="13">
        <f t="shared" ref="N14:N15" si="23">M14/10000*I14*P14</f>
        <v>4.6783561643835618</v>
      </c>
      <c r="O14" s="13">
        <f t="shared" ref="O14:O15" si="24">IF(L14&lt;=0,ABS(L14)+N14,L14-N14)</f>
        <v>8.3220542114847795</v>
      </c>
      <c r="P14" s="11">
        <f>RTD("wdf.rtq",,D14,"LastPrice")</f>
        <v>14230</v>
      </c>
      <c r="Q14" s="10" t="s">
        <v>85</v>
      </c>
      <c r="R14" s="10">
        <f t="shared" ref="R14:R15" si="25">IF(S14="中金买入",1,-1)</f>
        <v>1</v>
      </c>
      <c r="S14" s="10" t="s">
        <v>151</v>
      </c>
      <c r="T14" s="14">
        <f t="shared" ref="T14:T15" si="26">O14/P14</f>
        <v>5.8482461078599997E-4</v>
      </c>
      <c r="U14" s="13">
        <f>_xll.dnetGBlackScholesNGreeks("delta",$Q14,$P14,$G14,$I14,$C$3,$J14,$K14,$C$4)*R14</f>
        <v>-6.0715561500046533E-2</v>
      </c>
      <c r="V14" s="13">
        <f>_xll.dnetGBlackScholesNGreeks("vega",$Q14,$P14,$G14,$I14,$C$3,$J14,$K14,$C$4)*R14</f>
        <v>4.8946944597190623</v>
      </c>
    </row>
    <row r="15" spans="1:25" ht="10.5" customHeight="1" x14ac:dyDescent="0.15">
      <c r="A15" s="42"/>
      <c r="B15" s="13" t="s">
        <v>172</v>
      </c>
      <c r="C15" s="10" t="s">
        <v>161</v>
      </c>
      <c r="D15" s="10" t="s">
        <v>216</v>
      </c>
      <c r="E15" s="8">
        <f t="shared" ca="1" si="0"/>
        <v>43167</v>
      </c>
      <c r="F15" s="8">
        <f t="shared" ca="1" si="21"/>
        <v>43197</v>
      </c>
      <c r="G15" s="10">
        <v>13750</v>
      </c>
      <c r="H15" s="10">
        <v>30</v>
      </c>
      <c r="I15" s="12">
        <f t="shared" si="22"/>
        <v>8.2191780821917804E-2</v>
      </c>
      <c r="J15" s="12">
        <v>0</v>
      </c>
      <c r="K15" s="9">
        <v>0.12</v>
      </c>
      <c r="L15" s="13">
        <f>_xll.dnetGBlackScholesNGreeks("price",$Q15,$P15,$G15,$I15,$C$3,$J15,$K15,$C$4)*R15</f>
        <v>305.54700484487512</v>
      </c>
      <c r="M15" s="15">
        <v>40</v>
      </c>
      <c r="N15" s="13">
        <f t="shared" si="23"/>
        <v>4.4538082191780823</v>
      </c>
      <c r="O15" s="13">
        <f t="shared" si="24"/>
        <v>301.09319662569703</v>
      </c>
      <c r="P15" s="11">
        <f>14260*0.95</f>
        <v>13547</v>
      </c>
      <c r="Q15" s="10" t="s">
        <v>85</v>
      </c>
      <c r="R15" s="10">
        <f t="shared" si="25"/>
        <v>1</v>
      </c>
      <c r="S15" s="10" t="s">
        <v>151</v>
      </c>
      <c r="T15" s="14">
        <f t="shared" si="26"/>
        <v>2.2225820965947961E-2</v>
      </c>
      <c r="U15" s="13">
        <f>_xll.dnetGBlackScholesNGreeks("delta",$Q15,$P15,$G15,$I15,$C$3,$J15,$K15,$C$4)*R15</f>
        <v>-0.65989347222057404</v>
      </c>
      <c r="V15" s="13">
        <f>_xll.dnetGBlackScholesNGreeks("vega",$Q15,$P15,$G15,$I15,$C$3,$J15,$K15,$C$4)*R15</f>
        <v>14.182883078557097</v>
      </c>
    </row>
    <row r="16" spans="1:25" ht="10.5" customHeight="1" x14ac:dyDescent="0.15">
      <c r="A16" s="42"/>
      <c r="B16" s="13" t="s">
        <v>172</v>
      </c>
      <c r="C16" s="10" t="s">
        <v>161</v>
      </c>
      <c r="D16" s="10" t="s">
        <v>219</v>
      </c>
      <c r="E16" s="8">
        <f t="shared" ca="1" si="0"/>
        <v>43167</v>
      </c>
      <c r="F16" s="8">
        <f t="shared" ref="F16" ca="1" si="27">E16+H16</f>
        <v>43239</v>
      </c>
      <c r="G16" s="10">
        <v>22000</v>
      </c>
      <c r="H16" s="10">
        <v>72</v>
      </c>
      <c r="I16" s="12">
        <f t="shared" ref="I16" si="28">H16/365</f>
        <v>0.19726027397260273</v>
      </c>
      <c r="J16" s="12">
        <v>0</v>
      </c>
      <c r="K16" s="9">
        <v>0.23</v>
      </c>
      <c r="L16" s="13">
        <f>_xll.dnetGBlackScholesNGreeks("price",$Q16,$P16,$G16,$I16,$C$3,$J16,$K16,$C$4)*R16</f>
        <v>-115.99984518016981</v>
      </c>
      <c r="M16" s="15">
        <v>0</v>
      </c>
      <c r="N16" s="13">
        <f t="shared" ref="N16" si="29">M16/10000*I16*P16</f>
        <v>0</v>
      </c>
      <c r="O16" s="13">
        <f t="shared" ref="O16" si="30">IF(L16&lt;=0,ABS(L16)+N16,L16-N16)</f>
        <v>115.99984518016981</v>
      </c>
      <c r="P16" s="11">
        <f>RTD("wdf.rtq",,D16,"LastPrice")</f>
        <v>25045</v>
      </c>
      <c r="Q16" s="10" t="s">
        <v>85</v>
      </c>
      <c r="R16" s="10">
        <f t="shared" ref="R16" si="31">IF(S16="中金买入",1,-1)</f>
        <v>-1</v>
      </c>
      <c r="S16" s="10" t="s">
        <v>20</v>
      </c>
      <c r="T16" s="14">
        <f t="shared" ref="T16" si="32">O16/P16</f>
        <v>4.6316568249219333E-3</v>
      </c>
      <c r="U16" s="13">
        <f>_xll.dnetGBlackScholesNGreeks("delta",$Q16,$P16,$G16,$I16,$C$3,$J16,$K16,$C$4)*R16</f>
        <v>9.3036001294422022E-2</v>
      </c>
      <c r="V16" s="13">
        <f>_xll.dnetGBlackScholesNGreeks("vega",$Q16,$P16,$G16,$I16,$C$3,$J16,$K16,$C$4)*R16</f>
        <v>-18.48100472881606</v>
      </c>
    </row>
    <row r="17" spans="1:22" ht="10.5" customHeight="1" x14ac:dyDescent="0.15">
      <c r="A17" s="42"/>
      <c r="B17" s="13" t="s">
        <v>172</v>
      </c>
      <c r="C17" s="10" t="s">
        <v>161</v>
      </c>
      <c r="D17" s="10" t="s">
        <v>220</v>
      </c>
      <c r="E17" s="8">
        <f t="shared" ca="1" si="0"/>
        <v>43167</v>
      </c>
      <c r="F17" s="8">
        <f t="shared" ref="F17" ca="1" si="33">E17+H17</f>
        <v>43532</v>
      </c>
      <c r="G17" s="10">
        <v>85</v>
      </c>
      <c r="H17" s="10">
        <v>365</v>
      </c>
      <c r="I17" s="12">
        <f t="shared" ref="I17" si="34">H17/365</f>
        <v>1</v>
      </c>
      <c r="J17" s="12">
        <v>0</v>
      </c>
      <c r="K17" s="9">
        <v>0.14000000000000001</v>
      </c>
      <c r="L17" s="13">
        <f>_xll.dnetGBlackScholesNGreeks("price",$Q17,$P17,$G17,$I17,$C$3,$J17,$K17,$C$4)*R17</f>
        <v>-0.76745079122109949</v>
      </c>
      <c r="M17" s="15">
        <v>0</v>
      </c>
      <c r="N17" s="13">
        <f t="shared" ref="N17" si="35">M17/10000*I17*P17</f>
        <v>0</v>
      </c>
      <c r="O17" s="13">
        <f t="shared" ref="O17" si="36">IF(L17&lt;=0,ABS(L17)+N17,L17-N17)</f>
        <v>0.76745079122109949</v>
      </c>
      <c r="P17" s="11">
        <v>100</v>
      </c>
      <c r="Q17" s="10" t="s">
        <v>85</v>
      </c>
      <c r="R17" s="10">
        <f t="shared" ref="R17" si="37">IF(S17="中金买入",1,-1)</f>
        <v>-1</v>
      </c>
      <c r="S17" s="10" t="s">
        <v>20</v>
      </c>
      <c r="T17" s="14">
        <f t="shared" ref="T17" si="38">O17/P17</f>
        <v>7.6745079122109948E-3</v>
      </c>
      <c r="U17" s="13">
        <f>_xll.dnetGBlackScholesNGreeks("delta",$Q17,$P17,$G17,$I17,$C$3,$J17,$K17,$C$4)*R17</f>
        <v>0.10702750252953308</v>
      </c>
      <c r="V17" s="13">
        <f>_xll.dnetGBlackScholesNGreeks("vega",$Q17,$P17,$G17,$I17,$C$3,$J17,$K17,$C$4)*R17</f>
        <v>-0.18298679862401279</v>
      </c>
    </row>
    <row r="18" spans="1:22" ht="10.5" customHeight="1" x14ac:dyDescent="0.15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ht="10.5" customHeight="1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ht="10.5" customHeight="1" x14ac:dyDescent="0.15">
      <c r="A20" s="42"/>
      <c r="B20" s="13"/>
      <c r="C20" s="10"/>
      <c r="D20" s="10"/>
      <c r="E20" s="8"/>
      <c r="F20" s="8"/>
      <c r="G20" s="10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ht="10.5" customHeight="1" x14ac:dyDescent="0.15">
      <c r="A21" s="42"/>
      <c r="B21" s="13"/>
      <c r="C21" s="10"/>
      <c r="D21" s="10"/>
      <c r="E21" s="8"/>
      <c r="F21" s="8"/>
      <c r="G21" s="10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ht="10.5" customHeight="1" x14ac:dyDescent="0.15">
      <c r="A22" s="42"/>
      <c r="B22" s="13"/>
      <c r="C22" s="10"/>
      <c r="D22" s="10"/>
      <c r="E22" s="8"/>
      <c r="F22" s="8"/>
      <c r="G22" s="10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ht="10.5" customHeight="1" x14ac:dyDescent="0.15">
      <c r="A23" s="42"/>
      <c r="B23" s="13"/>
      <c r="C23" s="10"/>
      <c r="D23" s="10"/>
      <c r="E23" s="8"/>
      <c r="F23" s="8"/>
      <c r="G23" s="10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42"/>
      <c r="B24" s="13"/>
      <c r="C24" s="10"/>
      <c r="D24" s="10"/>
      <c r="E24" s="8"/>
      <c r="F24" s="8"/>
      <c r="G24" s="10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ht="10.5" customHeight="1" x14ac:dyDescent="0.15">
      <c r="A25" s="42"/>
      <c r="B25" s="13"/>
      <c r="C25" s="10"/>
      <c r="D25" s="10"/>
      <c r="E25" s="8"/>
      <c r="F25" s="8"/>
      <c r="G25" s="10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ht="10.5" customHeight="1" x14ac:dyDescent="0.15">
      <c r="A26" s="42"/>
      <c r="B26" s="13"/>
      <c r="C26" s="10"/>
      <c r="D26" s="10"/>
      <c r="E26" s="8"/>
      <c r="F26" s="8"/>
      <c r="G26" s="10"/>
      <c r="H26" s="10"/>
      <c r="I26" s="19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ht="10.5" customHeight="1" x14ac:dyDescent="0.15">
      <c r="A27" s="42"/>
      <c r="B27" s="13"/>
      <c r="C27" s="10"/>
      <c r="D27" s="10"/>
      <c r="E27" s="8"/>
      <c r="F27" s="8"/>
      <c r="G27" s="10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x14ac:dyDescent="0.15">
      <c r="A28" s="42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ht="10.5" customHeight="1" x14ac:dyDescent="0.15">
      <c r="A29" s="42"/>
      <c r="B29" s="13"/>
      <c r="C29" s="10"/>
      <c r="D29" s="10"/>
      <c r="E29" s="8"/>
      <c r="F29" s="8"/>
      <c r="G29" s="10"/>
      <c r="H29" s="10"/>
      <c r="I29" s="12"/>
      <c r="J29" s="12"/>
      <c r="K29" s="9"/>
      <c r="L29" s="13"/>
      <c r="M29" s="15"/>
      <c r="N29" s="13"/>
      <c r="O29" s="13"/>
      <c r="P29" s="11"/>
      <c r="Q29" s="10"/>
      <c r="R29" s="10"/>
      <c r="S29" s="10"/>
      <c r="T29" s="14"/>
      <c r="U29" s="13"/>
      <c r="V29" s="13"/>
    </row>
    <row r="30" spans="1:22" ht="10.5" customHeight="1" x14ac:dyDescent="0.15">
      <c r="A30" s="42"/>
      <c r="B30" s="13"/>
      <c r="C30" s="10"/>
      <c r="D30" s="10"/>
      <c r="E30" s="8"/>
      <c r="F30" s="8"/>
      <c r="G30" s="10"/>
      <c r="H30" s="10"/>
      <c r="I30" s="12"/>
      <c r="J30" s="12"/>
      <c r="K30" s="9"/>
      <c r="L30" s="13"/>
      <c r="M30" s="15"/>
      <c r="N30" s="13"/>
      <c r="O30" s="13"/>
      <c r="P30" s="11"/>
      <c r="Q30" s="10"/>
      <c r="R30" s="10"/>
      <c r="S30" s="10"/>
      <c r="T30" s="14"/>
      <c r="U30" s="13"/>
      <c r="V30" s="13"/>
    </row>
    <row r="31" spans="1:22" ht="10.5" customHeight="1" x14ac:dyDescent="0.15">
      <c r="A31" s="42"/>
      <c r="B31" s="13"/>
      <c r="C31" s="10"/>
      <c r="D31" s="10"/>
      <c r="E31" s="8"/>
      <c r="F31" s="8"/>
      <c r="G31" s="10"/>
      <c r="H31" s="10"/>
      <c r="I31" s="12"/>
      <c r="J31" s="12"/>
      <c r="K31" s="9"/>
      <c r="L31" s="13"/>
      <c r="M31" s="15"/>
      <c r="N31" s="13"/>
      <c r="O31" s="13"/>
      <c r="P31" s="11"/>
      <c r="Q31" s="10"/>
      <c r="R31" s="10"/>
      <c r="S31" s="10"/>
      <c r="T31" s="14"/>
      <c r="U31" s="13"/>
      <c r="V31" s="13"/>
    </row>
    <row r="32" spans="1:22" ht="10.5" customHeight="1" x14ac:dyDescent="0.15">
      <c r="A32" s="42"/>
      <c r="B32" s="13"/>
      <c r="C32" s="10"/>
      <c r="D32" s="10"/>
      <c r="E32" s="8"/>
      <c r="F32" s="8"/>
      <c r="G32" s="10"/>
      <c r="H32" s="10"/>
      <c r="I32" s="12"/>
      <c r="J32" s="12"/>
      <c r="K32" s="9"/>
      <c r="L32" s="13"/>
      <c r="M32" s="15"/>
      <c r="N32" s="13"/>
      <c r="O32" s="13"/>
      <c r="P32" s="11"/>
      <c r="Q32" s="10"/>
      <c r="R32" s="10"/>
      <c r="S32" s="10"/>
      <c r="T32" s="14"/>
      <c r="U32" s="13"/>
      <c r="V32" s="13"/>
    </row>
    <row r="33" spans="1:22" ht="10.5" customHeight="1" x14ac:dyDescent="0.15">
      <c r="A33" s="42"/>
      <c r="B33" s="13"/>
      <c r="C33" s="10"/>
      <c r="D33" s="10"/>
      <c r="E33" s="8"/>
      <c r="F33" s="8"/>
      <c r="G33" s="10"/>
      <c r="H33" s="10"/>
      <c r="I33" s="12"/>
      <c r="J33" s="12"/>
      <c r="K33" s="9"/>
      <c r="L33" s="13"/>
      <c r="M33" s="15"/>
      <c r="N33" s="13"/>
      <c r="O33" s="13"/>
      <c r="P33" s="11"/>
      <c r="Q33" s="10"/>
      <c r="R33" s="10"/>
      <c r="S33" s="10"/>
      <c r="T33" s="14"/>
      <c r="U33" s="13"/>
      <c r="V33" s="13"/>
    </row>
    <row r="34" spans="1:22" ht="10.5" customHeight="1" x14ac:dyDescent="0.15">
      <c r="A34" s="42"/>
      <c r="B34" s="13"/>
      <c r="C34" s="10"/>
      <c r="D34" s="10"/>
      <c r="E34" s="8"/>
      <c r="F34" s="8"/>
      <c r="G34" s="10"/>
      <c r="H34" s="10"/>
      <c r="I34" s="12"/>
      <c r="J34" s="12"/>
      <c r="K34" s="9"/>
      <c r="L34" s="13"/>
      <c r="M34" s="15"/>
      <c r="N34" s="13"/>
      <c r="O34" s="13"/>
      <c r="P34" s="11"/>
      <c r="Q34" s="10"/>
      <c r="R34" s="10"/>
      <c r="S34" s="10"/>
      <c r="T34" s="14"/>
      <c r="U34" s="13"/>
      <c r="V34" s="13"/>
    </row>
    <row r="35" spans="1:22" ht="10.5" customHeight="1" x14ac:dyDescent="0.15">
      <c r="A35" s="42"/>
      <c r="B35" s="13"/>
      <c r="C35" s="10"/>
      <c r="D35" s="10"/>
      <c r="E35" s="8"/>
      <c r="F35" s="8"/>
      <c r="G35" s="10"/>
      <c r="H35" s="10"/>
      <c r="I35" s="12"/>
      <c r="J35" s="12"/>
      <c r="K35" s="9"/>
      <c r="L35" s="13"/>
      <c r="M35" s="15"/>
      <c r="N35" s="13"/>
      <c r="O35" s="13"/>
      <c r="P35" s="11"/>
      <c r="Q35" s="10"/>
      <c r="R35" s="10"/>
      <c r="S35" s="10"/>
      <c r="T35" s="14"/>
      <c r="U35" s="13"/>
      <c r="V35" s="13"/>
    </row>
    <row r="36" spans="1:22" ht="10.5" customHeight="1" x14ac:dyDescent="0.15">
      <c r="A36" s="42"/>
      <c r="B36" s="13"/>
      <c r="C36" s="10"/>
      <c r="D36" s="10"/>
      <c r="E36" s="8"/>
      <c r="F36" s="8"/>
      <c r="G36" s="10"/>
      <c r="H36" s="10"/>
      <c r="I36" s="12"/>
      <c r="J36" s="12"/>
      <c r="K36" s="9"/>
      <c r="L36" s="13"/>
      <c r="M36" s="15"/>
      <c r="N36" s="13"/>
      <c r="O36" s="13"/>
      <c r="P36" s="11"/>
      <c r="Q36" s="10"/>
      <c r="R36" s="10"/>
      <c r="S36" s="10"/>
      <c r="T36" s="14"/>
      <c r="U36" s="13"/>
      <c r="V36" s="13"/>
    </row>
    <row r="37" spans="1:22" ht="10.5" customHeight="1" x14ac:dyDescent="0.15">
      <c r="A37" s="42"/>
      <c r="B37" s="13"/>
      <c r="C37" s="10"/>
      <c r="D37" s="10"/>
      <c r="E37" s="8"/>
      <c r="F37" s="8"/>
      <c r="G37" s="10"/>
      <c r="H37" s="10"/>
      <c r="I37" s="12"/>
      <c r="J37" s="12"/>
      <c r="K37" s="9"/>
      <c r="L37" s="13"/>
      <c r="M37" s="15"/>
      <c r="N37" s="13"/>
      <c r="O37" s="13"/>
      <c r="P37" s="11"/>
      <c r="Q37" s="10"/>
      <c r="R37" s="10"/>
      <c r="S37" s="10"/>
      <c r="T37" s="14"/>
      <c r="U37" s="13"/>
      <c r="V37" s="13"/>
    </row>
    <row r="38" spans="1:22" ht="10.5" customHeight="1" x14ac:dyDescent="0.15">
      <c r="A38" s="42"/>
      <c r="B38" s="13"/>
      <c r="C38" s="10"/>
      <c r="D38" s="10"/>
      <c r="E38" s="8"/>
      <c r="F38" s="8"/>
      <c r="G38" s="10"/>
      <c r="H38" s="10"/>
      <c r="I38" s="12"/>
      <c r="J38" s="12"/>
      <c r="K38" s="9"/>
      <c r="L38" s="13"/>
      <c r="M38" s="15"/>
      <c r="N38" s="13"/>
      <c r="O38" s="13"/>
      <c r="P38" s="11"/>
      <c r="Q38" s="10"/>
      <c r="R38" s="10"/>
      <c r="S38" s="10"/>
      <c r="T38" s="14"/>
      <c r="U38" s="13"/>
      <c r="V38" s="13"/>
    </row>
    <row r="39" spans="1:22" ht="10.5" customHeight="1" x14ac:dyDescent="0.15">
      <c r="A39" s="42"/>
      <c r="B39" s="13"/>
      <c r="C39" s="10"/>
      <c r="D39" s="10"/>
      <c r="E39" s="8"/>
      <c r="F39" s="8"/>
      <c r="G39" s="10"/>
      <c r="H39" s="10"/>
      <c r="I39" s="12"/>
      <c r="J39" s="12"/>
      <c r="K39" s="9"/>
      <c r="L39" s="13"/>
      <c r="M39" s="15"/>
      <c r="N39" s="13"/>
      <c r="O39" s="13"/>
      <c r="P39" s="11"/>
      <c r="Q39" s="10"/>
      <c r="R39" s="10"/>
      <c r="S39" s="10"/>
      <c r="T39" s="14"/>
      <c r="U39" s="13"/>
      <c r="V39" s="13"/>
    </row>
    <row r="40" spans="1:22" ht="10.5" customHeight="1" x14ac:dyDescent="0.15">
      <c r="A40" s="42"/>
      <c r="B40" s="13"/>
      <c r="C40" s="10"/>
      <c r="D40" s="10"/>
      <c r="E40" s="8"/>
      <c r="F40" s="8"/>
      <c r="G40" s="10"/>
      <c r="H40" s="10"/>
      <c r="I40" s="12"/>
      <c r="J40" s="12"/>
      <c r="K40" s="9"/>
      <c r="L40" s="13"/>
      <c r="M40" s="15"/>
      <c r="N40" s="13"/>
      <c r="O40" s="13"/>
      <c r="P40" s="11"/>
      <c r="Q40" s="10"/>
      <c r="R40" s="10"/>
      <c r="S40" s="10"/>
      <c r="T40" s="14"/>
      <c r="U40" s="13"/>
      <c r="V40" s="13"/>
    </row>
    <row r="41" spans="1:22" ht="10.5" customHeight="1" x14ac:dyDescent="0.15">
      <c r="A41" s="42"/>
      <c r="B41" s="13"/>
      <c r="C41" s="10"/>
      <c r="D41" s="10"/>
      <c r="E41" s="8"/>
      <c r="F41" s="8"/>
      <c r="G41" s="10"/>
      <c r="H41" s="10"/>
      <c r="I41" s="12"/>
      <c r="J41" s="12"/>
      <c r="K41" s="9"/>
      <c r="L41" s="13"/>
      <c r="M41" s="15"/>
      <c r="N41" s="13"/>
      <c r="O41" s="13"/>
      <c r="P41" s="11"/>
      <c r="Q41" s="10"/>
      <c r="R41" s="10"/>
      <c r="S41" s="10"/>
      <c r="T41" s="14"/>
      <c r="U41" s="13"/>
      <c r="V41" s="13"/>
    </row>
    <row r="42" spans="1:22" ht="10.5" customHeight="1" x14ac:dyDescent="0.15">
      <c r="A42" s="42"/>
      <c r="B42" s="13"/>
      <c r="C42" s="10"/>
      <c r="D42" s="10"/>
      <c r="E42" s="8"/>
      <c r="F42" s="8"/>
      <c r="G42" s="10"/>
      <c r="H42" s="10"/>
      <c r="I42" s="12"/>
      <c r="J42" s="12"/>
      <c r="K42" s="9"/>
      <c r="L42" s="13"/>
      <c r="M42" s="15"/>
      <c r="N42" s="13"/>
      <c r="O42" s="13"/>
      <c r="P42" s="11"/>
      <c r="Q42" s="10"/>
      <c r="R42" s="10"/>
      <c r="S42" s="10"/>
      <c r="T42" s="14"/>
      <c r="U42" s="13"/>
      <c r="V42" s="13"/>
    </row>
    <row r="43" spans="1:22" ht="10.5" customHeight="1" x14ac:dyDescent="0.15">
      <c r="A43" s="42"/>
      <c r="B43" s="13"/>
      <c r="C43" s="10"/>
      <c r="D43" s="10"/>
      <c r="E43" s="8"/>
      <c r="F43" s="8"/>
      <c r="G43" s="10"/>
      <c r="H43" s="10"/>
      <c r="I43" s="12"/>
      <c r="J43" s="12"/>
      <c r="K43" s="9"/>
      <c r="L43" s="13"/>
      <c r="M43" s="15"/>
      <c r="N43" s="13"/>
      <c r="O43" s="13"/>
      <c r="P43" s="11"/>
      <c r="Q43" s="10"/>
      <c r="R43" s="10"/>
      <c r="S43" s="10"/>
      <c r="T43" s="14"/>
      <c r="U43" s="13"/>
      <c r="V43" s="1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S8:S56</xm:sqref>
        </x14:dataValidation>
        <x14:dataValidation type="list" allowBlank="1" showInputMessage="1" showErrorMessage="1">
          <x14:formula1>
            <xm:f>configs!$C$1:$C$2</xm:f>
          </x14:formula1>
          <xm:sqref>Q8:Q56</xm:sqref>
        </x14:dataValidation>
        <x14:dataValidation type="list" allowBlank="1" showInputMessage="1">
          <x14:formula1>
            <xm:f>configs!$A$1:$A$36</xm:f>
          </x14:formula1>
          <xm:sqref>C8:C56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abSelected="1" topLeftCell="G1" zoomScale="85" zoomScaleNormal="85" workbookViewId="0">
      <selection activeCell="Z9" sqref="Z9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90" t="s">
        <v>37</v>
      </c>
      <c r="C1" s="189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181</v>
      </c>
      <c r="F7" s="49" t="s">
        <v>183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182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43167</v>
      </c>
      <c r="G8" s="54">
        <f ca="1">F8+I8</f>
        <v>43197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>
        <f>_xll.dnetGBlackScholesNGreeks("price",$R8,$Q8,$H8,$J8,$C$3,$K8,$L8,$C$4)*D8</f>
        <v>-3.6526499295562971</v>
      </c>
      <c r="N8" s="57"/>
      <c r="O8" s="51"/>
      <c r="P8" s="51">
        <f>M8+O8</f>
        <v>-3.6526499295562971</v>
      </c>
      <c r="Q8" s="53">
        <v>100</v>
      </c>
      <c r="R8" s="52" t="s">
        <v>39</v>
      </c>
      <c r="S8" s="56" t="s">
        <v>20</v>
      </c>
      <c r="T8" s="58"/>
      <c r="U8" s="51">
        <f>_xll.dnetGBlackScholesNGreeks("delta",$R8,$Q8,$H8,$J8,$C$3,$K8,$L8,$C$4)*D8</f>
        <v>-0.51744199617651532</v>
      </c>
      <c r="V8" s="51">
        <f>_xll.dnetGBlackScholesNGreeks("vega",$R8,$Q8,$H8,$J8,$C$3,$K8,$L8,$C$4)*D8</f>
        <v>-0.11406523569462124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43167</v>
      </c>
      <c r="G9" s="62">
        <f ca="1">G8</f>
        <v>43197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>
        <f>_xll.dnetGBlackScholesNGreeks("price",$R9,$Q9,$H9,$J9,$C$3,$K9,$L9,$C$4)*D9</f>
        <v>3.4245046917201378</v>
      </c>
      <c r="N9" s="65"/>
      <c r="O9" s="59"/>
      <c r="P9" s="59">
        <f>M9+O9</f>
        <v>3.4245046917201378</v>
      </c>
      <c r="Q9" s="61">
        <v>100</v>
      </c>
      <c r="R9" s="60" t="s">
        <v>39</v>
      </c>
      <c r="S9" s="64" t="s">
        <v>151</v>
      </c>
      <c r="T9" s="66"/>
      <c r="U9" s="59">
        <f>_xll.dnetGBlackScholesNGreeks("delta",$R9,$Q9,$H9,$J9,$C$3,$K9,$L9,$C$4)*D9</f>
        <v>0.51630126926376363</v>
      </c>
      <c r="V9" s="59">
        <f>_xll.dnetGBlackScholesNGreeks("vega",$R9,$Q9,$H9,$J9,$C$3,$K9,$L9,$C$4)*D9</f>
        <v>0.11407976820886745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43167</v>
      </c>
      <c r="G10" s="70">
        <f ca="1">G9</f>
        <v>43197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>
        <f>M9+M8</f>
        <v>-0.22814523783615925</v>
      </c>
      <c r="N10" s="68">
        <v>80</v>
      </c>
      <c r="O10" s="67">
        <f>N10/10000*J10*Q10</f>
        <v>6.5753424657534254E-2</v>
      </c>
      <c r="P10" s="67">
        <f>IF(M10&lt;=0,ABS(M10)+O10,M10-O10)</f>
        <v>0.29389866249369351</v>
      </c>
      <c r="Q10" s="69">
        <f>Q9</f>
        <v>100</v>
      </c>
      <c r="R10" s="68"/>
      <c r="S10" s="64" t="s">
        <v>151</v>
      </c>
      <c r="T10" s="72">
        <f>P10/Q10</f>
        <v>2.9389866249369349E-3</v>
      </c>
      <c r="U10" s="72">
        <f>U9+U8</f>
        <v>-1.1407269127516884E-3</v>
      </c>
      <c r="V10" s="72">
        <f>V9+V8</f>
        <v>1.4532514246212713E-5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9" t="s">
        <v>38</v>
      </c>
      <c r="C1" s="189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3794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44">
        <v>0.02</v>
      </c>
      <c r="M8" s="21">
        <f ca="1">TODAY()</f>
        <v>43167</v>
      </c>
      <c r="N8" s="21">
        <f ca="1">M8+O8</f>
        <v>43197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-52.387801693446796</v>
      </c>
      <c r="T8" s="25">
        <v>80</v>
      </c>
      <c r="U8" s="24">
        <f>T8/10000*P8*H8</f>
        <v>2.4946849315068493</v>
      </c>
      <c r="V8" s="24">
        <f>IF(S8&lt;=0,ABS(S8)+U8,S8-U8)</f>
        <v>54.882486624953643</v>
      </c>
      <c r="W8" s="26">
        <f>V8/H8</f>
        <v>1.4465600059291947E-2</v>
      </c>
      <c r="X8" s="24">
        <f>_xll.dnetStandardBarrierNGreeks("delta",G8,H8,I8,K8,L8*H8,P8,$C$3,Q8,R8,$C$4)</f>
        <v>0.17008929549220397</v>
      </c>
      <c r="Y8" s="24">
        <f>_xll.dnetStandardBarrierNGreeks("vega",G8,H8,I8,K8,L8*H8,P8,$C$3,Q8,R8,$C$4)</f>
        <v>0.64884866921902073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45">
        <v>5.0000000000000001E-3</v>
      </c>
      <c r="M9" s="8">
        <f ca="1">TODAY()</f>
        <v>43167</v>
      </c>
      <c r="N9" s="8">
        <f ca="1">M9+O9</f>
        <v>43347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I24" sqref="I24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91" t="s">
        <v>37</v>
      </c>
      <c r="C1" s="191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3794</v>
      </c>
      <c r="I8" s="19">
        <v>3800</v>
      </c>
      <c r="J8" s="21">
        <f ca="1">TODAY()</f>
        <v>43167</v>
      </c>
      <c r="K8" s="21">
        <f ca="1">J8+L8</f>
        <v>43197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128.64909615589863</v>
      </c>
      <c r="P8" s="25">
        <v>80</v>
      </c>
      <c r="Q8" s="24">
        <f>P8/10000*M8*H8*(-E8)</f>
        <v>2.4946849315068493</v>
      </c>
      <c r="R8" s="24">
        <f>O8+Q8</f>
        <v>131.14378108740547</v>
      </c>
      <c r="S8" s="26">
        <f>R8/H8</f>
        <v>3.4566099390460063E-2</v>
      </c>
      <c r="T8" s="24">
        <f>_xll.dnetGBlackScholesNGreeks("delta",$G8,$H8,$I8,$M8,$C$3,$C$4,$N8,$C$4)</f>
        <v>0.51321408417379644</v>
      </c>
      <c r="U8" s="24">
        <f>_xll.dnetGBlackScholesNGreeks("vega",$G8,$H8,$I8,$M8,$C$3,$C$4,$N8)</f>
        <v>4.3332193252413163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43167</v>
      </c>
      <c r="K9" s="8">
        <f ca="1">J9+L9</f>
        <v>43197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43167</v>
      </c>
      <c r="K10" s="8">
        <f ca="1">J10+L10</f>
        <v>43197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2018-03-08T08:07:55Z</dcterms:modified>
</cp:coreProperties>
</file>