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9" i="1" l="1"/>
  <c r="I9" i="1"/>
  <c r="N9" i="1" s="1"/>
  <c r="E9" i="1"/>
  <c r="F9" i="1" s="1"/>
  <c r="U9" i="1"/>
  <c r="V9" i="1" l="1"/>
  <c r="L9" i="1"/>
  <c r="O9" i="1" l="1"/>
  <c r="T9" i="1" s="1"/>
  <c r="I31" i="1" l="1"/>
  <c r="I30" i="1"/>
  <c r="I29" i="1"/>
  <c r="I28" i="1"/>
  <c r="R35" i="1"/>
  <c r="I35" i="1"/>
  <c r="E35" i="1"/>
  <c r="F35" i="1" s="1"/>
  <c r="R34" i="1"/>
  <c r="I34" i="1"/>
  <c r="E34" i="1"/>
  <c r="F34" i="1" s="1"/>
  <c r="R33" i="1"/>
  <c r="I33" i="1"/>
  <c r="E33" i="1"/>
  <c r="F33" i="1" s="1"/>
  <c r="R32" i="1"/>
  <c r="I32" i="1"/>
  <c r="E32" i="1"/>
  <c r="F32" i="1" s="1"/>
  <c r="R31" i="1"/>
  <c r="E31" i="1"/>
  <c r="F31" i="1" s="1"/>
  <c r="R30" i="1"/>
  <c r="E30" i="1"/>
  <c r="F30" i="1" s="1"/>
  <c r="R29" i="1"/>
  <c r="E29" i="1"/>
  <c r="F29" i="1" s="1"/>
  <c r="R28" i="1"/>
  <c r="E28" i="1"/>
  <c r="F28" i="1" s="1"/>
  <c r="P35" i="1"/>
  <c r="V35" i="1"/>
  <c r="P29" i="1"/>
  <c r="P33" i="1"/>
  <c r="P28" i="1"/>
  <c r="L33" i="1"/>
  <c r="P32" i="1"/>
  <c r="P34" i="1"/>
  <c r="L34" i="1" s="1"/>
  <c r="P30" i="1"/>
  <c r="L30" i="1" s="1"/>
  <c r="P31" i="1"/>
  <c r="U34" i="1"/>
  <c r="V34" i="1"/>
  <c r="L35" i="1"/>
  <c r="V31" i="1"/>
  <c r="V32" i="1"/>
  <c r="U35" i="1"/>
  <c r="L29" i="1"/>
  <c r="U28" i="1"/>
  <c r="N31" i="1" l="1"/>
  <c r="N34" i="1"/>
  <c r="O34" i="1" s="1"/>
  <c r="T34" i="1" s="1"/>
  <c r="N28" i="1"/>
  <c r="N29" i="1"/>
  <c r="O29" i="1" s="1"/>
  <c r="T29" i="1" s="1"/>
  <c r="N32" i="1"/>
  <c r="N35" i="1"/>
  <c r="O35" i="1" s="1"/>
  <c r="T35" i="1" s="1"/>
  <c r="N33" i="1"/>
  <c r="O33" i="1" s="1"/>
  <c r="T33" i="1" s="1"/>
  <c r="N30" i="1"/>
  <c r="O30" i="1" s="1"/>
  <c r="T30" i="1" s="1"/>
  <c r="I26" i="1"/>
  <c r="I25" i="1"/>
  <c r="I24" i="1"/>
  <c r="I23" i="1"/>
  <c r="I22" i="1"/>
  <c r="I21" i="1"/>
  <c r="I20" i="1"/>
  <c r="I19" i="1"/>
  <c r="R26" i="1"/>
  <c r="E26" i="1"/>
  <c r="F26" i="1" s="1"/>
  <c r="R25" i="1"/>
  <c r="E25" i="1"/>
  <c r="F25" i="1" s="1"/>
  <c r="R24" i="1"/>
  <c r="E24" i="1"/>
  <c r="F24" i="1" s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E19" i="1"/>
  <c r="F19" i="1" s="1"/>
  <c r="L28" i="1"/>
  <c r="V29" i="1"/>
  <c r="P18" i="1"/>
  <c r="V28" i="1"/>
  <c r="P24" i="1"/>
  <c r="U30" i="1"/>
  <c r="L31" i="1"/>
  <c r="P23" i="1"/>
  <c r="V30" i="1"/>
  <c r="P22" i="1"/>
  <c r="P26" i="1"/>
  <c r="L24" i="1"/>
  <c r="L32" i="1"/>
  <c r="V33" i="1"/>
  <c r="U32" i="1"/>
  <c r="P20" i="1"/>
  <c r="L20" i="1" s="1"/>
  <c r="U33" i="1"/>
  <c r="P19" i="1"/>
  <c r="L19" i="1" s="1"/>
  <c r="U31" i="1"/>
  <c r="L23" i="1"/>
  <c r="U29" i="1"/>
  <c r="V24" i="1"/>
  <c r="P25" i="1"/>
  <c r="P21" i="1"/>
  <c r="V26" i="1"/>
  <c r="L22" i="1"/>
  <c r="V23" i="1"/>
  <c r="V25" i="1"/>
  <c r="L25" i="1"/>
  <c r="U25" i="1"/>
  <c r="O31" i="1" l="1"/>
  <c r="T31" i="1" s="1"/>
  <c r="O32" i="1"/>
  <c r="T32" i="1" s="1"/>
  <c r="O28" i="1"/>
  <c r="T28" i="1" s="1"/>
  <c r="N24" i="1"/>
  <c r="O24" i="1" s="1"/>
  <c r="T24" i="1" s="1"/>
  <c r="N25" i="1"/>
  <c r="O25" i="1" s="1"/>
  <c r="T25" i="1" s="1"/>
  <c r="N20" i="1"/>
  <c r="O20" i="1" s="1"/>
  <c r="T20" i="1" s="1"/>
  <c r="N21" i="1"/>
  <c r="N22" i="1"/>
  <c r="O22" i="1" s="1"/>
  <c r="T22" i="1" s="1"/>
  <c r="N23" i="1"/>
  <c r="O23" i="1" s="1"/>
  <c r="T23" i="1" s="1"/>
  <c r="N26" i="1"/>
  <c r="N19" i="1"/>
  <c r="O19" i="1" s="1"/>
  <c r="T19" i="1" s="1"/>
  <c r="R18" i="1"/>
  <c r="I18" i="1"/>
  <c r="N18" i="1" s="1"/>
  <c r="E18" i="1"/>
  <c r="F18" i="1" s="1"/>
  <c r="L21" i="1"/>
  <c r="U24" i="1"/>
  <c r="L26" i="1"/>
  <c r="U23" i="1"/>
  <c r="U26" i="1"/>
  <c r="V22" i="1"/>
  <c r="V20" i="1"/>
  <c r="U19" i="1"/>
  <c r="U21" i="1"/>
  <c r="V21" i="1"/>
  <c r="U22" i="1"/>
  <c r="V19" i="1"/>
  <c r="U20" i="1"/>
  <c r="V18" i="1"/>
  <c r="O21" i="1" l="1"/>
  <c r="T21" i="1" s="1"/>
  <c r="O26" i="1"/>
  <c r="T26" i="1" s="1"/>
  <c r="R17" i="1"/>
  <c r="I17" i="1"/>
  <c r="E17" i="1"/>
  <c r="F17" i="1" s="1"/>
  <c r="U18" i="1"/>
  <c r="L18" i="1"/>
  <c r="P17" i="1"/>
  <c r="L17" i="1" s="1"/>
  <c r="O18" i="1" l="1"/>
  <c r="T18" i="1" s="1"/>
  <c r="N17" i="1"/>
  <c r="O17" i="1" s="1"/>
  <c r="T17" i="1" s="1"/>
  <c r="P16" i="1"/>
  <c r="V17" i="1"/>
  <c r="U17" i="1"/>
  <c r="R16" i="1" l="1"/>
  <c r="I16" i="1"/>
  <c r="E16" i="1"/>
  <c r="F16" i="1" s="1"/>
  <c r="R15" i="1"/>
  <c r="I15" i="1"/>
  <c r="E15" i="1"/>
  <c r="F15" i="1" s="1"/>
  <c r="E11" i="1"/>
  <c r="E12" i="1"/>
  <c r="F12" i="1" s="1"/>
  <c r="E13" i="1"/>
  <c r="F13" i="1" s="1"/>
  <c r="I13" i="1"/>
  <c r="R13" i="1"/>
  <c r="E14" i="1"/>
  <c r="F14" i="1" s="1"/>
  <c r="I14" i="1"/>
  <c r="R14" i="1"/>
  <c r="V16" i="1"/>
  <c r="P15" i="1"/>
  <c r="P13" i="1"/>
  <c r="P14" i="1"/>
  <c r="U14" i="1"/>
  <c r="N16" i="1" l="1"/>
  <c r="N15" i="1"/>
  <c r="N13" i="1"/>
  <c r="N14" i="1"/>
  <c r="V15" i="1"/>
  <c r="U13" i="1"/>
  <c r="U16" i="1"/>
  <c r="L13" i="1"/>
  <c r="L15" i="1"/>
  <c r="U15" i="1"/>
  <c r="L14" i="1"/>
  <c r="V13" i="1"/>
  <c r="L16" i="1"/>
  <c r="V14" i="1"/>
  <c r="O13" i="1" l="1"/>
  <c r="T13" i="1" s="1"/>
  <c r="O15" i="1"/>
  <c r="T15" i="1" s="1"/>
  <c r="O16" i="1"/>
  <c r="T16" i="1" s="1"/>
  <c r="O14" i="1"/>
  <c r="T14" i="1" s="1"/>
  <c r="U96" i="6" l="1"/>
  <c r="R12" i="1" l="1"/>
  <c r="I12" i="1"/>
  <c r="P12" i="1"/>
  <c r="N12" i="1" l="1"/>
  <c r="V12" i="1"/>
  <c r="L12" i="1"/>
  <c r="U12" i="1"/>
  <c r="O12" i="1" l="1"/>
  <c r="T12" i="1" s="1"/>
  <c r="R11" i="1" l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V9" i="9"/>
  <c r="U8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K9" i="8"/>
  <c r="U10" i="7"/>
  <c r="H8" i="8"/>
  <c r="U9" i="7"/>
  <c r="T9" i="7"/>
  <c r="O10" i="7"/>
  <c r="H8" i="7"/>
  <c r="O9" i="7"/>
  <c r="U8" i="8" l="1"/>
  <c r="Q9" i="7"/>
  <c r="R9" i="7" s="1"/>
  <c r="S9" i="7" s="1"/>
  <c r="Q10" i="7"/>
  <c r="R10" i="7" s="1"/>
  <c r="S10" i="7" s="1"/>
  <c r="Q8" i="7"/>
  <c r="S9" i="8"/>
  <c r="O8" i="7"/>
  <c r="X9" i="8"/>
  <c r="K8" i="8"/>
  <c r="U8" i="7"/>
  <c r="T8" i="7"/>
  <c r="Y9" i="8"/>
  <c r="V9" i="8" l="1"/>
  <c r="W9" i="8" s="1"/>
  <c r="R8" i="7"/>
  <c r="S8" i="7" s="1"/>
  <c r="Y8" i="8"/>
  <c r="S8" i="8"/>
  <c r="X8" i="8"/>
  <c r="V8" i="8" l="1"/>
  <c r="W8" i="8" s="1"/>
  <c r="R10" i="1"/>
  <c r="R8" i="1"/>
  <c r="I10" i="1" l="1"/>
  <c r="E10" i="1"/>
  <c r="F10" i="1" s="1"/>
  <c r="I8" i="1"/>
  <c r="E8" i="1"/>
  <c r="F8" i="1" s="1"/>
  <c r="V10" i="1"/>
  <c r="U10" i="1"/>
  <c r="P8" i="1"/>
  <c r="L10" i="1"/>
  <c r="N8" i="1" l="1"/>
  <c r="N10" i="1"/>
  <c r="O10" i="1" s="1"/>
  <c r="T10" i="1" s="1"/>
  <c r="L8" i="1"/>
  <c r="U8" i="1"/>
  <c r="V8" i="1"/>
  <c r="O8" i="1" l="1"/>
  <c r="T8" i="1" s="1"/>
  <c r="I11" i="1" l="1"/>
  <c r="F11" i="1"/>
  <c r="U11" i="1"/>
  <c r="L11" i="1"/>
  <c r="V11" i="1"/>
  <c r="N11" i="1" l="1"/>
  <c r="O11" i="1" s="1"/>
  <c r="T11" i="1" s="1"/>
</calcChain>
</file>

<file path=xl/sharedStrings.xml><?xml version="1.0" encoding="utf-8"?>
<sst xmlns="http://schemas.openxmlformats.org/spreadsheetml/2006/main" count="1284" uniqueCount="220">
  <si>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</si>
  <si>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</si>
  <si>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</si>
  <si>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</si>
  <si>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</si>
  <si>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</si>
  <si>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</si>
  <si>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</si>
  <si>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</si>
  <si>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</si>
  <si>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</si>
  <si>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</si>
  <si>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</si>
  <si>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</si>
  <si>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</si>
  <si>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</si>
  <si>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</si>
  <si>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</si>
  <si>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</si>
  <si>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</si>
  <si>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</si>
  <si>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</si>
  <si>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</si>
  <si>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</si>
  <si>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</si>
  <si>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</si>
  <si>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</si>
  <si>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</si>
  <si>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</si>
  <si>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</si>
  <si>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</si>
  <si>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</si>
  <si>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</si>
  <si>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</si>
  <si>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</si>
  <si>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</si>
  <si>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</si>
  <si>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</si>
  <si>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</si>
  <si>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</si>
  <si>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</si>
  <si>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</si>
  <si>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</si>
  <si>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</si>
  <si>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</si>
  <si>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</si>
  <si>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</si>
  <si>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</si>
  <si>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</si>
  <si>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</si>
  <si>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</si>
  <si>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</si>
  <si>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</si>
  <si>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</si>
  <si>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</si>
  <si>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</si>
  <si>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</si>
  <si>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</si>
  <si>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</si>
  <si>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</si>
  <si>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</si>
  <si>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</si>
  <si>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</si>
  <si>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</si>
  <si>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</si>
  <si>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</si>
  <si>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</si>
  <si>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</si>
  <si>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</si>
  <si>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</si>
  <si>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</si>
  <si>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</si>
  <si>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</si>
  <si>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</si>
  <si>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</si>
  <si>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</si>
  <si>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</si>
  <si>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</si>
  <si>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</si>
  <si>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</si>
  <si>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</si>
  <si>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</si>
  <si>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</si>
  <si>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</si>
  <si>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</si>
  <si>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</si>
  <si>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</si>
  <si>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</si>
  <si>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</si>
  <si>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</si>
  <si>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</si>
  <si>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</si>
  <si>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</si>
  <si>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</si>
  <si>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</si>
  <si>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</si>
  <si>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</si>
  <si>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</si>
  <si>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</si>
  <si>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</si>
  <si>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</si>
  <si>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</si>
  <si>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</si>
  <si>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</si>
  <si>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</si>
  <si>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</si>
  <si>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</si>
  <si>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</si>
  <si>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</si>
  <si>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</si>
  <si>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</si>
  <si>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</si>
  <si>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</si>
  <si>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</si>
  <si>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</si>
  <si>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</si>
  <si>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</si>
  <si>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</si>
  <si>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</si>
  <si>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</si>
  <si>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</si>
  <si>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</si>
  <si>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</si>
  <si>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</si>
  <si>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</si>
  <si>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</si>
  <si>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</si>
  <si>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</si>
  <si>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</si>
  <si>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</si>
  <si>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</si>
  <si>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</si>
  <si>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</si>
  <si>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</si>
  <si>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</si>
  <si>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</si>
  <si>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</si>
  <si>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</si>
  <si>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</si>
  <si>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</si>
  <si>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</si>
  <si>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</si>
  <si>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</si>
  <si>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</si>
  <si>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</si>
  <si>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</si>
  <si>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</si>
  <si>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</si>
  <si>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</si>
  <si>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</si>
  <si>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</si>
  <si>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</si>
  <si>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</si>
  <si>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</si>
  <si>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</si>
  <si>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</si>
  <si>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</si>
  <si>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</si>
  <si>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</si>
  <si>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</si>
  <si>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</si>
  <si>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</si>
  <si>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</si>
  <si>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</si>
  <si>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</si>
  <si>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</si>
  <si>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</si>
  <si>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</si>
  <si>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</si>
  <si>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</si>
  <si>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</si>
  <si>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</si>
  <si>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</si>
  <si>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</si>
  <si>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</si>
  <si>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</si>
  <si>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</si>
  <si>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</si>
  <si>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</si>
  <si>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</si>
  <si>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</si>
  <si>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</si>
  <si>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</si>
  <si>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</si>
  <si>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</si>
  <si>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</si>
  <si>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</si>
  <si>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</si>
  <si>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</si>
  <si>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</si>
  <si>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</si>
  <si>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</si>
  <si>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</si>
  <si>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</si>
  <si>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</si>
  <si>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</si>
  <si>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</si>
  <si>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</si>
  <si>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</si>
  <si>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</si>
  <si>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</si>
  <si>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</si>
  <si>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</si>
  <si>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</si>
  <si>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</si>
  <si>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</si>
  <si>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</si>
  <si>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</si>
  <si>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</si>
  <si>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</si>
  <si>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</si>
  <si>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</si>
  <si>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bh18e</t>
    <phoneticPr fontId="1" type="noConversion"/>
  </si>
  <si>
    <t>cu1805</t>
    <phoneticPr fontId="1" type="noConversion"/>
  </si>
  <si>
    <t>cs1805</t>
  </si>
  <si>
    <t>al1805</t>
    <phoneticPr fontId="1" type="noConversion"/>
  </si>
  <si>
    <t>江铜国贸</t>
    <phoneticPr fontId="1" type="noConversion"/>
  </si>
  <si>
    <t>zn1806</t>
  </si>
  <si>
    <t>zn1806</t>
    <phoneticPr fontId="1" type="noConversion"/>
  </si>
  <si>
    <t>au9999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</si>
</sst>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8" formatCode="###,###,##0.000"/>
  </numFmts>
  <fonts count="3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Inherit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20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79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43" fontId="5" fillId="9" borderId="2" xfId="2" applyFont="1" applyFill="1" applyBorder="1" applyAlignment="1"/>
    <xf numFmtId="0" fontId="5" fillId="9" borderId="23" xfId="0" applyFont="1" applyFill="1" applyBorder="1" applyAlignment="1">
      <alignment horizontal="center"/>
    </xf>
    <xf numFmtId="14" fontId="5" fillId="9" borderId="23" xfId="0" applyNumberFormat="1" applyFont="1" applyFill="1" applyBorder="1" applyAlignment="1">
      <alignment horizontal="center"/>
    </xf>
    <xf numFmtId="1" fontId="5" fillId="9" borderId="23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1" fontId="5" fillId="9" borderId="0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" fontId="5" fillId="9" borderId="2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3" fillId="0" borderId="0" xfId="0" applyFont="1" applyAlignment="1">
      <alignment horizontal="left" vertical="center"/>
    </xf>
    <xf numFmtId="188" fontId="5" fillId="9" borderId="0" xfId="0" applyNumberFormat="1" applyFont="1" applyFill="1" applyBorder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269.95</v>
        <stp/>
        <stp>au9999</stp>
        <stp>LastPrice</stp>
        <tr r="P18" s="1"/>
      </tp>
      <tp>
        <v>51710</v>
        <stp/>
        <stp>cu1805</stp>
        <stp>LastPrice</stp>
        <tr r="P12" s="1"/>
      </tp>
      <tp>
        <v>14150</v>
        <stp/>
        <stp>al1805</stp>
        <stp>LastPrice</stp>
        <tr r="P14" s="1"/>
        <tr r="P13" s="1"/>
        <tr r="P15" s="1"/>
      </tp>
      <tp>
        <v>24695</v>
        <stp/>
        <stp>zn1806</stp>
        <stp>LastPrice</stp>
        <tr r="P17" s="1"/>
      </tp>
      <tp>
        <v>3649</v>
        <stp/>
        <stp>rb1810</stp>
        <stp>LastPrice</stp>
        <tr r="P21" s="1"/>
        <tr r="P25" s="1"/>
        <tr r="P19" s="1"/>
        <tr r="P20" s="1"/>
        <tr r="P26" s="1"/>
        <tr r="P22" s="1"/>
        <tr r="P23" s="1"/>
        <tr r="P24" s="1"/>
        <tr r="P31" s="1"/>
        <tr r="P30" s="1"/>
        <tr r="P34" s="1"/>
        <tr r="P32" s="1"/>
        <tr r="P28" s="1"/>
        <tr r="P33" s="1"/>
        <tr r="P29" s="1"/>
        <tr r="P35" s="1"/>
      </tp>
      <tp>
        <v>3724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116"/>
  <sheetViews>
    <sheetView topLeftCell="A88" zoomScaleNormal="100" workbookViewId="0">
      <selection activeCell="R108" sqref="R108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75" t="s">
        <v>158</v>
      </c>
      <c r="C1" s="175"/>
      <c r="D1" s="175"/>
    </row>
    <row r="2" spans="2:18" ht="12" thickTop="1"/>
    <row r="5" spans="2:18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>
      <c r="B72" s="101" t="s">
        <v>160</v>
      </c>
      <c r="C72" s="101" t="s">
        <v>205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>
      <c r="B73" s="101" t="s">
        <v>160</v>
      </c>
      <c r="C73" s="101" t="s">
        <v>205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>
      <c r="B80" s="101" t="s">
        <v>160</v>
      </c>
      <c r="C80" s="101" t="s">
        <v>211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21">
      <c r="B81" s="101" t="s">
        <v>160</v>
      </c>
      <c r="C81" s="101" t="s">
        <v>211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21">
      <c r="B82" s="101" t="s">
        <v>160</v>
      </c>
      <c r="C82" s="101" t="s">
        <v>211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21">
      <c r="B83" s="101" t="s">
        <v>160</v>
      </c>
      <c r="C83" s="101" t="s">
        <v>211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21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21">
      <c r="B85" s="101" t="s">
        <v>160</v>
      </c>
      <c r="C85" s="101" t="s">
        <v>211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21">
      <c r="B86" s="101" t="s">
        <v>160</v>
      </c>
      <c r="C86" s="101" t="s">
        <v>211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21">
      <c r="B87" s="101" t="s">
        <v>160</v>
      </c>
      <c r="C87" s="101" t="s">
        <v>211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21">
      <c r="B88" s="101" t="s">
        <v>160</v>
      </c>
      <c r="C88" s="101" t="s">
        <v>211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21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21">
      <c r="B90" s="101" t="s">
        <v>160</v>
      </c>
      <c r="C90" s="101" t="s">
        <v>204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53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21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21">
      <c r="B92" s="101" t="s">
        <v>160</v>
      </c>
      <c r="C92" s="101" t="s">
        <v>192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53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  <row r="93" spans="2:21">
      <c r="B93" s="41"/>
      <c r="C93" s="41" t="s">
        <v>181</v>
      </c>
      <c r="D93" s="41" t="s">
        <v>180</v>
      </c>
      <c r="E93" s="41" t="s">
        <v>10</v>
      </c>
      <c r="F93" s="41" t="s">
        <v>184</v>
      </c>
      <c r="G93" s="41" t="s">
        <v>11</v>
      </c>
      <c r="H93" s="41" t="s">
        <v>12</v>
      </c>
      <c r="I93" s="41" t="s">
        <v>47</v>
      </c>
      <c r="J93" s="41" t="s">
        <v>13</v>
      </c>
      <c r="K93" s="41" t="s">
        <v>14</v>
      </c>
      <c r="L93" s="41" t="s">
        <v>26</v>
      </c>
      <c r="M93" s="41" t="s">
        <v>28</v>
      </c>
      <c r="N93" s="41" t="s">
        <v>182</v>
      </c>
      <c r="O93" s="41" t="s">
        <v>8</v>
      </c>
      <c r="P93" s="41" t="s">
        <v>23</v>
      </c>
      <c r="Q93" s="41"/>
      <c r="R93" s="41" t="s">
        <v>30</v>
      </c>
    </row>
    <row r="94" spans="2:21">
      <c r="B94" s="101" t="s">
        <v>160</v>
      </c>
      <c r="C94" s="101" t="s">
        <v>191</v>
      </c>
      <c r="D94" s="102">
        <v>43159</v>
      </c>
      <c r="E94" s="102">
        <v>43189</v>
      </c>
      <c r="F94" s="101">
        <v>13015</v>
      </c>
      <c r="G94" s="101">
        <v>30</v>
      </c>
      <c r="H94" s="101">
        <v>8.2191780821917804E-2</v>
      </c>
      <c r="I94" s="101">
        <v>0</v>
      </c>
      <c r="J94" s="101">
        <v>0.30499999999999999</v>
      </c>
      <c r="K94" s="101">
        <v>-453.12291403983545</v>
      </c>
      <c r="L94" s="101">
        <v>180</v>
      </c>
      <c r="M94" s="101">
        <v>19.255068493150681</v>
      </c>
      <c r="N94" s="153">
        <v>472.37798253298615</v>
      </c>
      <c r="O94" s="101">
        <v>13015</v>
      </c>
      <c r="P94" s="101" t="s">
        <v>39</v>
      </c>
      <c r="Q94" s="101">
        <v>-1</v>
      </c>
      <c r="R94" s="101" t="s">
        <v>20</v>
      </c>
      <c r="U94" s="6">
        <v>30000</v>
      </c>
    </row>
    <row r="95" spans="2:21">
      <c r="B95" s="41"/>
      <c r="C95" s="41" t="s">
        <v>181</v>
      </c>
      <c r="D95" s="41" t="s">
        <v>180</v>
      </c>
      <c r="E95" s="41" t="s">
        <v>10</v>
      </c>
      <c r="F95" s="41" t="s">
        <v>184</v>
      </c>
      <c r="G95" s="41" t="s">
        <v>11</v>
      </c>
      <c r="H95" s="41" t="s">
        <v>12</v>
      </c>
      <c r="I95" s="41" t="s">
        <v>47</v>
      </c>
      <c r="J95" s="41" t="s">
        <v>13</v>
      </c>
      <c r="K95" s="41" t="s">
        <v>14</v>
      </c>
      <c r="L95" s="41" t="s">
        <v>26</v>
      </c>
      <c r="M95" s="41" t="s">
        <v>28</v>
      </c>
      <c r="N95" s="41" t="s">
        <v>182</v>
      </c>
      <c r="O95" s="41" t="s">
        <v>8</v>
      </c>
      <c r="P95" s="41" t="s">
        <v>23</v>
      </c>
      <c r="Q95" s="41"/>
      <c r="R95" s="41" t="s">
        <v>30</v>
      </c>
      <c r="U95" s="6">
        <v>472</v>
      </c>
    </row>
    <row r="96" spans="2:21">
      <c r="B96" s="101" t="s">
        <v>160</v>
      </c>
      <c r="C96" s="101" t="s">
        <v>214</v>
      </c>
      <c r="D96" s="102">
        <v>43161</v>
      </c>
      <c r="E96" s="102">
        <v>43192</v>
      </c>
      <c r="F96" s="101">
        <v>2171</v>
      </c>
      <c r="G96" s="101">
        <v>31</v>
      </c>
      <c r="H96" s="101">
        <v>8.4931506849315067E-2</v>
      </c>
      <c r="I96" s="101">
        <v>0</v>
      </c>
      <c r="J96" s="101">
        <v>0.155</v>
      </c>
      <c r="K96" s="101">
        <v>-39.053626997843594</v>
      </c>
      <c r="L96" s="101">
        <v>0</v>
      </c>
      <c r="M96" s="101">
        <v>0</v>
      </c>
      <c r="N96" s="153">
        <v>39.053626997843594</v>
      </c>
      <c r="O96" s="101">
        <v>2171</v>
      </c>
      <c r="P96" s="101" t="s">
        <v>39</v>
      </c>
      <c r="Q96" s="101">
        <v>-1</v>
      </c>
      <c r="R96" s="101" t="s">
        <v>20</v>
      </c>
      <c r="U96" s="6">
        <f>U94/U95</f>
        <v>63.559322033898304</v>
      </c>
    </row>
    <row r="97" spans="2:18">
      <c r="B97" s="41"/>
      <c r="C97" s="41" t="s">
        <v>181</v>
      </c>
      <c r="D97" s="41" t="s">
        <v>180</v>
      </c>
      <c r="E97" s="41" t="s">
        <v>10</v>
      </c>
      <c r="F97" s="41" t="s">
        <v>184</v>
      </c>
      <c r="G97" s="41" t="s">
        <v>11</v>
      </c>
      <c r="H97" s="41" t="s">
        <v>12</v>
      </c>
      <c r="I97" s="41" t="s">
        <v>47</v>
      </c>
      <c r="J97" s="41" t="s">
        <v>13</v>
      </c>
      <c r="K97" s="41" t="s">
        <v>14</v>
      </c>
      <c r="L97" s="41" t="s">
        <v>26</v>
      </c>
      <c r="M97" s="41" t="s">
        <v>28</v>
      </c>
      <c r="N97" s="41" t="s">
        <v>182</v>
      </c>
      <c r="O97" s="41" t="s">
        <v>8</v>
      </c>
      <c r="P97" s="41" t="s">
        <v>23</v>
      </c>
      <c r="Q97" s="41"/>
      <c r="R97" s="41" t="s">
        <v>30</v>
      </c>
    </row>
    <row r="98" spans="2:18">
      <c r="B98" s="101" t="s">
        <v>160</v>
      </c>
      <c r="C98" s="101" t="s">
        <v>217</v>
      </c>
      <c r="D98" s="102">
        <v>43166</v>
      </c>
      <c r="E98" s="102">
        <v>43238</v>
      </c>
      <c r="F98" s="101">
        <v>22000</v>
      </c>
      <c r="G98" s="101">
        <v>72</v>
      </c>
      <c r="H98" s="101">
        <v>0.19726027397260273</v>
      </c>
      <c r="I98" s="101">
        <v>0</v>
      </c>
      <c r="J98" s="101">
        <v>0.23</v>
      </c>
      <c r="K98" s="101">
        <v>-94.290778450317248</v>
      </c>
      <c r="L98" s="101">
        <v>0</v>
      </c>
      <c r="M98" s="101">
        <v>0</v>
      </c>
      <c r="N98" s="153">
        <v>94.290778450317248</v>
      </c>
      <c r="O98" s="101">
        <v>25300</v>
      </c>
      <c r="P98" s="101" t="s">
        <v>85</v>
      </c>
      <c r="Q98" s="101">
        <v>-1</v>
      </c>
      <c r="R98" s="101" t="s">
        <v>20</v>
      </c>
    </row>
    <row r="99" spans="2:18">
      <c r="B99" s="41"/>
      <c r="C99" s="41" t="s">
        <v>181</v>
      </c>
      <c r="D99" s="41" t="s">
        <v>180</v>
      </c>
      <c r="E99" s="41" t="s">
        <v>10</v>
      </c>
      <c r="F99" s="41" t="s">
        <v>184</v>
      </c>
      <c r="G99" s="41" t="s">
        <v>11</v>
      </c>
      <c r="H99" s="41" t="s">
        <v>12</v>
      </c>
      <c r="I99" s="41" t="s">
        <v>47</v>
      </c>
      <c r="J99" s="41" t="s">
        <v>13</v>
      </c>
      <c r="K99" s="41" t="s">
        <v>14</v>
      </c>
      <c r="L99" s="41" t="s">
        <v>26</v>
      </c>
      <c r="M99" s="41" t="s">
        <v>28</v>
      </c>
      <c r="N99" s="41" t="s">
        <v>182</v>
      </c>
      <c r="O99" s="41" t="s">
        <v>8</v>
      </c>
      <c r="P99" s="41" t="s">
        <v>23</v>
      </c>
      <c r="Q99" s="41"/>
      <c r="R99" s="41" t="s">
        <v>30</v>
      </c>
    </row>
    <row r="100" spans="2:18">
      <c r="B100" s="166" t="s">
        <v>160</v>
      </c>
      <c r="C100" s="166" t="s">
        <v>186</v>
      </c>
      <c r="D100" s="167">
        <v>43167</v>
      </c>
      <c r="E100" s="167">
        <v>43219</v>
      </c>
      <c r="F100" s="166">
        <v>3750</v>
      </c>
      <c r="G100" s="166">
        <v>52</v>
      </c>
      <c r="H100" s="166">
        <v>0.13150684931506848</v>
      </c>
      <c r="I100" s="166">
        <v>0</v>
      </c>
      <c r="J100" s="166">
        <v>0.14499999999999999</v>
      </c>
      <c r="K100" s="166">
        <v>80.418743312965717</v>
      </c>
      <c r="L100" s="166">
        <v>0</v>
      </c>
      <c r="M100" s="166">
        <v>0</v>
      </c>
      <c r="N100" s="168">
        <v>80.418743312965717</v>
      </c>
      <c r="O100" s="166">
        <v>3746</v>
      </c>
      <c r="P100" s="166" t="s">
        <v>85</v>
      </c>
      <c r="Q100" s="166">
        <v>1</v>
      </c>
      <c r="R100" s="166" t="s">
        <v>151</v>
      </c>
    </row>
    <row r="101" spans="2:18">
      <c r="B101" s="169" t="s">
        <v>160</v>
      </c>
      <c r="C101" s="169" t="s">
        <v>186</v>
      </c>
      <c r="D101" s="170">
        <v>43167</v>
      </c>
      <c r="E101" s="170">
        <v>43219</v>
      </c>
      <c r="F101" s="169">
        <v>3700</v>
      </c>
      <c r="G101" s="169">
        <v>52</v>
      </c>
      <c r="H101" s="169">
        <v>0.13150684931506848</v>
      </c>
      <c r="I101" s="169">
        <v>0</v>
      </c>
      <c r="J101" s="169">
        <v>0.14499999999999999</v>
      </c>
      <c r="K101" s="169">
        <v>57.085102614281595</v>
      </c>
      <c r="L101" s="169">
        <v>0</v>
      </c>
      <c r="M101" s="169">
        <v>0</v>
      </c>
      <c r="N101" s="171">
        <v>57.085102614281595</v>
      </c>
      <c r="O101" s="169">
        <v>3746</v>
      </c>
      <c r="P101" s="169" t="s">
        <v>85</v>
      </c>
      <c r="Q101" s="169">
        <v>1</v>
      </c>
      <c r="R101" s="169" t="s">
        <v>151</v>
      </c>
    </row>
    <row r="102" spans="2:18">
      <c r="B102" s="169" t="s">
        <v>160</v>
      </c>
      <c r="C102" s="169" t="s">
        <v>186</v>
      </c>
      <c r="D102" s="170">
        <v>43167</v>
      </c>
      <c r="E102" s="170">
        <v>43219</v>
      </c>
      <c r="F102" s="169">
        <v>3650</v>
      </c>
      <c r="G102" s="169">
        <v>52</v>
      </c>
      <c r="H102" s="169">
        <v>0.13150684931506848</v>
      </c>
      <c r="I102" s="169">
        <v>0</v>
      </c>
      <c r="J102" s="169">
        <v>0.14499999999999999</v>
      </c>
      <c r="K102" s="169">
        <v>38.727281435432815</v>
      </c>
      <c r="L102" s="169">
        <v>0</v>
      </c>
      <c r="M102" s="169">
        <v>0</v>
      </c>
      <c r="N102" s="171">
        <v>38</v>
      </c>
      <c r="O102" s="169">
        <v>3746</v>
      </c>
      <c r="P102" s="169" t="s">
        <v>85</v>
      </c>
      <c r="Q102" s="169">
        <v>1</v>
      </c>
      <c r="R102" s="169" t="s">
        <v>151</v>
      </c>
    </row>
    <row r="103" spans="2:18">
      <c r="B103" s="172" t="s">
        <v>160</v>
      </c>
      <c r="C103" s="172" t="s">
        <v>186</v>
      </c>
      <c r="D103" s="173">
        <v>43167</v>
      </c>
      <c r="E103" s="173">
        <v>43219</v>
      </c>
      <c r="F103" s="172">
        <v>3600</v>
      </c>
      <c r="G103" s="172">
        <v>52</v>
      </c>
      <c r="H103" s="172">
        <v>0.13150684931506848</v>
      </c>
      <c r="I103" s="172">
        <v>0</v>
      </c>
      <c r="J103" s="172">
        <v>0.14499999999999999</v>
      </c>
      <c r="K103" s="172">
        <v>24.993780231175947</v>
      </c>
      <c r="L103" s="172">
        <v>0</v>
      </c>
      <c r="M103" s="172">
        <v>0</v>
      </c>
      <c r="N103" s="174">
        <v>24.993780231175947</v>
      </c>
      <c r="O103" s="172">
        <v>3746</v>
      </c>
      <c r="P103" s="172" t="s">
        <v>85</v>
      </c>
      <c r="Q103" s="172">
        <v>1</v>
      </c>
      <c r="R103" s="172" t="s">
        <v>151</v>
      </c>
    </row>
    <row r="104" spans="2:18">
      <c r="B104" s="101" t="s">
        <v>160</v>
      </c>
      <c r="C104" s="101" t="s">
        <v>186</v>
      </c>
      <c r="D104" s="102">
        <v>43167</v>
      </c>
      <c r="E104" s="102">
        <v>43230</v>
      </c>
      <c r="F104" s="101">
        <v>3750</v>
      </c>
      <c r="G104" s="101">
        <v>63</v>
      </c>
      <c r="H104" s="101">
        <v>0.16164383561643836</v>
      </c>
      <c r="I104" s="101">
        <v>0</v>
      </c>
      <c r="J104" s="101">
        <v>0.14499999999999999</v>
      </c>
      <c r="K104" s="101">
        <v>88.88247560718446</v>
      </c>
      <c r="L104" s="101">
        <v>0</v>
      </c>
      <c r="M104" s="101">
        <v>0</v>
      </c>
      <c r="N104" s="154">
        <v>88</v>
      </c>
      <c r="O104" s="101">
        <v>3746</v>
      </c>
      <c r="P104" s="101" t="s">
        <v>85</v>
      </c>
      <c r="Q104" s="101">
        <v>1</v>
      </c>
      <c r="R104" s="101" t="s">
        <v>151</v>
      </c>
    </row>
    <row r="105" spans="2:18">
      <c r="B105" s="101" t="s">
        <v>160</v>
      </c>
      <c r="C105" s="101" t="s">
        <v>186</v>
      </c>
      <c r="D105" s="102">
        <v>43167</v>
      </c>
      <c r="E105" s="102">
        <v>43230</v>
      </c>
      <c r="F105" s="101">
        <v>3700</v>
      </c>
      <c r="G105" s="101">
        <v>63</v>
      </c>
      <c r="H105" s="101">
        <v>0.16164383561643836</v>
      </c>
      <c r="I105" s="101">
        <v>0</v>
      </c>
      <c r="J105" s="101">
        <v>0.14499999999999999</v>
      </c>
      <c r="K105" s="101">
        <v>65.299551179712807</v>
      </c>
      <c r="L105" s="101">
        <v>0</v>
      </c>
      <c r="M105" s="101">
        <v>0</v>
      </c>
      <c r="N105" s="154">
        <v>65.299551179712807</v>
      </c>
      <c r="O105" s="101">
        <v>3746</v>
      </c>
      <c r="P105" s="101" t="s">
        <v>85</v>
      </c>
      <c r="Q105" s="101">
        <v>1</v>
      </c>
      <c r="R105" s="101" t="s">
        <v>151</v>
      </c>
    </row>
    <row r="106" spans="2:18">
      <c r="B106" s="101" t="s">
        <v>160</v>
      </c>
      <c r="C106" s="101" t="s">
        <v>186</v>
      </c>
      <c r="D106" s="102">
        <v>43167</v>
      </c>
      <c r="E106" s="102">
        <v>43230</v>
      </c>
      <c r="F106" s="101">
        <v>3650</v>
      </c>
      <c r="G106" s="101">
        <v>63</v>
      </c>
      <c r="H106" s="101">
        <v>0.16164383561643836</v>
      </c>
      <c r="I106" s="101">
        <v>0</v>
      </c>
      <c r="J106" s="101">
        <v>0.14499999999999999</v>
      </c>
      <c r="K106" s="101">
        <v>46.229139212468681</v>
      </c>
      <c r="L106" s="101">
        <v>0</v>
      </c>
      <c r="M106" s="101">
        <v>0</v>
      </c>
      <c r="N106" s="154">
        <v>46.229139212468681</v>
      </c>
      <c r="O106" s="101">
        <v>3746</v>
      </c>
      <c r="P106" s="101" t="s">
        <v>85</v>
      </c>
      <c r="Q106" s="101">
        <v>1</v>
      </c>
      <c r="R106" s="101" t="s">
        <v>151</v>
      </c>
    </row>
    <row r="107" spans="2:18">
      <c r="B107" s="101" t="s">
        <v>160</v>
      </c>
      <c r="C107" s="101" t="s">
        <v>186</v>
      </c>
      <c r="D107" s="102">
        <v>43167</v>
      </c>
      <c r="E107" s="102">
        <v>43230</v>
      </c>
      <c r="F107" s="101">
        <v>3600</v>
      </c>
      <c r="G107" s="101">
        <v>63</v>
      </c>
      <c r="H107" s="101">
        <v>0.16164383561643836</v>
      </c>
      <c r="I107" s="101">
        <v>0</v>
      </c>
      <c r="J107" s="101">
        <v>0.14499999999999999</v>
      </c>
      <c r="K107" s="101">
        <v>31.425662768387383</v>
      </c>
      <c r="L107" s="101">
        <v>0</v>
      </c>
      <c r="M107" s="101">
        <v>0</v>
      </c>
      <c r="N107" s="154">
        <v>31.425662768387383</v>
      </c>
      <c r="O107" s="101">
        <v>3746</v>
      </c>
      <c r="P107" s="101" t="s">
        <v>85</v>
      </c>
      <c r="Q107" s="101">
        <v>1</v>
      </c>
      <c r="R107" s="101" t="s">
        <v>151</v>
      </c>
    </row>
    <row r="108" spans="2:18">
      <c r="B108" s="41"/>
      <c r="C108" s="41" t="s">
        <v>181</v>
      </c>
      <c r="D108" s="41" t="s">
        <v>180</v>
      </c>
      <c r="E108" s="41" t="s">
        <v>10</v>
      </c>
      <c r="F108" s="41" t="s">
        <v>184</v>
      </c>
      <c r="G108" s="41" t="s">
        <v>11</v>
      </c>
      <c r="H108" s="41" t="s">
        <v>12</v>
      </c>
      <c r="I108" s="41" t="s">
        <v>47</v>
      </c>
      <c r="J108" s="41" t="s">
        <v>13</v>
      </c>
      <c r="K108" s="41" t="s">
        <v>14</v>
      </c>
      <c r="L108" s="41" t="s">
        <v>26</v>
      </c>
      <c r="M108" s="41" t="s">
        <v>28</v>
      </c>
      <c r="N108" s="41" t="s">
        <v>182</v>
      </c>
      <c r="O108" s="41" t="s">
        <v>8</v>
      </c>
      <c r="P108" s="41" t="s">
        <v>23</v>
      </c>
      <c r="Q108" s="41"/>
      <c r="R108" s="41" t="s">
        <v>30</v>
      </c>
    </row>
    <row r="109" spans="2:18">
      <c r="B109" s="166" t="s">
        <v>160</v>
      </c>
      <c r="C109" s="166" t="s">
        <v>186</v>
      </c>
      <c r="D109" s="167">
        <v>43168</v>
      </c>
      <c r="E109" s="167">
        <v>43219</v>
      </c>
      <c r="F109" s="166">
        <v>3750</v>
      </c>
      <c r="G109" s="166">
        <v>51</v>
      </c>
      <c r="H109" s="166">
        <v>0.13424657534246576</v>
      </c>
      <c r="I109" s="166">
        <v>0</v>
      </c>
      <c r="J109" s="166">
        <v>0.14249999999999999</v>
      </c>
      <c r="K109" s="166">
        <v>102.50502019571513</v>
      </c>
      <c r="L109" s="166">
        <v>0</v>
      </c>
      <c r="M109" s="166">
        <v>0</v>
      </c>
      <c r="N109" s="168">
        <v>102.50502019571513</v>
      </c>
      <c r="O109" s="166">
        <v>3704</v>
      </c>
      <c r="P109" s="166" t="s">
        <v>85</v>
      </c>
      <c r="Q109" s="166">
        <v>1</v>
      </c>
      <c r="R109" s="166" t="s">
        <v>151</v>
      </c>
    </row>
    <row r="110" spans="2:18">
      <c r="B110" s="169" t="s">
        <v>160</v>
      </c>
      <c r="C110" s="169" t="s">
        <v>186</v>
      </c>
      <c r="D110" s="170">
        <v>43168</v>
      </c>
      <c r="E110" s="170">
        <v>43219</v>
      </c>
      <c r="F110" s="169">
        <v>3700</v>
      </c>
      <c r="G110" s="169">
        <v>51</v>
      </c>
      <c r="H110" s="169">
        <v>0.13424657534246576</v>
      </c>
      <c r="I110" s="169">
        <v>0</v>
      </c>
      <c r="J110" s="169">
        <v>0.14249999999999999</v>
      </c>
      <c r="K110" s="169">
        <v>74.916730781821343</v>
      </c>
      <c r="L110" s="169">
        <v>0</v>
      </c>
      <c r="M110" s="169">
        <v>0</v>
      </c>
      <c r="N110" s="171">
        <v>74.916730781821343</v>
      </c>
      <c r="O110" s="169">
        <v>3704</v>
      </c>
      <c r="P110" s="169" t="s">
        <v>85</v>
      </c>
      <c r="Q110" s="169">
        <v>1</v>
      </c>
      <c r="R110" s="169" t="s">
        <v>151</v>
      </c>
    </row>
    <row r="111" spans="2:18">
      <c r="B111" s="169" t="s">
        <v>160</v>
      </c>
      <c r="C111" s="169" t="s">
        <v>186</v>
      </c>
      <c r="D111" s="170">
        <v>43168</v>
      </c>
      <c r="E111" s="170">
        <v>43219</v>
      </c>
      <c r="F111" s="169">
        <v>3650</v>
      </c>
      <c r="G111" s="169">
        <v>51</v>
      </c>
      <c r="H111" s="169">
        <v>0.13424657534246576</v>
      </c>
      <c r="I111" s="169">
        <v>0</v>
      </c>
      <c r="J111" s="169">
        <v>0.14249999999999999</v>
      </c>
      <c r="K111" s="169">
        <v>52.448906010833753</v>
      </c>
      <c r="L111" s="169">
        <v>0</v>
      </c>
      <c r="M111" s="169">
        <v>0</v>
      </c>
      <c r="N111" s="171">
        <v>52.448906010833753</v>
      </c>
      <c r="O111" s="169">
        <v>3704</v>
      </c>
      <c r="P111" s="169" t="s">
        <v>85</v>
      </c>
      <c r="Q111" s="169">
        <v>1</v>
      </c>
      <c r="R111" s="169" t="s">
        <v>151</v>
      </c>
    </row>
    <row r="112" spans="2:18">
      <c r="B112" s="172" t="s">
        <v>160</v>
      </c>
      <c r="C112" s="172" t="s">
        <v>186</v>
      </c>
      <c r="D112" s="173">
        <v>43168</v>
      </c>
      <c r="E112" s="173">
        <v>43219</v>
      </c>
      <c r="F112" s="172">
        <v>3600</v>
      </c>
      <c r="G112" s="172">
        <v>51</v>
      </c>
      <c r="H112" s="172">
        <v>0.13424657534246576</v>
      </c>
      <c r="I112" s="172">
        <v>0</v>
      </c>
      <c r="J112" s="172">
        <v>0.14249999999999999</v>
      </c>
      <c r="K112" s="172">
        <v>35.005433027865365</v>
      </c>
      <c r="L112" s="172">
        <v>0</v>
      </c>
      <c r="M112" s="172">
        <v>0</v>
      </c>
      <c r="N112" s="174">
        <v>35.005433027865365</v>
      </c>
      <c r="O112" s="172">
        <v>3704</v>
      </c>
      <c r="P112" s="172" t="s">
        <v>85</v>
      </c>
      <c r="Q112" s="172">
        <v>1</v>
      </c>
      <c r="R112" s="172" t="s">
        <v>151</v>
      </c>
    </row>
    <row r="113" spans="2:18">
      <c r="B113" s="101" t="s">
        <v>160</v>
      </c>
      <c r="C113" s="101" t="s">
        <v>186</v>
      </c>
      <c r="D113" s="102">
        <v>43168</v>
      </c>
      <c r="E113" s="102">
        <v>43230</v>
      </c>
      <c r="F113" s="101">
        <v>3750</v>
      </c>
      <c r="G113" s="101">
        <v>62</v>
      </c>
      <c r="H113" s="101">
        <v>0.15890410958904111</v>
      </c>
      <c r="I113" s="101">
        <v>0</v>
      </c>
      <c r="J113" s="101">
        <v>0.14249999999999999</v>
      </c>
      <c r="K113" s="101">
        <v>109.08664996121979</v>
      </c>
      <c r="L113" s="101">
        <v>0</v>
      </c>
      <c r="M113" s="101">
        <v>0</v>
      </c>
      <c r="N113" s="154">
        <v>109.08664996121979</v>
      </c>
      <c r="O113" s="101">
        <v>3704</v>
      </c>
      <c r="P113" s="101" t="s">
        <v>85</v>
      </c>
      <c r="Q113" s="101">
        <v>1</v>
      </c>
      <c r="R113" s="101" t="s">
        <v>151</v>
      </c>
    </row>
    <row r="114" spans="2:18">
      <c r="B114" s="101" t="s">
        <v>160</v>
      </c>
      <c r="C114" s="101" t="s">
        <v>186</v>
      </c>
      <c r="D114" s="102">
        <v>43168</v>
      </c>
      <c r="E114" s="102">
        <v>43230</v>
      </c>
      <c r="F114" s="101">
        <v>3700</v>
      </c>
      <c r="G114" s="101">
        <v>62</v>
      </c>
      <c r="H114" s="101">
        <v>0.15890410958904111</v>
      </c>
      <c r="I114" s="101">
        <v>0</v>
      </c>
      <c r="J114" s="101">
        <v>0.14249999999999999</v>
      </c>
      <c r="K114" s="101">
        <v>81.637643545691617</v>
      </c>
      <c r="L114" s="101">
        <v>0</v>
      </c>
      <c r="M114" s="101">
        <v>0</v>
      </c>
      <c r="N114" s="154">
        <v>81.637643545691617</v>
      </c>
      <c r="O114" s="101">
        <v>3704</v>
      </c>
      <c r="P114" s="101" t="s">
        <v>85</v>
      </c>
      <c r="Q114" s="101">
        <v>1</v>
      </c>
      <c r="R114" s="101" t="s">
        <v>151</v>
      </c>
    </row>
    <row r="115" spans="2:18">
      <c r="B115" s="101" t="s">
        <v>160</v>
      </c>
      <c r="C115" s="101" t="s">
        <v>186</v>
      </c>
      <c r="D115" s="102">
        <v>43168</v>
      </c>
      <c r="E115" s="102">
        <v>43230</v>
      </c>
      <c r="F115" s="101">
        <v>3650</v>
      </c>
      <c r="G115" s="101">
        <v>62</v>
      </c>
      <c r="H115" s="101">
        <v>0.15890410958904111</v>
      </c>
      <c r="I115" s="101">
        <v>0</v>
      </c>
      <c r="J115" s="101">
        <v>0.14249999999999999</v>
      </c>
      <c r="K115" s="101">
        <v>58.896690498004091</v>
      </c>
      <c r="L115" s="101">
        <v>0</v>
      </c>
      <c r="M115" s="101">
        <v>0</v>
      </c>
      <c r="N115" s="154">
        <v>58.896690498004091</v>
      </c>
      <c r="O115" s="101">
        <v>3704</v>
      </c>
      <c r="P115" s="101" t="s">
        <v>85</v>
      </c>
      <c r="Q115" s="101">
        <v>1</v>
      </c>
      <c r="R115" s="101" t="s">
        <v>151</v>
      </c>
    </row>
    <row r="116" spans="2:18">
      <c r="B116" s="101" t="s">
        <v>160</v>
      </c>
      <c r="C116" s="101" t="s">
        <v>186</v>
      </c>
      <c r="D116" s="102">
        <v>43168</v>
      </c>
      <c r="E116" s="102">
        <v>43230</v>
      </c>
      <c r="F116" s="101">
        <v>3600</v>
      </c>
      <c r="G116" s="101">
        <v>62</v>
      </c>
      <c r="H116" s="101">
        <v>0.15890410958904111</v>
      </c>
      <c r="I116" s="101">
        <v>0</v>
      </c>
      <c r="J116" s="101">
        <v>0.14249999999999999</v>
      </c>
      <c r="K116" s="101">
        <v>40.803445083421593</v>
      </c>
      <c r="L116" s="101">
        <v>0</v>
      </c>
      <c r="M116" s="101">
        <v>0</v>
      </c>
      <c r="N116" s="154">
        <v>40.803445083421593</v>
      </c>
      <c r="O116" s="101">
        <v>3704</v>
      </c>
      <c r="P116" s="101" t="s">
        <v>85</v>
      </c>
      <c r="Q116" s="101">
        <v>1</v>
      </c>
      <c r="R116" s="101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75" t="s">
        <v>158</v>
      </c>
      <c r="C1" s="175"/>
      <c r="D1" s="175"/>
    </row>
    <row r="2" spans="1:21" ht="12" thickTop="1"/>
    <row r="3" spans="1:2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B36" sqref="B36:E48"/>
    </sheetView>
  </sheetViews>
  <sheetFormatPr defaultColWidth="9" defaultRowHeight="10.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>
      <c r="B1" s="191" t="s">
        <v>118</v>
      </c>
      <c r="C1" s="191"/>
    </row>
    <row r="2" spans="2:20" ht="11.25" thickTop="1"/>
    <row r="3" spans="2:20" ht="11.25" thickBot="1">
      <c r="B3" s="192" t="s">
        <v>119</v>
      </c>
      <c r="C3" s="192"/>
      <c r="D3" s="192"/>
      <c r="E3" s="192"/>
      <c r="G3" s="196" t="s">
        <v>120</v>
      </c>
      <c r="H3" s="196"/>
      <c r="I3" s="196"/>
      <c r="J3" s="196"/>
      <c r="L3" s="192" t="s">
        <v>165</v>
      </c>
      <c r="M3" s="192"/>
      <c r="N3" s="192"/>
      <c r="O3" s="192"/>
      <c r="Q3" s="196" t="s">
        <v>166</v>
      </c>
      <c r="R3" s="196"/>
      <c r="S3" s="196"/>
      <c r="T3" s="196"/>
    </row>
    <row r="4" spans="2:20" ht="12" thickTop="1" thickBot="1">
      <c r="B4" s="193" t="s">
        <v>121</v>
      </c>
      <c r="C4" s="193"/>
      <c r="D4" s="193"/>
      <c r="E4" s="193"/>
      <c r="G4" s="193" t="s">
        <v>34</v>
      </c>
      <c r="H4" s="193"/>
      <c r="I4" s="193"/>
      <c r="J4" s="193"/>
      <c r="L4" s="193" t="s">
        <v>121</v>
      </c>
      <c r="M4" s="193"/>
      <c r="N4" s="193"/>
      <c r="O4" s="193"/>
      <c r="Q4" s="193" t="s">
        <v>34</v>
      </c>
      <c r="R4" s="193"/>
      <c r="S4" s="193"/>
      <c r="T4" s="193"/>
    </row>
    <row r="5" spans="2:20" ht="15" customHeight="1" thickTop="1">
      <c r="B5" s="190" t="s">
        <v>122</v>
      </c>
      <c r="C5" s="190"/>
      <c r="D5" s="194"/>
      <c r="E5" s="195"/>
      <c r="G5" s="190" t="s">
        <v>123</v>
      </c>
      <c r="H5" s="190"/>
      <c r="I5" s="158"/>
      <c r="J5" s="159"/>
      <c r="L5" s="156" t="s">
        <v>122</v>
      </c>
      <c r="M5" s="157"/>
      <c r="N5" s="158"/>
      <c r="O5" s="159"/>
      <c r="Q5" s="190" t="s">
        <v>123</v>
      </c>
      <c r="R5" s="190"/>
      <c r="S5" s="158"/>
      <c r="T5" s="159"/>
    </row>
    <row r="6" spans="2:20">
      <c r="B6" s="190" t="s">
        <v>124</v>
      </c>
      <c r="C6" s="190"/>
      <c r="D6" s="188" t="s">
        <v>125</v>
      </c>
      <c r="E6" s="189"/>
      <c r="G6" s="190" t="s">
        <v>126</v>
      </c>
      <c r="H6" s="190"/>
      <c r="I6" s="188"/>
      <c r="J6" s="189"/>
      <c r="L6" s="190" t="s">
        <v>124</v>
      </c>
      <c r="M6" s="190"/>
      <c r="N6" s="188" t="s">
        <v>125</v>
      </c>
      <c r="O6" s="189"/>
      <c r="Q6" s="190" t="s">
        <v>126</v>
      </c>
      <c r="R6" s="190"/>
      <c r="S6" s="188"/>
      <c r="T6" s="189"/>
    </row>
    <row r="7" spans="2:20" ht="2.25" customHeight="1">
      <c r="B7" s="190" t="s">
        <v>127</v>
      </c>
      <c r="C7" s="190"/>
      <c r="D7" s="188" t="s">
        <v>125</v>
      </c>
      <c r="E7" s="189"/>
      <c r="G7" s="190" t="s">
        <v>128</v>
      </c>
      <c r="H7" s="190"/>
      <c r="I7" s="188"/>
      <c r="J7" s="189"/>
      <c r="L7" s="190" t="s">
        <v>127</v>
      </c>
      <c r="M7" s="190"/>
      <c r="N7" s="188" t="s">
        <v>125</v>
      </c>
      <c r="O7" s="189"/>
      <c r="Q7" s="190" t="s">
        <v>128</v>
      </c>
      <c r="R7" s="190"/>
      <c r="S7" s="188"/>
      <c r="T7" s="189"/>
    </row>
    <row r="8" spans="2:20" hidden="1">
      <c r="B8" s="190" t="s">
        <v>129</v>
      </c>
      <c r="C8" s="190"/>
      <c r="D8" s="188">
        <f>D13*D15</f>
        <v>305000</v>
      </c>
      <c r="E8" s="189"/>
      <c r="G8" s="190" t="s">
        <v>130</v>
      </c>
      <c r="H8" s="190"/>
      <c r="I8" s="188"/>
      <c r="J8" s="189"/>
      <c r="L8" s="190" t="s">
        <v>129</v>
      </c>
      <c r="M8" s="190"/>
      <c r="N8" s="188">
        <f>N14*N16</f>
        <v>305000</v>
      </c>
      <c r="O8" s="189"/>
      <c r="Q8" s="190" t="s">
        <v>130</v>
      </c>
      <c r="R8" s="190"/>
      <c r="S8" s="188"/>
      <c r="T8" s="189"/>
    </row>
    <row r="9" spans="2:20" hidden="1">
      <c r="B9" s="190" t="s">
        <v>131</v>
      </c>
      <c r="C9" s="190"/>
      <c r="D9" s="188" t="s">
        <v>132</v>
      </c>
      <c r="E9" s="189"/>
      <c r="G9" s="190" t="s">
        <v>133</v>
      </c>
      <c r="H9" s="190"/>
      <c r="I9" s="188"/>
      <c r="J9" s="189"/>
      <c r="L9" s="190" t="s">
        <v>131</v>
      </c>
      <c r="M9" s="190"/>
      <c r="N9" s="188" t="s">
        <v>132</v>
      </c>
      <c r="O9" s="189"/>
      <c r="Q9" s="190" t="s">
        <v>133</v>
      </c>
      <c r="R9" s="190"/>
      <c r="S9" s="188"/>
      <c r="T9" s="189"/>
    </row>
    <row r="10" spans="2:20" hidden="1">
      <c r="B10" s="190" t="s">
        <v>134</v>
      </c>
      <c r="C10" s="190"/>
      <c r="D10" s="188">
        <v>43084</v>
      </c>
      <c r="E10" s="189"/>
      <c r="G10" s="160" t="s">
        <v>135</v>
      </c>
      <c r="H10" s="160"/>
      <c r="I10" s="188"/>
      <c r="J10" s="189"/>
      <c r="L10" s="190" t="s">
        <v>134</v>
      </c>
      <c r="M10" s="190"/>
      <c r="N10" s="188">
        <v>43084</v>
      </c>
      <c r="O10" s="189"/>
      <c r="Q10" s="160" t="s">
        <v>135</v>
      </c>
      <c r="R10" s="160"/>
      <c r="S10" s="188"/>
      <c r="T10" s="189"/>
    </row>
    <row r="11" spans="2:20" hidden="1">
      <c r="B11" s="190" t="s">
        <v>136</v>
      </c>
      <c r="C11" s="190"/>
      <c r="D11" s="188">
        <v>3935</v>
      </c>
      <c r="E11" s="189"/>
      <c r="G11" s="190" t="s">
        <v>137</v>
      </c>
      <c r="H11" s="190"/>
      <c r="I11" s="188"/>
      <c r="J11" s="189"/>
      <c r="L11" s="190" t="s">
        <v>136</v>
      </c>
      <c r="M11" s="190"/>
      <c r="N11" s="188">
        <v>3935</v>
      </c>
      <c r="O11" s="189"/>
      <c r="Q11" s="190" t="s">
        <v>137</v>
      </c>
      <c r="R11" s="190"/>
      <c r="S11" s="188"/>
      <c r="T11" s="189"/>
    </row>
    <row r="12" spans="2:20" hidden="1">
      <c r="B12" s="190" t="s">
        <v>138</v>
      </c>
      <c r="C12" s="190"/>
      <c r="D12" s="188">
        <v>3800</v>
      </c>
      <c r="E12" s="189"/>
      <c r="G12" s="190" t="s">
        <v>139</v>
      </c>
      <c r="H12" s="190"/>
      <c r="I12" s="188"/>
      <c r="J12" s="189"/>
      <c r="L12" s="190" t="s">
        <v>163</v>
      </c>
      <c r="M12" s="190"/>
      <c r="N12" s="188">
        <v>3800</v>
      </c>
      <c r="O12" s="189"/>
      <c r="Q12" s="190" t="s">
        <v>167</v>
      </c>
      <c r="R12" s="190"/>
      <c r="S12" s="188"/>
      <c r="T12" s="189"/>
    </row>
    <row r="13" spans="2:20" hidden="1">
      <c r="B13" s="190" t="s">
        <v>140</v>
      </c>
      <c r="C13" s="190"/>
      <c r="D13" s="188">
        <v>61</v>
      </c>
      <c r="E13" s="189"/>
      <c r="G13" s="190" t="s">
        <v>141</v>
      </c>
      <c r="H13" s="190"/>
      <c r="I13" s="188"/>
      <c r="J13" s="189"/>
      <c r="L13" s="190" t="s">
        <v>164</v>
      </c>
      <c r="M13" s="190"/>
      <c r="N13" s="188">
        <v>3800</v>
      </c>
      <c r="O13" s="189"/>
      <c r="Q13" s="190" t="s">
        <v>168</v>
      </c>
      <c r="R13" s="190"/>
      <c r="S13" s="188"/>
      <c r="T13" s="189"/>
    </row>
    <row r="14" spans="2:20" hidden="1">
      <c r="B14" s="190" t="s">
        <v>142</v>
      </c>
      <c r="C14" s="190"/>
      <c r="D14" s="188" t="s">
        <v>143</v>
      </c>
      <c r="E14" s="189"/>
      <c r="G14" s="190" t="s">
        <v>144</v>
      </c>
      <c r="H14" s="190"/>
      <c r="I14" s="161"/>
      <c r="J14" s="162"/>
      <c r="L14" s="190" t="s">
        <v>140</v>
      </c>
      <c r="M14" s="190"/>
      <c r="N14" s="188">
        <v>61</v>
      </c>
      <c r="O14" s="189"/>
      <c r="Q14" s="190" t="s">
        <v>141</v>
      </c>
      <c r="R14" s="190"/>
      <c r="S14" s="188"/>
      <c r="T14" s="189"/>
    </row>
    <row r="15" spans="2:20" hidden="1">
      <c r="B15" s="190" t="s">
        <v>145</v>
      </c>
      <c r="C15" s="190"/>
      <c r="D15" s="188">
        <v>5000</v>
      </c>
      <c r="E15" s="189"/>
      <c r="G15" s="190" t="s">
        <v>146</v>
      </c>
      <c r="H15" s="190"/>
      <c r="I15" s="188"/>
      <c r="J15" s="189"/>
      <c r="L15" s="190" t="s">
        <v>142</v>
      </c>
      <c r="M15" s="190"/>
      <c r="N15" s="188" t="s">
        <v>143</v>
      </c>
      <c r="O15" s="189"/>
      <c r="Q15" s="190" t="s">
        <v>144</v>
      </c>
      <c r="R15" s="190"/>
      <c r="S15" s="161"/>
      <c r="T15" s="162"/>
    </row>
    <row r="16" spans="2:20" ht="11.25" hidden="1" thickBot="1">
      <c r="B16" s="185" t="s">
        <v>147</v>
      </c>
      <c r="C16" s="185"/>
      <c r="D16" s="186" t="s">
        <v>148</v>
      </c>
      <c r="E16" s="187"/>
      <c r="G16" s="185" t="s">
        <v>149</v>
      </c>
      <c r="H16" s="185"/>
      <c r="I16" s="186"/>
      <c r="J16" s="187"/>
      <c r="L16" s="190" t="s">
        <v>145</v>
      </c>
      <c r="M16" s="190"/>
      <c r="N16" s="188">
        <v>5000</v>
      </c>
      <c r="O16" s="189"/>
      <c r="Q16" s="190" t="s">
        <v>146</v>
      </c>
      <c r="R16" s="190"/>
      <c r="S16" s="188"/>
      <c r="T16" s="189"/>
    </row>
    <row r="17" spans="2:25" ht="12" hidden="1" thickTop="1" thickBot="1">
      <c r="L17" s="185" t="s">
        <v>147</v>
      </c>
      <c r="M17" s="185"/>
      <c r="N17" s="186" t="s">
        <v>148</v>
      </c>
      <c r="O17" s="187"/>
      <c r="Q17" s="185" t="s">
        <v>149</v>
      </c>
      <c r="R17" s="185"/>
      <c r="S17" s="186"/>
      <c r="T17" s="187"/>
    </row>
    <row r="19" spans="2:25">
      <c r="B19" s="163" t="s">
        <v>150</v>
      </c>
    </row>
    <row r="21" spans="2:25" ht="11.25" thickBot="1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>
      <c r="B22" s="183" t="s">
        <v>195</v>
      </c>
      <c r="C22" s="183"/>
      <c r="D22" s="183"/>
      <c r="E22" s="183"/>
      <c r="G22" s="183" t="s">
        <v>196</v>
      </c>
      <c r="H22" s="183"/>
      <c r="I22" s="183"/>
      <c r="J22" s="183"/>
      <c r="L22" s="193" t="s">
        <v>196</v>
      </c>
      <c r="M22" s="193"/>
      <c r="N22" s="193"/>
      <c r="O22" s="193"/>
      <c r="Q22" s="183" t="s">
        <v>195</v>
      </c>
      <c r="R22" s="183"/>
      <c r="S22" s="183"/>
      <c r="T22" s="183"/>
      <c r="V22" s="193" t="s">
        <v>196</v>
      </c>
      <c r="W22" s="193"/>
      <c r="X22" s="193"/>
      <c r="Y22" s="193"/>
    </row>
    <row r="23" spans="2:25" ht="12" thickTop="1">
      <c r="B23" s="176" t="s">
        <v>122</v>
      </c>
      <c r="C23" s="176"/>
      <c r="D23" s="182">
        <f ca="1">TODAY()</f>
        <v>43168</v>
      </c>
      <c r="E23" s="184"/>
      <c r="G23" s="176" t="s">
        <v>122</v>
      </c>
      <c r="H23" s="176"/>
      <c r="I23" s="182">
        <f ca="1">TODAY()</f>
        <v>43168</v>
      </c>
      <c r="J23" s="184"/>
      <c r="L23" s="176" t="s">
        <v>122</v>
      </c>
      <c r="M23" s="176"/>
      <c r="N23" s="182">
        <f ca="1">TODAY()</f>
        <v>43168</v>
      </c>
      <c r="O23" s="184"/>
      <c r="Q23" s="176" t="s">
        <v>122</v>
      </c>
      <c r="R23" s="176"/>
      <c r="S23" s="182">
        <f ca="1">TODAY()-1</f>
        <v>43167</v>
      </c>
      <c r="T23" s="184"/>
      <c r="V23" s="176" t="s">
        <v>122</v>
      </c>
      <c r="W23" s="176"/>
      <c r="X23" s="182">
        <f ca="1">TODAY()-1</f>
        <v>43167</v>
      </c>
      <c r="Y23" s="184"/>
    </row>
    <row r="24" spans="2:25" ht="11.25">
      <c r="B24" s="176" t="s">
        <v>124</v>
      </c>
      <c r="C24" s="176"/>
      <c r="D24" s="177" t="s">
        <v>190</v>
      </c>
      <c r="E24" s="178"/>
      <c r="G24" s="176" t="s">
        <v>124</v>
      </c>
      <c r="H24" s="176"/>
      <c r="I24" s="177" t="s">
        <v>190</v>
      </c>
      <c r="J24" s="178"/>
      <c r="L24" s="176" t="s">
        <v>124</v>
      </c>
      <c r="M24" s="176"/>
      <c r="N24" s="177" t="s">
        <v>36</v>
      </c>
      <c r="O24" s="178"/>
      <c r="Q24" s="176" t="s">
        <v>124</v>
      </c>
      <c r="R24" s="176"/>
      <c r="S24" s="177" t="s">
        <v>36</v>
      </c>
      <c r="T24" s="178"/>
      <c r="V24" s="176" t="s">
        <v>124</v>
      </c>
      <c r="W24" s="176"/>
      <c r="X24" s="177" t="s">
        <v>36</v>
      </c>
      <c r="Y24" s="178"/>
    </row>
    <row r="25" spans="2:25" ht="11.25">
      <c r="B25" s="176" t="s">
        <v>127</v>
      </c>
      <c r="C25" s="176"/>
      <c r="D25" s="177" t="s">
        <v>5</v>
      </c>
      <c r="E25" s="178"/>
      <c r="G25" s="176" t="s">
        <v>127</v>
      </c>
      <c r="H25" s="176"/>
      <c r="I25" s="177" t="s">
        <v>5</v>
      </c>
      <c r="J25" s="178"/>
      <c r="L25" s="176" t="s">
        <v>127</v>
      </c>
      <c r="M25" s="176"/>
      <c r="N25" s="177" t="s">
        <v>203</v>
      </c>
      <c r="O25" s="178"/>
      <c r="Q25" s="176" t="s">
        <v>127</v>
      </c>
      <c r="R25" s="176"/>
      <c r="S25" s="177" t="s">
        <v>194</v>
      </c>
      <c r="T25" s="178"/>
      <c r="V25" s="176" t="s">
        <v>127</v>
      </c>
      <c r="W25" s="176"/>
      <c r="X25" s="177" t="s">
        <v>194</v>
      </c>
      <c r="Y25" s="178"/>
    </row>
    <row r="26" spans="2:25" ht="11.25">
      <c r="B26" s="176" t="s">
        <v>129</v>
      </c>
      <c r="C26" s="176"/>
      <c r="D26" s="177">
        <f>D31*D33</f>
        <v>388800</v>
      </c>
      <c r="E26" s="178"/>
      <c r="G26" s="176" t="s">
        <v>179</v>
      </c>
      <c r="H26" s="176"/>
      <c r="I26" s="177">
        <f>I31*I33</f>
        <v>271800</v>
      </c>
      <c r="J26" s="178"/>
      <c r="L26" s="176" t="s">
        <v>129</v>
      </c>
      <c r="M26" s="176"/>
      <c r="N26" s="177">
        <f>N31*N33</f>
        <v>275000</v>
      </c>
      <c r="O26" s="178"/>
      <c r="Q26" s="176" t="s">
        <v>129</v>
      </c>
      <c r="R26" s="176"/>
      <c r="S26" s="177">
        <f>S31*S33</f>
        <v>235799.99999999997</v>
      </c>
      <c r="T26" s="178"/>
      <c r="V26" s="176" t="s">
        <v>129</v>
      </c>
      <c r="W26" s="176"/>
      <c r="X26" s="177">
        <f>X31*X33</f>
        <v>235799.99999999997</v>
      </c>
      <c r="Y26" s="178"/>
    </row>
    <row r="27" spans="2:25" ht="11.25">
      <c r="B27" s="176" t="s">
        <v>131</v>
      </c>
      <c r="C27" s="176"/>
      <c r="D27" s="177" t="s">
        <v>132</v>
      </c>
      <c r="E27" s="178"/>
      <c r="G27" s="176" t="s">
        <v>131</v>
      </c>
      <c r="H27" s="176"/>
      <c r="I27" s="177" t="s">
        <v>207</v>
      </c>
      <c r="J27" s="178"/>
      <c r="L27" s="176" t="s">
        <v>131</v>
      </c>
      <c r="M27" s="176"/>
      <c r="N27" s="177" t="s">
        <v>197</v>
      </c>
      <c r="O27" s="178"/>
      <c r="Q27" s="176" t="s">
        <v>131</v>
      </c>
      <c r="R27" s="176"/>
      <c r="S27" s="177" t="s">
        <v>198</v>
      </c>
      <c r="T27" s="178"/>
      <c r="V27" s="176" t="s">
        <v>131</v>
      </c>
      <c r="W27" s="176"/>
      <c r="X27" s="177" t="s">
        <v>197</v>
      </c>
      <c r="Y27" s="178"/>
    </row>
    <row r="28" spans="2:25" ht="11.25">
      <c r="B28" s="176" t="s">
        <v>134</v>
      </c>
      <c r="C28" s="176"/>
      <c r="D28" s="182">
        <v>43182</v>
      </c>
      <c r="E28" s="178"/>
      <c r="G28" s="176" t="s">
        <v>134</v>
      </c>
      <c r="H28" s="176"/>
      <c r="I28" s="182">
        <v>43182</v>
      </c>
      <c r="J28" s="178"/>
      <c r="L28" s="176" t="s">
        <v>134</v>
      </c>
      <c r="M28" s="176"/>
      <c r="N28" s="182">
        <v>43219</v>
      </c>
      <c r="O28" s="178"/>
      <c r="Q28" s="176" t="s">
        <v>134</v>
      </c>
      <c r="R28" s="176"/>
      <c r="S28" s="182">
        <v>43201</v>
      </c>
      <c r="T28" s="178"/>
      <c r="V28" s="176" t="s">
        <v>134</v>
      </c>
      <c r="W28" s="176"/>
      <c r="X28" s="182">
        <v>43201</v>
      </c>
      <c r="Y28" s="178"/>
    </row>
    <row r="29" spans="2:25" ht="11.25">
      <c r="B29" s="176" t="s">
        <v>136</v>
      </c>
      <c r="C29" s="176"/>
      <c r="D29" s="177">
        <v>3856</v>
      </c>
      <c r="E29" s="178"/>
      <c r="G29" s="176" t="s">
        <v>136</v>
      </c>
      <c r="H29" s="176"/>
      <c r="I29" s="177">
        <v>3856</v>
      </c>
      <c r="J29" s="178"/>
      <c r="L29" s="176" t="s">
        <v>136</v>
      </c>
      <c r="M29" s="176"/>
      <c r="N29" s="177">
        <v>3760</v>
      </c>
      <c r="O29" s="178"/>
      <c r="Q29" s="176" t="s">
        <v>136</v>
      </c>
      <c r="R29" s="176"/>
      <c r="S29" s="177">
        <v>524</v>
      </c>
      <c r="T29" s="178"/>
      <c r="V29" s="176" t="s">
        <v>136</v>
      </c>
      <c r="W29" s="176"/>
      <c r="X29" s="177">
        <v>524</v>
      </c>
      <c r="Y29" s="178"/>
    </row>
    <row r="30" spans="2:25" ht="11.25">
      <c r="B30" s="176" t="s">
        <v>138</v>
      </c>
      <c r="C30" s="176"/>
      <c r="D30" s="177">
        <v>3800</v>
      </c>
      <c r="E30" s="178"/>
      <c r="G30" s="176" t="s">
        <v>138</v>
      </c>
      <c r="H30" s="176"/>
      <c r="I30" s="177">
        <v>3930</v>
      </c>
      <c r="J30" s="178"/>
      <c r="L30" s="176" t="s">
        <v>138</v>
      </c>
      <c r="M30" s="176"/>
      <c r="N30" s="177">
        <v>3700</v>
      </c>
      <c r="O30" s="178"/>
      <c r="Q30" s="176" t="s">
        <v>138</v>
      </c>
      <c r="R30" s="176"/>
      <c r="S30" s="177">
        <v>524</v>
      </c>
      <c r="T30" s="178"/>
      <c r="V30" s="176" t="s">
        <v>138</v>
      </c>
      <c r="W30" s="176"/>
      <c r="X30" s="177">
        <v>524</v>
      </c>
      <c r="Y30" s="178"/>
    </row>
    <row r="31" spans="2:25" ht="11.25">
      <c r="B31" s="176" t="s">
        <v>140</v>
      </c>
      <c r="C31" s="176"/>
      <c r="D31" s="177">
        <v>38.880000000000003</v>
      </c>
      <c r="E31" s="178"/>
      <c r="G31" s="176" t="s">
        <v>208</v>
      </c>
      <c r="H31" s="176"/>
      <c r="I31" s="177">
        <v>27.18</v>
      </c>
      <c r="J31" s="178"/>
      <c r="L31" s="176" t="s">
        <v>140</v>
      </c>
      <c r="M31" s="176"/>
      <c r="N31" s="177">
        <v>55</v>
      </c>
      <c r="O31" s="178"/>
      <c r="Q31" s="176" t="s">
        <v>140</v>
      </c>
      <c r="R31" s="176"/>
      <c r="S31" s="177">
        <v>23.58</v>
      </c>
      <c r="T31" s="178"/>
      <c r="V31" s="176" t="s">
        <v>140</v>
      </c>
      <c r="W31" s="176"/>
      <c r="X31" s="177">
        <v>23.58</v>
      </c>
      <c r="Y31" s="178"/>
    </row>
    <row r="32" spans="2:25" ht="11.25">
      <c r="B32" s="176" t="s">
        <v>142</v>
      </c>
      <c r="C32" s="176"/>
      <c r="D32" s="177" t="s">
        <v>206</v>
      </c>
      <c r="E32" s="178"/>
      <c r="G32" s="176" t="s">
        <v>209</v>
      </c>
      <c r="H32" s="176"/>
      <c r="I32" s="177" t="s">
        <v>206</v>
      </c>
      <c r="J32" s="178"/>
      <c r="L32" s="176" t="s">
        <v>142</v>
      </c>
      <c r="M32" s="176"/>
      <c r="N32" s="177" t="s">
        <v>202</v>
      </c>
      <c r="O32" s="178"/>
      <c r="Q32" s="176" t="s">
        <v>142</v>
      </c>
      <c r="R32" s="176"/>
      <c r="S32" s="177" t="s">
        <v>199</v>
      </c>
      <c r="T32" s="178"/>
      <c r="V32" s="176" t="s">
        <v>142</v>
      </c>
      <c r="W32" s="176"/>
      <c r="X32" s="177" t="s">
        <v>199</v>
      </c>
      <c r="Y32" s="178"/>
    </row>
    <row r="33" spans="2:25" ht="11.25">
      <c r="B33" s="176" t="s">
        <v>145</v>
      </c>
      <c r="C33" s="176"/>
      <c r="D33" s="177">
        <v>10000</v>
      </c>
      <c r="E33" s="178"/>
      <c r="G33" s="176" t="s">
        <v>210</v>
      </c>
      <c r="H33" s="176"/>
      <c r="I33" s="177">
        <v>10000</v>
      </c>
      <c r="J33" s="178"/>
      <c r="L33" s="176" t="s">
        <v>145</v>
      </c>
      <c r="M33" s="176"/>
      <c r="N33" s="177">
        <v>5000</v>
      </c>
      <c r="O33" s="178"/>
      <c r="Q33" s="176" t="s">
        <v>145</v>
      </c>
      <c r="R33" s="176"/>
      <c r="S33" s="177">
        <v>10000</v>
      </c>
      <c r="T33" s="178"/>
      <c r="V33" s="176" t="s">
        <v>145</v>
      </c>
      <c r="W33" s="176"/>
      <c r="X33" s="177">
        <v>10000</v>
      </c>
      <c r="Y33" s="178"/>
    </row>
    <row r="34" spans="2:25" ht="12" thickBot="1">
      <c r="B34" s="179" t="s">
        <v>147</v>
      </c>
      <c r="C34" s="179"/>
      <c r="D34" s="180" t="s">
        <v>148</v>
      </c>
      <c r="E34" s="181"/>
      <c r="G34" s="179" t="s">
        <v>147</v>
      </c>
      <c r="H34" s="179"/>
      <c r="I34" s="180" t="s">
        <v>148</v>
      </c>
      <c r="J34" s="181"/>
      <c r="L34" s="179" t="s">
        <v>147</v>
      </c>
      <c r="M34" s="179"/>
      <c r="N34" s="180" t="s">
        <v>148</v>
      </c>
      <c r="O34" s="181"/>
      <c r="Q34" s="179" t="s">
        <v>147</v>
      </c>
      <c r="R34" s="179"/>
      <c r="S34" s="180" t="s">
        <v>148</v>
      </c>
      <c r="T34" s="181"/>
      <c r="V34" s="179" t="s">
        <v>147</v>
      </c>
      <c r="W34" s="179"/>
      <c r="X34" s="180" t="s">
        <v>148</v>
      </c>
      <c r="Y34" s="181"/>
    </row>
    <row r="35" spans="2:25" ht="11.25" thickTop="1"/>
    <row r="36" spans="2:25" ht="12" thickBot="1">
      <c r="B36" s="183" t="s">
        <v>121</v>
      </c>
      <c r="C36" s="183"/>
      <c r="D36" s="183"/>
      <c r="E36" s="183"/>
    </row>
    <row r="37" spans="2:25" ht="12" thickTop="1">
      <c r="B37" s="176" t="s">
        <v>122</v>
      </c>
      <c r="C37" s="176"/>
      <c r="D37" s="182">
        <f ca="1">TODAY()</f>
        <v>43168</v>
      </c>
      <c r="E37" s="184"/>
    </row>
    <row r="38" spans="2:25" ht="11.25">
      <c r="B38" s="176" t="s">
        <v>124</v>
      </c>
      <c r="C38" s="176"/>
      <c r="D38" s="177" t="s">
        <v>190</v>
      </c>
      <c r="E38" s="178"/>
    </row>
    <row r="39" spans="2:25" ht="11.25">
      <c r="B39" s="176" t="s">
        <v>127</v>
      </c>
      <c r="C39" s="176"/>
      <c r="D39" s="177" t="s">
        <v>216</v>
      </c>
      <c r="E39" s="178"/>
    </row>
    <row r="40" spans="2:25" ht="11.25">
      <c r="B40" s="176" t="s">
        <v>179</v>
      </c>
      <c r="C40" s="176"/>
      <c r="D40" s="177">
        <f>D45*D47</f>
        <v>210000</v>
      </c>
      <c r="E40" s="178"/>
    </row>
    <row r="41" spans="2:25" ht="11.25">
      <c r="B41" s="176" t="s">
        <v>131</v>
      </c>
      <c r="C41" s="176"/>
      <c r="D41" s="177" t="s">
        <v>197</v>
      </c>
      <c r="E41" s="178"/>
    </row>
    <row r="42" spans="2:25" ht="11.25">
      <c r="B42" s="176" t="s">
        <v>134</v>
      </c>
      <c r="C42" s="176"/>
      <c r="D42" s="182">
        <v>43196</v>
      </c>
      <c r="E42" s="178"/>
    </row>
    <row r="43" spans="2:25" ht="11.25">
      <c r="B43" s="176" t="s">
        <v>136</v>
      </c>
      <c r="C43" s="176"/>
      <c r="D43" s="177">
        <v>14280</v>
      </c>
      <c r="E43" s="178"/>
    </row>
    <row r="44" spans="2:25" ht="11.25">
      <c r="B44" s="176" t="s">
        <v>138</v>
      </c>
      <c r="C44" s="176"/>
      <c r="D44" s="177">
        <v>13750</v>
      </c>
      <c r="E44" s="178"/>
    </row>
    <row r="45" spans="2:25" ht="11.25">
      <c r="B45" s="176" t="s">
        <v>208</v>
      </c>
      <c r="C45" s="176"/>
      <c r="D45" s="177">
        <v>42</v>
      </c>
      <c r="E45" s="178"/>
    </row>
    <row r="46" spans="2:25" ht="11.25">
      <c r="B46" s="176" t="s">
        <v>209</v>
      </c>
      <c r="C46" s="176"/>
      <c r="D46" s="177" t="s">
        <v>215</v>
      </c>
      <c r="E46" s="178"/>
    </row>
    <row r="47" spans="2:25" ht="11.25">
      <c r="B47" s="176" t="s">
        <v>210</v>
      </c>
      <c r="C47" s="176"/>
      <c r="D47" s="177">
        <v>5000</v>
      </c>
      <c r="E47" s="178"/>
    </row>
    <row r="48" spans="2:25" ht="12" thickBot="1">
      <c r="B48" s="179" t="s">
        <v>147</v>
      </c>
      <c r="C48" s="179"/>
      <c r="D48" s="180" t="s">
        <v>148</v>
      </c>
      <c r="E48" s="181"/>
    </row>
    <row r="49" ht="11.25" thickTop="1"/>
  </sheetData>
  <mergeCells count="251"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7"/>
  <sheetViews>
    <sheetView tabSelected="1" topLeftCell="E17" zoomScaleNormal="100" workbookViewId="0">
      <selection activeCell="H43" sqref="H43:S57"/>
    </sheetView>
  </sheetViews>
  <sheetFormatPr defaultColWidth="9" defaultRowHeight="11.2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>
      <c r="B1" s="197" t="s">
        <v>37</v>
      </c>
      <c r="C1" s="197"/>
    </row>
    <row r="2" spans="1:25" ht="12" thickTop="1">
      <c r="B2" s="3" t="s">
        <v>0</v>
      </c>
      <c r="C2" s="4">
        <v>43111</v>
      </c>
    </row>
    <row r="3" spans="1:25" ht="13.5">
      <c r="A3" s="47" t="s">
        <v>201</v>
      </c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22</v>
      </c>
      <c r="E8" s="21">
        <f t="shared" ref="E8:E35" ca="1" si="0">TODAY()</f>
        <v>43168</v>
      </c>
      <c r="F8" s="21">
        <f t="shared" ref="F8:F9" ca="1" si="1">E8+H8</f>
        <v>43248</v>
      </c>
      <c r="G8" s="19">
        <v>3800</v>
      </c>
      <c r="H8" s="19">
        <v>80</v>
      </c>
      <c r="I8" s="22">
        <f t="shared" ref="I8:I12" si="2"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-174.02322022273097</v>
      </c>
      <c r="M8" s="25"/>
      <c r="N8" s="24">
        <f t="shared" ref="N8:N10" si="3">M8/10000*I8*P8</f>
        <v>0</v>
      </c>
      <c r="O8" s="24">
        <f t="shared" ref="O8:O10" si="4">IF(L8&lt;=0,ABS(L8)+N8,L8-N8)</f>
        <v>174.02322022273097</v>
      </c>
      <c r="P8" s="20">
        <f>RTD("wdf.rtq",,D8,"LastPrice")</f>
        <v>3724</v>
      </c>
      <c r="Q8" s="19" t="s">
        <v>27</v>
      </c>
      <c r="R8" s="19">
        <f t="shared" ref="R8:R10" si="5">IF(S8="中金买入",1,-1)</f>
        <v>-1</v>
      </c>
      <c r="S8" s="19" t="s">
        <v>31</v>
      </c>
      <c r="T8" s="26">
        <f t="shared" ref="T8:T10" si="6">O8/P8</f>
        <v>4.6730188029734415E-2</v>
      </c>
      <c r="U8" s="24">
        <f>_xll.dnetGBlackScholesNGreeks("delta",$Q8,$P8,$G8,$I8,$C$3,$J8,$K8,$C$4)*R8</f>
        <v>-0.46859827689331723</v>
      </c>
      <c r="V8" s="24">
        <f>_xll.dnetGBlackScholesNGreeks("vega",$Q8,$P8,$G8,$I8,$C$3,$J8,$K8,$C$4)*R8</f>
        <v>-6.9060909629879461</v>
      </c>
    </row>
    <row r="9" spans="1:25">
      <c r="A9" s="42"/>
      <c r="B9" s="13" t="s">
        <v>172</v>
      </c>
      <c r="C9" s="10" t="s">
        <v>161</v>
      </c>
      <c r="D9" s="10" t="s">
        <v>22</v>
      </c>
      <c r="E9" s="8">
        <f t="shared" ca="1" si="0"/>
        <v>43168</v>
      </c>
      <c r="F9" s="8">
        <f t="shared" ca="1" si="1"/>
        <v>43340</v>
      </c>
      <c r="G9" s="10">
        <v>62.9</v>
      </c>
      <c r="H9" s="10">
        <v>172</v>
      </c>
      <c r="I9" s="12">
        <f t="shared" ref="I9" si="7">H9/365</f>
        <v>0.47123287671232877</v>
      </c>
      <c r="J9" s="12">
        <v>0</v>
      </c>
      <c r="K9" s="9">
        <v>0.252</v>
      </c>
      <c r="L9" s="13">
        <f>_xll.dnetGBlackScholesNGreeks("price",$Q9,$P9,$G9,$I9,$C$3,$J9,$K9,$C$4)*R9</f>
        <v>4.2262951749094029</v>
      </c>
      <c r="M9" s="15"/>
      <c r="N9" s="13">
        <f t="shared" ref="N9" si="8">M9/10000*I9*P9</f>
        <v>0</v>
      </c>
      <c r="O9" s="13">
        <f t="shared" ref="O9" si="9">IF(L9&lt;=0,ABS(L9)+N9,L9-N9)</f>
        <v>4.2262951749094029</v>
      </c>
      <c r="P9" s="11">
        <v>62.77</v>
      </c>
      <c r="Q9" s="10" t="s">
        <v>24</v>
      </c>
      <c r="R9" s="10">
        <f t="shared" ref="R9" si="10">IF(S9="中金买入",1,-1)</f>
        <v>1</v>
      </c>
      <c r="S9" s="10" t="s">
        <v>151</v>
      </c>
      <c r="T9" s="14">
        <f t="shared" ref="T9" si="11">O9/P9</f>
        <v>6.7329857812799154E-2</v>
      </c>
      <c r="U9" s="13">
        <f>_xll.dnetGBlackScholesNGreeks("delta",$Q9,$P9,$G9,$I9,$C$3,$J9,$K9,$C$4)*R9</f>
        <v>0.52473865178725987</v>
      </c>
      <c r="V9" s="13">
        <f>_xll.dnetGBlackScholesNGreeks("vega",$Q9,$P9,$G9,$I9,$C$3,$J9,$K9,$C$4)*R9</f>
        <v>0.16981641553135773</v>
      </c>
    </row>
    <row r="10" spans="1:25">
      <c r="A10" s="42"/>
      <c r="B10" s="13" t="s">
        <v>172</v>
      </c>
      <c r="C10" s="10" t="s">
        <v>185</v>
      </c>
      <c r="D10" s="10" t="s">
        <v>22</v>
      </c>
      <c r="E10" s="8">
        <f t="shared" ca="1" si="0"/>
        <v>43168</v>
      </c>
      <c r="F10" s="8">
        <f t="shared" ref="F10:F14" ca="1" si="12">E10+H10</f>
        <v>43340</v>
      </c>
      <c r="G10" s="10">
        <v>63</v>
      </c>
      <c r="H10" s="10">
        <v>172</v>
      </c>
      <c r="I10" s="12">
        <f t="shared" si="2"/>
        <v>0.47123287671232877</v>
      </c>
      <c r="J10" s="12">
        <v>0</v>
      </c>
      <c r="K10" s="9">
        <v>0.252</v>
      </c>
      <c r="L10" s="13">
        <f>_xll.dnetGBlackScholesNGreeks("price",$Q10,$P10,$G10,$I10,$C$3,$J10,$K10,$C$4)*R10</f>
        <v>4.1808294016256511</v>
      </c>
      <c r="M10" s="15"/>
      <c r="N10" s="13">
        <f t="shared" si="3"/>
        <v>0</v>
      </c>
      <c r="O10" s="13">
        <f t="shared" si="4"/>
        <v>4.1808294016256511</v>
      </c>
      <c r="P10" s="11">
        <v>62.77</v>
      </c>
      <c r="Q10" s="10" t="s">
        <v>27</v>
      </c>
      <c r="R10" s="10">
        <f t="shared" si="5"/>
        <v>1</v>
      </c>
      <c r="S10" s="10" t="s">
        <v>151</v>
      </c>
      <c r="T10" s="14">
        <f t="shared" si="6"/>
        <v>6.6605534516897422E-2</v>
      </c>
      <c r="U10" s="13">
        <f>_xll.dnetGBlackScholesNGreeks("delta",$Q10,$P10,$G10,$I10,$C$3,$J10,$K10,$C$4)*R10</f>
        <v>0.52111839696422635</v>
      </c>
      <c r="V10" s="13">
        <f>_xll.dnetGBlackScholesNGreeks("vega",$Q10,$P10,$G10,$I10,$C$3,$J10,$K10,$C$4)*R10</f>
        <v>0.1699254810570352</v>
      </c>
    </row>
    <row r="11" spans="1:25">
      <c r="A11" s="42"/>
      <c r="B11" s="13" t="s">
        <v>172</v>
      </c>
      <c r="C11" s="10" t="s">
        <v>161</v>
      </c>
      <c r="D11" s="10" t="s">
        <v>212</v>
      </c>
      <c r="E11" s="8">
        <f t="shared" ca="1" si="0"/>
        <v>43168</v>
      </c>
      <c r="F11" s="8">
        <f t="shared" ca="1" si="12"/>
        <v>43208</v>
      </c>
      <c r="G11" s="10">
        <v>100</v>
      </c>
      <c r="H11" s="10">
        <v>40</v>
      </c>
      <c r="I11" s="12">
        <f t="shared" si="2"/>
        <v>0.1095890410958904</v>
      </c>
      <c r="J11" s="12">
        <v>0</v>
      </c>
      <c r="K11" s="9">
        <v>0.25</v>
      </c>
      <c r="L11" s="13">
        <f>_xll.dnetGBlackScholesNGreeks("price",$Q11,$P11,$G11,$I11,$C$3,$J11,$K11,$C$4)*R11</f>
        <v>3.2935012398635095</v>
      </c>
      <c r="M11" s="15"/>
      <c r="N11" s="13">
        <f t="shared" ref="N11" si="13">M11/10000*I11*P11</f>
        <v>0</v>
      </c>
      <c r="O11" s="13">
        <f t="shared" ref="O11" si="14">IF(L11&lt;=0,ABS(L11)+N11,L11-N11)</f>
        <v>3.2935012398635095</v>
      </c>
      <c r="P11" s="11">
        <v>100</v>
      </c>
      <c r="Q11" s="10" t="s">
        <v>24</v>
      </c>
      <c r="R11" s="10">
        <f t="shared" ref="R11" si="15">IF(S11="中金买入",1,-1)</f>
        <v>1</v>
      </c>
      <c r="S11" s="10" t="s">
        <v>151</v>
      </c>
      <c r="T11" s="14">
        <f t="shared" ref="T11" si="16">O11/P11</f>
        <v>3.2935012398635097E-2</v>
      </c>
      <c r="U11" s="13">
        <f>_xll.dnetGBlackScholesNGreeks("delta",$Q11,$P11,$G11,$I11,$C$3,$J11,$K11,$C$4)*R11</f>
        <v>0.51537280387350393</v>
      </c>
      <c r="V11" s="13">
        <f>_xll.dnetGBlackScholesNGreeks("vega",$Q11,$P11,$G11,$I11,$C$3,$J11,$K11,$C$4)*R11</f>
        <v>0.1316648126505342</v>
      </c>
    </row>
    <row r="12" spans="1:25" ht="10.5" customHeight="1">
      <c r="A12" s="42"/>
      <c r="B12" s="13" t="s">
        <v>172</v>
      </c>
      <c r="C12" s="10" t="s">
        <v>161</v>
      </c>
      <c r="D12" s="10" t="s">
        <v>213</v>
      </c>
      <c r="E12" s="8">
        <f t="shared" ca="1" si="0"/>
        <v>43168</v>
      </c>
      <c r="F12" s="8">
        <f t="shared" ca="1" si="12"/>
        <v>43228</v>
      </c>
      <c r="G12" s="10">
        <v>50000</v>
      </c>
      <c r="H12" s="10">
        <v>60</v>
      </c>
      <c r="I12" s="12">
        <f t="shared" si="2"/>
        <v>0.16438356164383561</v>
      </c>
      <c r="J12" s="12">
        <v>0</v>
      </c>
      <c r="K12" s="9">
        <v>0.14499999999999999</v>
      </c>
      <c r="L12" s="13">
        <f>_xll.dnetGBlackScholesNGreeks("price",$Q12,$P12,$G12,$I12,$C$3,$J12,$K12,$C$4)*R12</f>
        <v>525.6976483124181</v>
      </c>
      <c r="M12" s="15">
        <v>30</v>
      </c>
      <c r="N12" s="13">
        <f t="shared" ref="N12" si="17">M12/10000*I12*P12</f>
        <v>25.500821917808217</v>
      </c>
      <c r="O12" s="13">
        <f t="shared" ref="O12" si="18">IF(L12&lt;=0,ABS(L12)+N12,L12-N12)</f>
        <v>500.1968263946099</v>
      </c>
      <c r="P12" s="11">
        <f>RTD("wdf.rtq",,D12,"LastPrice")</f>
        <v>51710</v>
      </c>
      <c r="Q12" s="10" t="s">
        <v>85</v>
      </c>
      <c r="R12" s="10">
        <f t="shared" ref="R12" si="19">IF(S12="中金买入",1,-1)</f>
        <v>1</v>
      </c>
      <c r="S12" s="10" t="s">
        <v>151</v>
      </c>
      <c r="T12" s="14">
        <f t="shared" ref="T12" si="20">O12/P12</f>
        <v>9.6731159619920688E-3</v>
      </c>
      <c r="U12" s="13">
        <f>_xll.dnetGBlackScholesNGreeks("delta",$Q12,$P12,$G12,$I12,$C$3,$J12,$K12,$C$4)*R12</f>
        <v>-0.27288551937090233</v>
      </c>
      <c r="V12" s="13">
        <f>_xll.dnetGBlackScholesNGreeks("vega",$Q12,$P12,$G12,$I12,$C$3,$J12,$K12,$C$4)*R12</f>
        <v>69.525318478624285</v>
      </c>
    </row>
    <row r="13" spans="1:25">
      <c r="A13" s="42"/>
      <c r="B13" s="13" t="s">
        <v>172</v>
      </c>
      <c r="C13" s="10" t="s">
        <v>161</v>
      </c>
      <c r="D13" s="10" t="s">
        <v>215</v>
      </c>
      <c r="E13" s="8">
        <f t="shared" ca="1" si="0"/>
        <v>43168</v>
      </c>
      <c r="F13" s="8">
        <f t="shared" ca="1" si="12"/>
        <v>43198</v>
      </c>
      <c r="G13" s="10">
        <v>13500</v>
      </c>
      <c r="H13" s="10">
        <v>30</v>
      </c>
      <c r="I13" s="12">
        <f t="shared" ref="I13:I14" si="21">H13/365</f>
        <v>8.2191780821917804E-2</v>
      </c>
      <c r="J13" s="12">
        <v>0</v>
      </c>
      <c r="K13" s="9">
        <v>0.16</v>
      </c>
      <c r="L13" s="13">
        <f>_xll.dnetGBlackScholesNGreeks("price",$Q13,$P13,$G13,$I13,$C$3,$J13,$K13,$C$4)*R13</f>
        <v>-50.246534223288108</v>
      </c>
      <c r="M13" s="15">
        <v>80</v>
      </c>
      <c r="N13" s="13">
        <f t="shared" ref="N13:N14" si="22">M13/10000*I13*P13</f>
        <v>9.3041095890410954</v>
      </c>
      <c r="O13" s="13">
        <f t="shared" ref="O13:O14" si="23">IF(L13&lt;=0,ABS(L13)+N13,L13-N13)</f>
        <v>59.550643812329206</v>
      </c>
      <c r="P13" s="11">
        <f>RTD("wdf.rtq",,D13,"LastPrice")</f>
        <v>14150</v>
      </c>
      <c r="Q13" s="10" t="s">
        <v>85</v>
      </c>
      <c r="R13" s="10">
        <f t="shared" ref="R13:R14" si="24">IF(S13="中金买入",1,-1)</f>
        <v>-1</v>
      </c>
      <c r="S13" s="10" t="s">
        <v>20</v>
      </c>
      <c r="T13" s="14">
        <f t="shared" ref="T13:T14" si="25">O13/P13</f>
        <v>4.2085260644755627E-3</v>
      </c>
      <c r="U13" s="13">
        <f>_xll.dnetGBlackScholesNGreeks("delta",$Q13,$P13,$G13,$I13,$C$3,$J13,$K13,$C$4)*R13</f>
        <v>0.14705411319937411</v>
      </c>
      <c r="V13" s="13">
        <f>_xll.dnetGBlackScholesNGreeks("vega",$Q13,$P13,$G13,$I13,$C$3,$J13,$K13,$C$4)*R13</f>
        <v>-9.3163790599141976</v>
      </c>
    </row>
    <row r="14" spans="1:25" ht="10.5" customHeight="1">
      <c r="A14" s="42"/>
      <c r="B14" s="13" t="s">
        <v>172</v>
      </c>
      <c r="C14" s="10" t="s">
        <v>161</v>
      </c>
      <c r="D14" s="10" t="s">
        <v>215</v>
      </c>
      <c r="E14" s="8">
        <f t="shared" ca="1" si="0"/>
        <v>43168</v>
      </c>
      <c r="F14" s="8">
        <f t="shared" ca="1" si="12"/>
        <v>43198</v>
      </c>
      <c r="G14" s="10">
        <v>13750</v>
      </c>
      <c r="H14" s="10">
        <v>30</v>
      </c>
      <c r="I14" s="12">
        <f t="shared" si="21"/>
        <v>8.2191780821917804E-2</v>
      </c>
      <c r="J14" s="12">
        <v>0</v>
      </c>
      <c r="K14" s="9">
        <v>0.16</v>
      </c>
      <c r="L14" s="13">
        <f>_xll.dnetGBlackScholesNGreeks("price",$Q14,$P14,$G14,$I14,$C$3,$J14,$K14,$C$4)*R14</f>
        <v>-103.3913019145557</v>
      </c>
      <c r="M14" s="15">
        <v>80</v>
      </c>
      <c r="N14" s="13">
        <f t="shared" si="22"/>
        <v>9.3041095890410954</v>
      </c>
      <c r="O14" s="13">
        <f t="shared" si="23"/>
        <v>112.69541150359679</v>
      </c>
      <c r="P14" s="11">
        <f>RTD("wdf.rtq",,D14,"LastPrice")</f>
        <v>14150</v>
      </c>
      <c r="Q14" s="10" t="s">
        <v>85</v>
      </c>
      <c r="R14" s="10">
        <f t="shared" si="24"/>
        <v>-1</v>
      </c>
      <c r="S14" s="10" t="s">
        <v>20</v>
      </c>
      <c r="T14" s="14">
        <f t="shared" si="25"/>
        <v>7.9643400355898786E-3</v>
      </c>
      <c r="U14" s="13">
        <f>_xll.dnetGBlackScholesNGreeks("delta",$Q14,$P14,$G14,$I14,$C$3,$J14,$K14,$C$4)*R14</f>
        <v>0.25804170409173821</v>
      </c>
      <c r="V14" s="13">
        <f>_xll.dnetGBlackScholesNGreeks("vega",$Q14,$P14,$G14,$I14,$C$3,$J14,$K14,$C$4)*R14</f>
        <v>-13.088008317754429</v>
      </c>
    </row>
    <row r="15" spans="1:25">
      <c r="A15" s="42"/>
      <c r="B15" s="13" t="s">
        <v>172</v>
      </c>
      <c r="C15" s="10" t="s">
        <v>161</v>
      </c>
      <c r="D15" s="10" t="s">
        <v>215</v>
      </c>
      <c r="E15" s="8">
        <f t="shared" ca="1" si="0"/>
        <v>43168</v>
      </c>
      <c r="F15" s="8">
        <f t="shared" ref="F15:F16" ca="1" si="26">E15+H15</f>
        <v>43198</v>
      </c>
      <c r="G15" s="10">
        <v>13500</v>
      </c>
      <c r="H15" s="10">
        <v>30</v>
      </c>
      <c r="I15" s="12">
        <f t="shared" ref="I15:I16" si="27">H15/365</f>
        <v>8.2191780821917804E-2</v>
      </c>
      <c r="J15" s="12">
        <v>0</v>
      </c>
      <c r="K15" s="9">
        <v>0.12</v>
      </c>
      <c r="L15" s="13">
        <f>_xll.dnetGBlackScholesNGreeks("price",$Q15,$P15,$G15,$I15,$C$3,$J15,$K15,$C$4)*R15</f>
        <v>18.713682747021039</v>
      </c>
      <c r="M15" s="15">
        <v>40</v>
      </c>
      <c r="N15" s="13">
        <f t="shared" ref="N15:N16" si="28">M15/10000*I15*P15</f>
        <v>4.6520547945205477</v>
      </c>
      <c r="O15" s="13">
        <f t="shared" ref="O15:O16" si="29">IF(L15&lt;=0,ABS(L15)+N15,L15-N15)</f>
        <v>14.061627952500491</v>
      </c>
      <c r="P15" s="11">
        <f>RTD("wdf.rtq",,D15,"LastPrice")</f>
        <v>14150</v>
      </c>
      <c r="Q15" s="10" t="s">
        <v>85</v>
      </c>
      <c r="R15" s="10">
        <f t="shared" ref="R15:R16" si="30">IF(S15="中金买入",1,-1)</f>
        <v>1</v>
      </c>
      <c r="S15" s="10" t="s">
        <v>151</v>
      </c>
      <c r="T15" s="14">
        <f t="shared" ref="T15:T16" si="31">O15/P15</f>
        <v>9.937546256184092E-4</v>
      </c>
      <c r="U15" s="13">
        <f>_xll.dnetGBlackScholesNGreeks("delta",$Q15,$P15,$G15,$I15,$C$3,$J15,$K15,$C$4)*R15</f>
        <v>-8.3028997619294387E-2</v>
      </c>
      <c r="V15" s="13">
        <f>_xll.dnetGBlackScholesNGreeks("vega",$Q15,$P15,$G15,$I15,$C$3,$J15,$K15,$C$4)*R15</f>
        <v>6.1847243058091976</v>
      </c>
    </row>
    <row r="16" spans="1:25" ht="10.5" customHeight="1">
      <c r="A16" s="42"/>
      <c r="B16" s="13" t="s">
        <v>172</v>
      </c>
      <c r="C16" s="10" t="s">
        <v>161</v>
      </c>
      <c r="D16" s="10" t="s">
        <v>215</v>
      </c>
      <c r="E16" s="8">
        <f t="shared" ca="1" si="0"/>
        <v>43168</v>
      </c>
      <c r="F16" s="8">
        <f t="shared" ca="1" si="26"/>
        <v>43198</v>
      </c>
      <c r="G16" s="10">
        <v>13750</v>
      </c>
      <c r="H16" s="10">
        <v>30</v>
      </c>
      <c r="I16" s="12">
        <f t="shared" si="27"/>
        <v>8.2191780821917804E-2</v>
      </c>
      <c r="J16" s="12">
        <v>0</v>
      </c>
      <c r="K16" s="9">
        <v>0.12</v>
      </c>
      <c r="L16" s="13">
        <f>_xll.dnetGBlackScholesNGreeks("price",$Q16,$P16,$G16,$I16,$C$3,$J16,$K16,$C$4)*R16</f>
        <v>305.54700484487512</v>
      </c>
      <c r="M16" s="15">
        <v>40</v>
      </c>
      <c r="N16" s="13">
        <f t="shared" si="28"/>
        <v>4.4538082191780823</v>
      </c>
      <c r="O16" s="13">
        <f t="shared" si="29"/>
        <v>301.09319662569703</v>
      </c>
      <c r="P16" s="11">
        <f>14260*0.95</f>
        <v>13547</v>
      </c>
      <c r="Q16" s="10" t="s">
        <v>85</v>
      </c>
      <c r="R16" s="10">
        <f t="shared" si="30"/>
        <v>1</v>
      </c>
      <c r="S16" s="10" t="s">
        <v>151</v>
      </c>
      <c r="T16" s="14">
        <f t="shared" si="31"/>
        <v>2.2225820965947961E-2</v>
      </c>
      <c r="U16" s="13">
        <f>_xll.dnetGBlackScholesNGreeks("delta",$Q16,$P16,$G16,$I16,$C$3,$J16,$K16,$C$4)*R16</f>
        <v>-0.65989347222057404</v>
      </c>
      <c r="V16" s="13">
        <f>_xll.dnetGBlackScholesNGreeks("vega",$Q16,$P16,$G16,$I16,$C$3,$J16,$K16,$C$4)*R16</f>
        <v>14.182883078557097</v>
      </c>
    </row>
    <row r="17" spans="1:22" ht="10.5" customHeight="1">
      <c r="A17" s="42"/>
      <c r="B17" s="13" t="s">
        <v>172</v>
      </c>
      <c r="C17" s="10" t="s">
        <v>161</v>
      </c>
      <c r="D17" s="10" t="s">
        <v>218</v>
      </c>
      <c r="E17" s="8">
        <f t="shared" ca="1" si="0"/>
        <v>43168</v>
      </c>
      <c r="F17" s="8">
        <f t="shared" ref="F17" ca="1" si="32">E17+H17</f>
        <v>43240</v>
      </c>
      <c r="G17" s="10">
        <v>22000</v>
      </c>
      <c r="H17" s="10">
        <v>72</v>
      </c>
      <c r="I17" s="12">
        <f t="shared" ref="I17" si="33">H17/365</f>
        <v>0.19726027397260273</v>
      </c>
      <c r="J17" s="12">
        <v>0</v>
      </c>
      <c r="K17" s="9">
        <v>0.23</v>
      </c>
      <c r="L17" s="13">
        <f>_xll.dnetGBlackScholesNGreeks("price",$Q17,$P17,$G17,$I17,$C$3,$J17,$K17,$C$4)*R17</f>
        <v>-152.80807612360195</v>
      </c>
      <c r="M17" s="15">
        <v>0</v>
      </c>
      <c r="N17" s="13">
        <f t="shared" ref="N17" si="34">M17/10000*I17*P17</f>
        <v>0</v>
      </c>
      <c r="O17" s="13">
        <f t="shared" ref="O17" si="35">IF(L17&lt;=0,ABS(L17)+N17,L17-N17)</f>
        <v>152.80807612360195</v>
      </c>
      <c r="P17" s="11">
        <f>RTD("wdf.rtq",,D17,"LastPrice")</f>
        <v>24695</v>
      </c>
      <c r="Q17" s="10" t="s">
        <v>85</v>
      </c>
      <c r="R17" s="10">
        <f t="shared" ref="R17" si="36">IF(S17="中金买入",1,-1)</f>
        <v>-1</v>
      </c>
      <c r="S17" s="10" t="s">
        <v>20</v>
      </c>
      <c r="T17" s="14">
        <f t="shared" ref="T17" si="37">O17/P17</f>
        <v>6.1878143803847721E-3</v>
      </c>
      <c r="U17" s="13">
        <f>_xll.dnetGBlackScholesNGreeks("delta",$Q17,$P17,$G17,$I17,$C$3,$J17,$K17,$C$4)*R17</f>
        <v>0.11807397775100981</v>
      </c>
      <c r="V17" s="13">
        <f>_xll.dnetGBlackScholesNGreeks("vega",$Q17,$P17,$G17,$I17,$C$3,$J17,$K17,$C$4)*R17</f>
        <v>-21.651134258045204</v>
      </c>
    </row>
    <row r="18" spans="1:22" ht="10.5" customHeight="1">
      <c r="A18" s="42"/>
      <c r="B18" s="13" t="s">
        <v>172</v>
      </c>
      <c r="C18" s="10" t="s">
        <v>161</v>
      </c>
      <c r="D18" s="10" t="s">
        <v>219</v>
      </c>
      <c r="E18" s="8">
        <f t="shared" ca="1" si="0"/>
        <v>43168</v>
      </c>
      <c r="F18" s="8">
        <f t="shared" ref="F18" ca="1" si="38">E18+H18</f>
        <v>43533</v>
      </c>
      <c r="G18" s="10">
        <v>85</v>
      </c>
      <c r="H18" s="10">
        <v>365</v>
      </c>
      <c r="I18" s="12">
        <f t="shared" ref="I18" si="39">H18/365</f>
        <v>1</v>
      </c>
      <c r="J18" s="12">
        <v>0</v>
      </c>
      <c r="K18" s="9">
        <v>0.14000000000000001</v>
      </c>
      <c r="L18" s="13">
        <f>_xll.dnetGBlackScholesNGreeks("price",$Q18,$P18,$G18,$I18,$C$3,$J18,$K18,$C$4)*R18</f>
        <v>-1.8686283757403847E-16</v>
      </c>
      <c r="M18" s="15">
        <v>0</v>
      </c>
      <c r="N18" s="13">
        <f t="shared" ref="N18" si="40">M18/10000*I18*P18</f>
        <v>0</v>
      </c>
      <c r="O18" s="13">
        <f t="shared" ref="O18:O22" si="41">IF(L18&lt;=0,ABS(L18)+N18,L18-N18)</f>
        <v>1.8686283757403847E-16</v>
      </c>
      <c r="P18" s="11">
        <f>RTD("wdf.rtq",,D18,"LastPrice")</f>
        <v>269.95</v>
      </c>
      <c r="Q18" s="10" t="s">
        <v>85</v>
      </c>
      <c r="R18" s="10">
        <f t="shared" ref="R18" si="42">IF(S18="中金买入",1,-1)</f>
        <v>-1</v>
      </c>
      <c r="S18" s="10" t="s">
        <v>20</v>
      </c>
      <c r="T18" s="14">
        <f t="shared" ref="T18" si="43">O18/P18</f>
        <v>6.9221277115776428E-19</v>
      </c>
      <c r="U18" s="13">
        <f>_xll.dnetGBlackScholesNGreeks("delta",$Q18,$P18,$G18,$I18,$C$3,$J18,$K18,$C$4)*R18</f>
        <v>4.1615817409152054E-17</v>
      </c>
      <c r="V18" s="13">
        <f>_xll.dnetGBlackScholesNGreeks("vega",$Q18,$P18,$G18,$I18,$C$3,$J18,$K18,$C$4)*R18</f>
        <v>-9.2154434441261361E-15</v>
      </c>
    </row>
    <row r="19" spans="1:22" ht="10.5" customHeight="1">
      <c r="A19" s="42"/>
      <c r="B19" s="13" t="s">
        <v>172</v>
      </c>
      <c r="C19" s="10" t="s">
        <v>161</v>
      </c>
      <c r="D19" s="10" t="s">
        <v>202</v>
      </c>
      <c r="E19" s="8">
        <f t="shared" ca="1" si="0"/>
        <v>43168</v>
      </c>
      <c r="F19" s="8">
        <f t="shared" ref="F19:F22" ca="1" si="44">E19+H19</f>
        <v>43220</v>
      </c>
      <c r="G19" s="10">
        <v>3750</v>
      </c>
      <c r="H19" s="10">
        <v>52</v>
      </c>
      <c r="I19" s="12">
        <f>(H19-4)/365</f>
        <v>0.13150684931506848</v>
      </c>
      <c r="J19" s="12">
        <v>0</v>
      </c>
      <c r="K19" s="9">
        <v>0.14499999999999999</v>
      </c>
      <c r="L19" s="13">
        <f>_xll.dnetGBlackScholesNGreeks("price",$Q19,$P19,$G19,$I19,$C$3,$J19,$K19,$C$4)*R19</f>
        <v>137.96198546803544</v>
      </c>
      <c r="M19" s="15">
        <v>0</v>
      </c>
      <c r="N19" s="13">
        <f t="shared" ref="N19:N22" si="45">M19/10000*I19*P19</f>
        <v>0</v>
      </c>
      <c r="O19" s="13">
        <f t="shared" si="41"/>
        <v>137.96198546803544</v>
      </c>
      <c r="P19" s="11">
        <f>RTD("wdf.rtq",,D19,"LastPrice")</f>
        <v>3649</v>
      </c>
      <c r="Q19" s="10" t="s">
        <v>85</v>
      </c>
      <c r="R19" s="10">
        <f t="shared" ref="R19:R22" si="46">IF(S19="中金买入",1,-1)</f>
        <v>1</v>
      </c>
      <c r="S19" s="10" t="s">
        <v>151</v>
      </c>
      <c r="T19" s="14">
        <f t="shared" ref="T19:T22" si="47">O19/P19</f>
        <v>3.7808162638540817E-2</v>
      </c>
      <c r="U19" s="13">
        <f>_xll.dnetGBlackScholesNGreeks("delta",$Q19,$P19,$G19,$I19,$C$3,$J19,$K19,$C$4)*R19</f>
        <v>-0.68716374919404188</v>
      </c>
      <c r="V19" s="13">
        <f>_xll.dnetGBlackScholesNGreeks("vega",$Q19,$P19,$G19,$I19,$C$3,$J19,$K19,$C$4)*R19</f>
        <v>4.660107489879465</v>
      </c>
    </row>
    <row r="20" spans="1:22" ht="10.5" customHeight="1">
      <c r="A20" s="42"/>
      <c r="B20" s="13" t="s">
        <v>172</v>
      </c>
      <c r="C20" s="10" t="s">
        <v>161</v>
      </c>
      <c r="D20" s="10" t="s">
        <v>202</v>
      </c>
      <c r="E20" s="8">
        <f t="shared" ca="1" si="0"/>
        <v>43168</v>
      </c>
      <c r="F20" s="8">
        <f t="shared" ca="1" si="44"/>
        <v>43220</v>
      </c>
      <c r="G20" s="10">
        <v>3700</v>
      </c>
      <c r="H20" s="10">
        <v>52</v>
      </c>
      <c r="I20" s="12">
        <f t="shared" ref="I20:I26" si="48">(H20-4)/365</f>
        <v>0.13150684931506848</v>
      </c>
      <c r="J20" s="12">
        <v>0</v>
      </c>
      <c r="K20" s="9">
        <v>0.14499999999999999</v>
      </c>
      <c r="L20" s="13">
        <f>_xll.dnetGBlackScholesNGreeks("price",$Q20,$P20,$G20,$I20,$C$3,$J20,$K20,$C$4)*R20</f>
        <v>104.96509398488024</v>
      </c>
      <c r="M20" s="15">
        <v>0</v>
      </c>
      <c r="N20" s="13">
        <f t="shared" si="45"/>
        <v>0</v>
      </c>
      <c r="O20" s="13">
        <f t="shared" si="41"/>
        <v>104.96509398488024</v>
      </c>
      <c r="P20" s="11">
        <f>RTD("wdf.rtq",,D20,"LastPrice")</f>
        <v>3649</v>
      </c>
      <c r="Q20" s="10" t="s">
        <v>85</v>
      </c>
      <c r="R20" s="10">
        <f t="shared" si="46"/>
        <v>1</v>
      </c>
      <c r="S20" s="10" t="s">
        <v>151</v>
      </c>
      <c r="T20" s="14">
        <f t="shared" si="47"/>
        <v>2.8765440938580498E-2</v>
      </c>
      <c r="U20" s="13">
        <f>_xll.dnetGBlackScholesNGreeks("delta",$Q20,$P20,$G20,$I20,$C$3,$J20,$K20,$C$4)*R20</f>
        <v>-0.59237056664187548</v>
      </c>
      <c r="V20" s="13">
        <f>_xll.dnetGBlackScholesNGreeks("vega",$Q20,$P20,$G20,$I20,$C$3,$J20,$K20,$C$4)*R20</f>
        <v>5.1177516004970585</v>
      </c>
    </row>
    <row r="21" spans="1:22" ht="10.5" customHeight="1">
      <c r="A21" s="42"/>
      <c r="B21" s="13" t="s">
        <v>172</v>
      </c>
      <c r="C21" s="10" t="s">
        <v>161</v>
      </c>
      <c r="D21" s="10" t="s">
        <v>202</v>
      </c>
      <c r="E21" s="8">
        <f t="shared" ca="1" si="0"/>
        <v>43168</v>
      </c>
      <c r="F21" s="8">
        <f t="shared" ca="1" si="44"/>
        <v>43220</v>
      </c>
      <c r="G21" s="10">
        <v>3650</v>
      </c>
      <c r="H21" s="10">
        <v>52</v>
      </c>
      <c r="I21" s="12">
        <f t="shared" si="48"/>
        <v>0.13150684931506848</v>
      </c>
      <c r="J21" s="12">
        <v>0</v>
      </c>
      <c r="K21" s="9">
        <v>0.14499999999999999</v>
      </c>
      <c r="L21" s="13">
        <f>_xll.dnetGBlackScholesNGreeks("price",$Q21,$P21,$G21,$I21,$C$3,$J21,$K21,$C$4)*R21</f>
        <v>76.846962328387917</v>
      </c>
      <c r="M21" s="15">
        <v>0</v>
      </c>
      <c r="N21" s="13">
        <f t="shared" si="45"/>
        <v>0</v>
      </c>
      <c r="O21" s="13">
        <f t="shared" si="41"/>
        <v>76.846962328387917</v>
      </c>
      <c r="P21" s="11">
        <f>RTD("wdf.rtq",,D21,"LastPrice")</f>
        <v>3649</v>
      </c>
      <c r="Q21" s="10" t="s">
        <v>85</v>
      </c>
      <c r="R21" s="10">
        <f t="shared" si="46"/>
        <v>1</v>
      </c>
      <c r="S21" s="10" t="s">
        <v>151</v>
      </c>
      <c r="T21" s="14">
        <f t="shared" si="47"/>
        <v>2.1059732071358705E-2</v>
      </c>
      <c r="U21" s="13">
        <f>_xll.dnetGBlackScholesNGreeks("delta",$Q21,$P21,$G21,$I21,$C$3,$J21,$K21,$C$4)*R21</f>
        <v>-0.49029956047661472</v>
      </c>
      <c r="V21" s="13">
        <f>_xll.dnetGBlackScholesNGreeks("vega",$Q21,$P21,$G21,$I21,$C$3,$J21,$K21,$C$4)*R21</f>
        <v>5.264039025205534</v>
      </c>
    </row>
    <row r="22" spans="1:22" ht="10.5" customHeight="1">
      <c r="A22" s="42"/>
      <c r="B22" s="13" t="s">
        <v>172</v>
      </c>
      <c r="C22" s="10" t="s">
        <v>161</v>
      </c>
      <c r="D22" s="10" t="s">
        <v>202</v>
      </c>
      <c r="E22" s="8">
        <f t="shared" ca="1" si="0"/>
        <v>43168</v>
      </c>
      <c r="F22" s="8">
        <f t="shared" ca="1" si="44"/>
        <v>43220</v>
      </c>
      <c r="G22" s="10">
        <v>3600</v>
      </c>
      <c r="H22" s="10">
        <v>52</v>
      </c>
      <c r="I22" s="12">
        <f t="shared" si="48"/>
        <v>0.13150684931506848</v>
      </c>
      <c r="J22" s="12">
        <v>0</v>
      </c>
      <c r="K22" s="9">
        <v>0.14499999999999999</v>
      </c>
      <c r="L22" s="13">
        <f>_xll.dnetGBlackScholesNGreeks("price",$Q22,$P22,$G22,$I22,$C$3,$J22,$K22,$C$4)*R22</f>
        <v>53.880384708897736</v>
      </c>
      <c r="M22" s="15">
        <v>0</v>
      </c>
      <c r="N22" s="13">
        <f t="shared" si="45"/>
        <v>0</v>
      </c>
      <c r="O22" s="13">
        <f t="shared" si="41"/>
        <v>53.880384708897736</v>
      </c>
      <c r="P22" s="11">
        <f>RTD("wdf.rtq",,D22,"LastPrice")</f>
        <v>3649</v>
      </c>
      <c r="Q22" s="10" t="s">
        <v>85</v>
      </c>
      <c r="R22" s="10">
        <f t="shared" si="46"/>
        <v>1</v>
      </c>
      <c r="S22" s="10" t="s">
        <v>151</v>
      </c>
      <c r="T22" s="14">
        <f t="shared" si="47"/>
        <v>1.4765794658508561E-2</v>
      </c>
      <c r="U22" s="13">
        <f>_xll.dnetGBlackScholesNGreeks("delta",$Q22,$P22,$G22,$I22,$C$3,$J22,$K22,$C$4)*R22</f>
        <v>-0.38741580497116956</v>
      </c>
      <c r="V22" s="13">
        <f>_xll.dnetGBlackScholesNGreeks("vega",$Q22,$P22,$G22,$I22,$C$3,$J22,$K22,$C$4)*R22</f>
        <v>5.0571814346294559</v>
      </c>
    </row>
    <row r="23" spans="1:22" ht="10.5" customHeight="1">
      <c r="A23" s="42"/>
      <c r="B23" s="13" t="s">
        <v>172</v>
      </c>
      <c r="C23" s="10" t="s">
        <v>161</v>
      </c>
      <c r="D23" s="10" t="s">
        <v>202</v>
      </c>
      <c r="E23" s="8">
        <f t="shared" ca="1" si="0"/>
        <v>43168</v>
      </c>
      <c r="F23" s="8">
        <f t="shared" ref="F23:F26" ca="1" si="49">E23+H23</f>
        <v>43231</v>
      </c>
      <c r="G23" s="10">
        <v>3750</v>
      </c>
      <c r="H23" s="10">
        <v>63</v>
      </c>
      <c r="I23" s="12">
        <f t="shared" si="48"/>
        <v>0.16164383561643836</v>
      </c>
      <c r="J23" s="12">
        <v>0</v>
      </c>
      <c r="K23" s="9">
        <v>0.14499999999999999</v>
      </c>
      <c r="L23" s="13">
        <f>_xll.dnetGBlackScholesNGreeks("price",$Q23,$P23,$G23,$I23,$C$3,$J23,$K23,$C$4)*R23</f>
        <v>145.31985540576443</v>
      </c>
      <c r="M23" s="15">
        <v>0</v>
      </c>
      <c r="N23" s="13">
        <f t="shared" ref="N23:N26" si="50">M23/10000*I23*P23</f>
        <v>0</v>
      </c>
      <c r="O23" s="13">
        <f t="shared" ref="O23:O26" si="51">IF(L23&lt;=0,ABS(L23)+N23,L23-N23)</f>
        <v>145.31985540576443</v>
      </c>
      <c r="P23" s="11">
        <f>RTD("wdf.rtq",,D23,"LastPrice")</f>
        <v>3649</v>
      </c>
      <c r="Q23" s="10" t="s">
        <v>85</v>
      </c>
      <c r="R23" s="10">
        <f t="shared" ref="R23:R26" si="52">IF(S23="中金买入",1,-1)</f>
        <v>1</v>
      </c>
      <c r="S23" s="10" t="s">
        <v>151</v>
      </c>
      <c r="T23" s="14">
        <f t="shared" ref="T23:T26" si="53">O23/P23</f>
        <v>3.9824569856334459E-2</v>
      </c>
      <c r="U23" s="13">
        <f>_xll.dnetGBlackScholesNGreeks("delta",$Q23,$P23,$G23,$I23,$C$3,$J23,$K23,$C$4)*R23</f>
        <v>-0.66757552267517895</v>
      </c>
      <c r="V23" s="13">
        <f>_xll.dnetGBlackScholesNGreeks("vega",$Q23,$P23,$G23,$I23,$C$3,$J23,$K23,$C$4)*R23</f>
        <v>5.2949714838341606</v>
      </c>
    </row>
    <row r="24" spans="1:22" ht="10.5" customHeight="1">
      <c r="A24" s="42"/>
      <c r="B24" s="13" t="s">
        <v>172</v>
      </c>
      <c r="C24" s="10" t="s">
        <v>161</v>
      </c>
      <c r="D24" s="10" t="s">
        <v>202</v>
      </c>
      <c r="E24" s="8">
        <f t="shared" ca="1" si="0"/>
        <v>43168</v>
      </c>
      <c r="F24" s="8">
        <f t="shared" ca="1" si="49"/>
        <v>43231</v>
      </c>
      <c r="G24" s="10">
        <v>3700</v>
      </c>
      <c r="H24" s="10">
        <v>63</v>
      </c>
      <c r="I24" s="12">
        <f t="shared" si="48"/>
        <v>0.16164383561643836</v>
      </c>
      <c r="J24" s="12">
        <v>0</v>
      </c>
      <c r="K24" s="9">
        <v>0.14499999999999999</v>
      </c>
      <c r="L24" s="13">
        <f>_xll.dnetGBlackScholesNGreeks("price",$Q24,$P24,$G24,$I24,$C$3,$J24,$K24,$C$4)*R24</f>
        <v>112.99028025638381</v>
      </c>
      <c r="M24" s="15">
        <v>0</v>
      </c>
      <c r="N24" s="13">
        <f t="shared" si="50"/>
        <v>0</v>
      </c>
      <c r="O24" s="13">
        <f t="shared" si="51"/>
        <v>112.99028025638381</v>
      </c>
      <c r="P24" s="11">
        <f>RTD("wdf.rtq",,D24,"LastPrice")</f>
        <v>3649</v>
      </c>
      <c r="Q24" s="10" t="s">
        <v>85</v>
      </c>
      <c r="R24" s="10">
        <f t="shared" si="52"/>
        <v>1</v>
      </c>
      <c r="S24" s="10" t="s">
        <v>151</v>
      </c>
      <c r="T24" s="14">
        <f t="shared" si="53"/>
        <v>3.0964724652338672E-2</v>
      </c>
      <c r="U24" s="13">
        <f>_xll.dnetGBlackScholesNGreeks("delta",$Q24,$P24,$G24,$I24,$C$3,$J24,$K24,$C$4)*R24</f>
        <v>-0.58086998649287125</v>
      </c>
      <c r="V24" s="13">
        <f>_xll.dnetGBlackScholesNGreeks("vega",$Q24,$P24,$G24,$I24,$C$3,$J24,$K24,$C$4)*R24</f>
        <v>5.7071863486112306</v>
      </c>
    </row>
    <row r="25" spans="1:22" ht="10.5" customHeight="1">
      <c r="A25" s="42"/>
      <c r="B25" s="13" t="s">
        <v>172</v>
      </c>
      <c r="C25" s="10" t="s">
        <v>161</v>
      </c>
      <c r="D25" s="10" t="s">
        <v>202</v>
      </c>
      <c r="E25" s="8">
        <f t="shared" ca="1" si="0"/>
        <v>43168</v>
      </c>
      <c r="F25" s="8">
        <f t="shared" ca="1" si="49"/>
        <v>43231</v>
      </c>
      <c r="G25" s="10">
        <v>3650</v>
      </c>
      <c r="H25" s="10">
        <v>63</v>
      </c>
      <c r="I25" s="12">
        <f t="shared" si="48"/>
        <v>0.16164383561643836</v>
      </c>
      <c r="J25" s="12">
        <v>0</v>
      </c>
      <c r="K25" s="9">
        <v>0.14499999999999999</v>
      </c>
      <c r="L25" s="13">
        <f>_xll.dnetGBlackScholesNGreeks("price",$Q25,$P25,$G25,$I25,$C$3,$J25,$K25,$C$4)*R25</f>
        <v>85.090580245958108</v>
      </c>
      <c r="M25" s="15">
        <v>0</v>
      </c>
      <c r="N25" s="13">
        <f t="shared" si="50"/>
        <v>0</v>
      </c>
      <c r="O25" s="13">
        <f t="shared" si="51"/>
        <v>85.090580245958108</v>
      </c>
      <c r="P25" s="11">
        <f>RTD("wdf.rtq",,D25,"LastPrice")</f>
        <v>3649</v>
      </c>
      <c r="Q25" s="10" t="s">
        <v>85</v>
      </c>
      <c r="R25" s="10">
        <f t="shared" si="52"/>
        <v>1</v>
      </c>
      <c r="S25" s="10" t="s">
        <v>151</v>
      </c>
      <c r="T25" s="14">
        <f t="shared" si="53"/>
        <v>2.3318876471898634E-2</v>
      </c>
      <c r="U25" s="13">
        <f>_xll.dnetGBlackScholesNGreeks("delta",$Q25,$P25,$G25,$I25,$C$3,$J25,$K25,$C$4)*R25</f>
        <v>-0.48866513557186408</v>
      </c>
      <c r="V25" s="13">
        <f>_xll.dnetGBlackScholesNGreeks("vega",$Q25,$P25,$G25,$I25,$C$3,$J25,$K25,$C$4)*R25</f>
        <v>5.8321592391650938</v>
      </c>
    </row>
    <row r="26" spans="1:22" ht="10.5" customHeight="1">
      <c r="A26" s="42"/>
      <c r="B26" s="13" t="s">
        <v>172</v>
      </c>
      <c r="C26" s="10" t="s">
        <v>161</v>
      </c>
      <c r="D26" s="10" t="s">
        <v>202</v>
      </c>
      <c r="E26" s="8">
        <f t="shared" ca="1" si="0"/>
        <v>43168</v>
      </c>
      <c r="F26" s="8">
        <f t="shared" ca="1" si="49"/>
        <v>43231</v>
      </c>
      <c r="G26" s="10">
        <v>3600</v>
      </c>
      <c r="H26" s="10">
        <v>63</v>
      </c>
      <c r="I26" s="12">
        <f t="shared" si="48"/>
        <v>0.16164383561643836</v>
      </c>
      <c r="J26" s="12">
        <v>0</v>
      </c>
      <c r="K26" s="9">
        <v>0.14499999999999999</v>
      </c>
      <c r="L26" s="13">
        <f>_xll.dnetGBlackScholesNGreeks("price",$Q26,$P26,$G26,$I26,$C$3,$J26,$K26,$C$4)*R26</f>
        <v>61.839158160064471</v>
      </c>
      <c r="M26" s="15">
        <v>0</v>
      </c>
      <c r="N26" s="13">
        <f t="shared" si="50"/>
        <v>0</v>
      </c>
      <c r="O26" s="13">
        <f t="shared" si="51"/>
        <v>61.839158160064471</v>
      </c>
      <c r="P26" s="11">
        <f>RTD("wdf.rtq",,D26,"LastPrice")</f>
        <v>3649</v>
      </c>
      <c r="Q26" s="10" t="s">
        <v>85</v>
      </c>
      <c r="R26" s="10">
        <f t="shared" si="52"/>
        <v>1</v>
      </c>
      <c r="S26" s="10" t="s">
        <v>151</v>
      </c>
      <c r="T26" s="14">
        <f t="shared" si="53"/>
        <v>1.6946878092645785E-2</v>
      </c>
      <c r="U26" s="13">
        <f>_xll.dnetGBlackScholesNGreeks("delta",$Q26,$P26,$G26,$I26,$C$3,$J26,$K26,$C$4)*R26</f>
        <v>-0.39574476314783169</v>
      </c>
      <c r="V26" s="13">
        <f>_xll.dnetGBlackScholesNGreeks("vega",$Q26,$P26,$G26,$I26,$C$3,$J26,$K26,$C$4)*R26</f>
        <v>5.6377548144960201</v>
      </c>
    </row>
    <row r="27" spans="1:22" ht="10.5" customHeight="1">
      <c r="A27" s="42"/>
      <c r="B27" s="13"/>
      <c r="C27" s="10"/>
      <c r="D27" s="10"/>
      <c r="E27" s="8"/>
      <c r="F27" s="8"/>
      <c r="G27" s="10"/>
      <c r="H27" s="10"/>
      <c r="I27" s="165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>
      <c r="A28" s="42"/>
      <c r="B28" s="13" t="s">
        <v>172</v>
      </c>
      <c r="C28" s="10" t="s">
        <v>161</v>
      </c>
      <c r="D28" s="10" t="s">
        <v>202</v>
      </c>
      <c r="E28" s="8">
        <f t="shared" ca="1" si="0"/>
        <v>43168</v>
      </c>
      <c r="F28" s="8">
        <f t="shared" ref="F28:F35" ca="1" si="54">E28+H28</f>
        <v>43219</v>
      </c>
      <c r="G28" s="10">
        <v>3750</v>
      </c>
      <c r="H28" s="10">
        <v>51</v>
      </c>
      <c r="I28" s="12">
        <f>(H28-2)/365</f>
        <v>0.13424657534246576</v>
      </c>
      <c r="J28" s="12">
        <v>0</v>
      </c>
      <c r="K28" s="9">
        <v>0.14249999999999999</v>
      </c>
      <c r="L28" s="13">
        <f>_xll.dnetGBlackScholesNGreeks("price",$Q28,$P28,$G28,$I28,$C$3,$J28,$K28,$C$4)*R28</f>
        <v>137.47777018130728</v>
      </c>
      <c r="M28" s="15">
        <v>0</v>
      </c>
      <c r="N28" s="13">
        <f t="shared" ref="N28:N35" si="55">M28/10000*I28*P28</f>
        <v>0</v>
      </c>
      <c r="O28" s="13">
        <f t="shared" ref="O28:O35" si="56">IF(L28&lt;=0,ABS(L28)+N28,L28-N28)</f>
        <v>137.47777018130728</v>
      </c>
      <c r="P28" s="11">
        <f>RTD("wdf.rtq",,D28,"LastPrice")</f>
        <v>3649</v>
      </c>
      <c r="Q28" s="10" t="s">
        <v>85</v>
      </c>
      <c r="R28" s="10">
        <f t="shared" ref="R28:R35" si="57">IF(S28="中金买入",1,-1)</f>
        <v>1</v>
      </c>
      <c r="S28" s="10" t="s">
        <v>151</v>
      </c>
      <c r="T28" s="14">
        <f t="shared" ref="T28:T35" si="58">O28/P28</f>
        <v>3.7675464560511726E-2</v>
      </c>
      <c r="U28" s="13">
        <f>_xll.dnetGBlackScholesNGreeks("delta",$Q28,$P28,$G28,$I28,$C$3,$J28,$K28,$C$4)*R28</f>
        <v>-0.68849046347168041</v>
      </c>
      <c r="V28" s="13">
        <f>_xll.dnetGBlackScholesNGreeks("vega",$Q28,$P28,$G28,$I28,$C$3,$J28,$K28,$C$4)*R28</f>
        <v>4.6989856106990828</v>
      </c>
    </row>
    <row r="29" spans="1:22" ht="10.5" customHeight="1">
      <c r="A29" s="42"/>
      <c r="B29" s="13" t="s">
        <v>172</v>
      </c>
      <c r="C29" s="10" t="s">
        <v>161</v>
      </c>
      <c r="D29" s="10" t="s">
        <v>202</v>
      </c>
      <c r="E29" s="8">
        <f t="shared" ca="1" si="0"/>
        <v>43168</v>
      </c>
      <c r="F29" s="8">
        <f t="shared" ca="1" si="54"/>
        <v>43219</v>
      </c>
      <c r="G29" s="10">
        <v>3700</v>
      </c>
      <c r="H29" s="10">
        <v>51</v>
      </c>
      <c r="I29" s="12">
        <f>(H29-2)/365</f>
        <v>0.13424657534246576</v>
      </c>
      <c r="J29" s="12">
        <v>0</v>
      </c>
      <c r="K29" s="9">
        <v>0.14249999999999999</v>
      </c>
      <c r="L29" s="13">
        <f>_xll.dnetGBlackScholesNGreeks("price",$Q29,$P29,$G29,$I29,$C$3,$J29,$K29,$C$4)*R29</f>
        <v>104.43572667829767</v>
      </c>
      <c r="M29" s="15">
        <v>0</v>
      </c>
      <c r="N29" s="13">
        <f t="shared" si="55"/>
        <v>0</v>
      </c>
      <c r="O29" s="13">
        <f t="shared" si="56"/>
        <v>104.43572667829767</v>
      </c>
      <c r="P29" s="11">
        <f>RTD("wdf.rtq",,D29,"LastPrice")</f>
        <v>3649</v>
      </c>
      <c r="Q29" s="10" t="s">
        <v>85</v>
      </c>
      <c r="R29" s="10">
        <f t="shared" si="57"/>
        <v>1</v>
      </c>
      <c r="S29" s="10" t="s">
        <v>151</v>
      </c>
      <c r="T29" s="14">
        <f t="shared" si="58"/>
        <v>2.8620369054068968E-2</v>
      </c>
      <c r="U29" s="13">
        <f>_xll.dnetGBlackScholesNGreeks("delta",$Q29,$P29,$G29,$I29,$C$3,$J29,$K29,$C$4)*R29</f>
        <v>-0.59313530928193359</v>
      </c>
      <c r="V29" s="13">
        <f>_xll.dnetGBlackScholesNGreeks("vega",$Q29,$P29,$G29,$I29,$C$3,$J29,$K29,$C$4)*R29</f>
        <v>5.1679175915878659</v>
      </c>
    </row>
    <row r="30" spans="1:22" ht="10.5" customHeight="1">
      <c r="A30" s="42"/>
      <c r="B30" s="13" t="s">
        <v>172</v>
      </c>
      <c r="C30" s="10" t="s">
        <v>161</v>
      </c>
      <c r="D30" s="10" t="s">
        <v>202</v>
      </c>
      <c r="E30" s="8">
        <f t="shared" ca="1" si="0"/>
        <v>43168</v>
      </c>
      <c r="F30" s="8">
        <f t="shared" ca="1" si="54"/>
        <v>43219</v>
      </c>
      <c r="G30" s="10">
        <v>3650</v>
      </c>
      <c r="H30" s="10">
        <v>51</v>
      </c>
      <c r="I30" s="12">
        <f>(H30-2)/365</f>
        <v>0.13424657534246576</v>
      </c>
      <c r="J30" s="12">
        <v>0</v>
      </c>
      <c r="K30" s="9">
        <v>0.14249999999999999</v>
      </c>
      <c r="L30" s="13">
        <f>_xll.dnetGBlackScholesNGreeks("price",$Q30,$P30,$G30,$I30,$C$3,$J30,$K30,$C$4)*R30</f>
        <v>76.30412277078949</v>
      </c>
      <c r="M30" s="15">
        <v>0</v>
      </c>
      <c r="N30" s="13">
        <f t="shared" si="55"/>
        <v>0</v>
      </c>
      <c r="O30" s="13">
        <f t="shared" si="56"/>
        <v>76.30412277078949</v>
      </c>
      <c r="P30" s="11">
        <f>RTD("wdf.rtq",,D30,"LastPrice")</f>
        <v>3649</v>
      </c>
      <c r="Q30" s="10" t="s">
        <v>85</v>
      </c>
      <c r="R30" s="10">
        <f t="shared" si="57"/>
        <v>1</v>
      </c>
      <c r="S30" s="10" t="s">
        <v>151</v>
      </c>
      <c r="T30" s="14">
        <f t="shared" si="58"/>
        <v>2.0910968147654013E-2</v>
      </c>
      <c r="U30" s="13">
        <f>_xll.dnetGBlackScholesNGreeks("delta",$Q30,$P30,$G30,$I30,$C$3,$J30,$K30,$C$4)*R30</f>
        <v>-0.49036123290306932</v>
      </c>
      <c r="V30" s="13">
        <f>_xll.dnetGBlackScholesNGreeks("vega",$Q30,$P30,$G30,$I30,$C$3,$J30,$K30,$C$4)*R30</f>
        <v>5.31832343128292</v>
      </c>
    </row>
    <row r="31" spans="1:22" ht="10.5" customHeight="1">
      <c r="A31" s="42"/>
      <c r="B31" s="13" t="s">
        <v>172</v>
      </c>
      <c r="C31" s="10" t="s">
        <v>161</v>
      </c>
      <c r="D31" s="10" t="s">
        <v>202</v>
      </c>
      <c r="E31" s="8">
        <f t="shared" ca="1" si="0"/>
        <v>43168</v>
      </c>
      <c r="F31" s="8">
        <f t="shared" ca="1" si="54"/>
        <v>43219</v>
      </c>
      <c r="G31" s="10">
        <v>3600</v>
      </c>
      <c r="H31" s="10">
        <v>51</v>
      </c>
      <c r="I31" s="12">
        <f>(H31-2)/365</f>
        <v>0.13424657534246576</v>
      </c>
      <c r="J31" s="12">
        <v>0</v>
      </c>
      <c r="K31" s="9">
        <v>0.14249999999999999</v>
      </c>
      <c r="L31" s="13">
        <f>_xll.dnetGBlackScholesNGreeks("price",$Q31,$P31,$G31,$I31,$C$3,$J31,$K31,$C$4)*R31</f>
        <v>53.360011293756997</v>
      </c>
      <c r="M31" s="15">
        <v>0</v>
      </c>
      <c r="N31" s="13">
        <f t="shared" si="55"/>
        <v>0</v>
      </c>
      <c r="O31" s="13">
        <f t="shared" si="56"/>
        <v>53.360011293756997</v>
      </c>
      <c r="P31" s="11">
        <f>RTD("wdf.rtq",,D31,"LastPrice")</f>
        <v>3649</v>
      </c>
      <c r="Q31" s="10" t="s">
        <v>85</v>
      </c>
      <c r="R31" s="10">
        <f t="shared" si="57"/>
        <v>1</v>
      </c>
      <c r="S31" s="10" t="s">
        <v>151</v>
      </c>
      <c r="T31" s="14">
        <f t="shared" si="58"/>
        <v>1.4623187529119484E-2</v>
      </c>
      <c r="U31" s="13">
        <f>_xll.dnetGBlackScholesNGreeks("delta",$Q31,$P31,$G31,$I31,$C$3,$J31,$K31,$C$4)*R31</f>
        <v>-0.38676721820820603</v>
      </c>
      <c r="V31" s="13">
        <f>_xll.dnetGBlackScholesNGreeks("vega",$Q31,$P31,$G31,$I31,$C$3,$J31,$K31,$C$4)*R31</f>
        <v>5.1068858262435697</v>
      </c>
    </row>
    <row r="32" spans="1:22" ht="10.5" customHeight="1">
      <c r="A32" s="42"/>
      <c r="B32" s="13" t="s">
        <v>172</v>
      </c>
      <c r="C32" s="10" t="s">
        <v>161</v>
      </c>
      <c r="D32" s="10" t="s">
        <v>202</v>
      </c>
      <c r="E32" s="8">
        <f t="shared" ca="1" si="0"/>
        <v>43168</v>
      </c>
      <c r="F32" s="8">
        <f t="shared" ca="1" si="54"/>
        <v>43230</v>
      </c>
      <c r="G32" s="10">
        <v>3750</v>
      </c>
      <c r="H32" s="10">
        <v>62</v>
      </c>
      <c r="I32" s="12">
        <f t="shared" ref="I32:I35" si="59">(H32-4)/365</f>
        <v>0.15890410958904111</v>
      </c>
      <c r="J32" s="12">
        <v>0</v>
      </c>
      <c r="K32" s="9">
        <v>0.14249999999999999</v>
      </c>
      <c r="L32" s="13">
        <f>_xll.dnetGBlackScholesNGreeks("price",$Q32,$P32,$G32,$I32,$C$3,$J32,$K32,$C$4)*R32</f>
        <v>143.36648004496328</v>
      </c>
      <c r="M32" s="15">
        <v>0</v>
      </c>
      <c r="N32" s="13">
        <f t="shared" si="55"/>
        <v>0</v>
      </c>
      <c r="O32" s="13">
        <f t="shared" si="56"/>
        <v>143.36648004496328</v>
      </c>
      <c r="P32" s="11">
        <f>RTD("wdf.rtq",,D32,"LastPrice")</f>
        <v>3649</v>
      </c>
      <c r="Q32" s="10" t="s">
        <v>85</v>
      </c>
      <c r="R32" s="10">
        <f t="shared" si="57"/>
        <v>1</v>
      </c>
      <c r="S32" s="10" t="s">
        <v>151</v>
      </c>
      <c r="T32" s="14">
        <f t="shared" si="58"/>
        <v>3.9289251862143951E-2</v>
      </c>
      <c r="U32" s="13">
        <f>_xll.dnetGBlackScholesNGreeks("delta",$Q32,$P32,$G32,$I32,$C$3,$J32,$K32,$C$4)*R32</f>
        <v>-0.67231227455977205</v>
      </c>
      <c r="V32" s="13">
        <f>_xll.dnetGBlackScholesNGreeks("vega",$Q32,$P32,$G32,$I32,$C$3,$J32,$K32,$C$4)*R32</f>
        <v>5.2195191961129694</v>
      </c>
    </row>
    <row r="33" spans="1:22" ht="10.5" customHeight="1">
      <c r="A33" s="42"/>
      <c r="B33" s="13" t="s">
        <v>172</v>
      </c>
      <c r="C33" s="10" t="s">
        <v>161</v>
      </c>
      <c r="D33" s="10" t="s">
        <v>202</v>
      </c>
      <c r="E33" s="8">
        <f t="shared" ca="1" si="0"/>
        <v>43168</v>
      </c>
      <c r="F33" s="8">
        <f t="shared" ca="1" si="54"/>
        <v>43230</v>
      </c>
      <c r="G33" s="10">
        <v>3700</v>
      </c>
      <c r="H33" s="10">
        <v>62</v>
      </c>
      <c r="I33" s="12">
        <f t="shared" si="59"/>
        <v>0.15890410958904111</v>
      </c>
      <c r="J33" s="12">
        <v>0</v>
      </c>
      <c r="K33" s="9">
        <v>0.14249999999999999</v>
      </c>
      <c r="L33" s="13">
        <f>_xll.dnetGBlackScholesNGreeks("price",$Q33,$P33,$G33,$I33,$C$3,$J33,$K33,$C$4)*R33</f>
        <v>110.87866994257229</v>
      </c>
      <c r="M33" s="15">
        <v>0</v>
      </c>
      <c r="N33" s="13">
        <f t="shared" si="55"/>
        <v>0</v>
      </c>
      <c r="O33" s="13">
        <f t="shared" si="56"/>
        <v>110.87866994257229</v>
      </c>
      <c r="P33" s="11">
        <f>RTD("wdf.rtq",,D33,"LastPrice")</f>
        <v>3649</v>
      </c>
      <c r="Q33" s="10" t="s">
        <v>85</v>
      </c>
      <c r="R33" s="10">
        <f t="shared" si="57"/>
        <v>1</v>
      </c>
      <c r="S33" s="10" t="s">
        <v>151</v>
      </c>
      <c r="T33" s="14">
        <f t="shared" si="58"/>
        <v>3.0386042735700818E-2</v>
      </c>
      <c r="U33" s="13">
        <f>_xll.dnetGBlackScholesNGreeks("delta",$Q33,$P33,$G33,$I33,$C$3,$J33,$K33,$C$4)*R33</f>
        <v>-0.58362453141853621</v>
      </c>
      <c r="V33" s="13">
        <f>_xll.dnetGBlackScholesNGreeks("vega",$Q33,$P33,$G33,$I33,$C$3,$J33,$K33,$C$4)*R33</f>
        <v>5.6504442338400622</v>
      </c>
    </row>
    <row r="34" spans="1:22" ht="10.5" customHeight="1">
      <c r="A34" s="42"/>
      <c r="B34" s="13" t="s">
        <v>172</v>
      </c>
      <c r="C34" s="10" t="s">
        <v>161</v>
      </c>
      <c r="D34" s="10" t="s">
        <v>202</v>
      </c>
      <c r="E34" s="8">
        <f t="shared" ca="1" si="0"/>
        <v>43168</v>
      </c>
      <c r="F34" s="8">
        <f t="shared" ca="1" si="54"/>
        <v>43230</v>
      </c>
      <c r="G34" s="10">
        <v>3650</v>
      </c>
      <c r="H34" s="10">
        <v>62</v>
      </c>
      <c r="I34" s="12">
        <f t="shared" si="59"/>
        <v>0.15890410958904111</v>
      </c>
      <c r="J34" s="12">
        <v>0</v>
      </c>
      <c r="K34" s="9">
        <v>0.14249999999999999</v>
      </c>
      <c r="L34" s="13">
        <f>_xll.dnetGBlackScholesNGreeks("price",$Q34,$P34,$G34,$I34,$C$3,$J34,$K34,$C$4)*R34</f>
        <v>82.929742829669294</v>
      </c>
      <c r="M34" s="15">
        <v>0</v>
      </c>
      <c r="N34" s="13">
        <f t="shared" si="55"/>
        <v>0</v>
      </c>
      <c r="O34" s="13">
        <f t="shared" si="56"/>
        <v>82.929742829669294</v>
      </c>
      <c r="P34" s="11">
        <f>RTD("wdf.rtq",,D34,"LastPrice")</f>
        <v>3649</v>
      </c>
      <c r="Q34" s="10" t="s">
        <v>85</v>
      </c>
      <c r="R34" s="10">
        <f t="shared" si="57"/>
        <v>1</v>
      </c>
      <c r="S34" s="10" t="s">
        <v>151</v>
      </c>
      <c r="T34" s="14">
        <f t="shared" si="58"/>
        <v>2.2726703981822225E-2</v>
      </c>
      <c r="U34" s="13">
        <f>_xll.dnetGBlackScholesNGreeks("delta",$Q34,$P34,$G34,$I34,$C$3,$J34,$K34,$C$4)*R34</f>
        <v>-0.4890377420679215</v>
      </c>
      <c r="V34" s="13">
        <f>_xll.dnetGBlackScholesNGreeks("vega",$Q34,$P34,$G34,$I34,$C$3,$J34,$K34,$C$4)*R34</f>
        <v>5.7829606334084929</v>
      </c>
    </row>
    <row r="35" spans="1:22" ht="10.5" customHeight="1">
      <c r="A35" s="42"/>
      <c r="B35" s="13" t="s">
        <v>172</v>
      </c>
      <c r="C35" s="10" t="s">
        <v>161</v>
      </c>
      <c r="D35" s="10" t="s">
        <v>202</v>
      </c>
      <c r="E35" s="8">
        <f t="shared" ca="1" si="0"/>
        <v>43168</v>
      </c>
      <c r="F35" s="8">
        <f t="shared" ca="1" si="54"/>
        <v>43230</v>
      </c>
      <c r="G35" s="10">
        <v>3600</v>
      </c>
      <c r="H35" s="10">
        <v>62</v>
      </c>
      <c r="I35" s="12">
        <f t="shared" si="59"/>
        <v>0.15890410958904111</v>
      </c>
      <c r="J35" s="12">
        <v>0</v>
      </c>
      <c r="K35" s="9">
        <v>0.14249999999999999</v>
      </c>
      <c r="L35" s="13">
        <f>_xll.dnetGBlackScholesNGreeks("price",$Q35,$P35,$G35,$I35,$C$3,$J35,$K35,$C$4)*R35</f>
        <v>59.750443521319994</v>
      </c>
      <c r="M35" s="15">
        <v>0</v>
      </c>
      <c r="N35" s="13">
        <f t="shared" si="55"/>
        <v>0</v>
      </c>
      <c r="O35" s="13">
        <f t="shared" si="56"/>
        <v>59.750443521319994</v>
      </c>
      <c r="P35" s="11">
        <f>RTD("wdf.rtq",,D35,"LastPrice")</f>
        <v>3649</v>
      </c>
      <c r="Q35" s="10" t="s">
        <v>85</v>
      </c>
      <c r="R35" s="10">
        <f t="shared" si="57"/>
        <v>1</v>
      </c>
      <c r="S35" s="10" t="s">
        <v>151</v>
      </c>
      <c r="T35" s="14">
        <f t="shared" si="58"/>
        <v>1.6374470682740474E-2</v>
      </c>
      <c r="U35" s="13">
        <f>_xll.dnetGBlackScholesNGreeks("delta",$Q35,$P35,$G35,$I35,$C$3,$J35,$K35,$C$4)*R35</f>
        <v>-0.3937124949857207</v>
      </c>
      <c r="V35" s="13">
        <f>_xll.dnetGBlackScholesNGreeks("vega",$Q35,$P35,$G35,$I35,$C$3,$J35,$K35,$C$4)*R35</f>
        <v>5.5821380360794137</v>
      </c>
    </row>
    <row r="36" spans="1:22" ht="10.5" customHeight="1">
      <c r="A36" s="42"/>
      <c r="B36" s="13"/>
      <c r="C36" s="10"/>
      <c r="D36" s="10"/>
      <c r="E36" s="8"/>
      <c r="F36" s="8"/>
      <c r="G36" s="10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  <row r="37" spans="1:22" ht="10.5" customHeight="1">
      <c r="A37" s="42"/>
      <c r="B37" s="13"/>
      <c r="C37" s="10"/>
      <c r="D37" s="10"/>
      <c r="E37" s="8"/>
      <c r="F37" s="8"/>
      <c r="G37" s="10"/>
      <c r="H37" s="10"/>
      <c r="I37" s="12"/>
      <c r="J37" s="12"/>
      <c r="K37" s="9"/>
      <c r="L37" s="13"/>
      <c r="M37" s="15"/>
      <c r="N37" s="13"/>
      <c r="O37" s="13"/>
      <c r="P37" s="11"/>
      <c r="Q37" s="10"/>
      <c r="R37" s="10"/>
      <c r="S37" s="10"/>
      <c r="T37" s="14"/>
      <c r="U37" s="13"/>
      <c r="V37" s="13"/>
    </row>
    <row r="38" spans="1:22" ht="10.5" customHeight="1">
      <c r="A38" s="42"/>
      <c r="B38" s="13"/>
      <c r="C38" s="10"/>
      <c r="D38" s="10"/>
      <c r="E38" s="8"/>
      <c r="F38" s="8"/>
      <c r="G38" s="10"/>
      <c r="H38" s="10"/>
      <c r="I38" s="12"/>
      <c r="J38" s="12"/>
      <c r="K38" s="9"/>
      <c r="L38" s="13"/>
      <c r="M38" s="15"/>
      <c r="N38" s="13"/>
      <c r="O38" s="13"/>
      <c r="P38" s="11"/>
      <c r="Q38" s="10"/>
      <c r="R38" s="10"/>
      <c r="S38" s="10"/>
      <c r="T38" s="14"/>
      <c r="U38" s="13"/>
      <c r="V38" s="13"/>
    </row>
    <row r="39" spans="1:22" ht="10.5" customHeight="1">
      <c r="A39" s="42"/>
      <c r="B39" s="13"/>
      <c r="C39" s="10"/>
      <c r="D39" s="10"/>
      <c r="E39" s="8"/>
      <c r="F39" s="8"/>
      <c r="G39" s="10"/>
      <c r="H39" s="10"/>
      <c r="I39" s="12"/>
      <c r="J39" s="12"/>
      <c r="K39" s="9"/>
      <c r="L39" s="13"/>
      <c r="M39" s="15"/>
      <c r="N39" s="13"/>
      <c r="O39" s="13"/>
      <c r="P39" s="11"/>
      <c r="Q39" s="10"/>
      <c r="R39" s="10"/>
      <c r="S39" s="10"/>
      <c r="T39" s="14"/>
      <c r="U39" s="13"/>
      <c r="V39" s="13"/>
    </row>
    <row r="40" spans="1:22" ht="10.5" customHeight="1">
      <c r="A40" s="42"/>
      <c r="B40" s="13"/>
      <c r="C40" s="10"/>
      <c r="D40" s="10"/>
      <c r="E40" s="8"/>
      <c r="F40" s="8"/>
      <c r="G40" s="10"/>
      <c r="H40" s="10"/>
      <c r="I40" s="12"/>
      <c r="J40" s="12"/>
      <c r="K40" s="9"/>
      <c r="L40" s="13"/>
      <c r="M40" s="15"/>
      <c r="N40" s="13"/>
      <c r="O40" s="13"/>
      <c r="P40" s="11"/>
      <c r="Q40" s="10"/>
      <c r="R40" s="10"/>
      <c r="S40" s="10"/>
      <c r="T40" s="14"/>
      <c r="U40" s="13"/>
      <c r="V40" s="13"/>
    </row>
    <row r="41" spans="1:22" ht="10.5" customHeight="1">
      <c r="A41" s="42"/>
      <c r="B41" s="13"/>
      <c r="C41" s="10"/>
      <c r="D41" s="10"/>
      <c r="E41" s="8"/>
      <c r="F41" s="8"/>
      <c r="G41" s="10"/>
      <c r="H41" s="10"/>
      <c r="I41" s="12"/>
      <c r="J41" s="12"/>
      <c r="K41" s="9"/>
      <c r="L41" s="13"/>
      <c r="M41" s="15"/>
      <c r="N41" s="13"/>
      <c r="O41" s="13"/>
      <c r="P41" s="11"/>
      <c r="Q41" s="10"/>
      <c r="R41" s="10"/>
      <c r="S41" s="10"/>
      <c r="T41" s="14"/>
      <c r="U41" s="13"/>
      <c r="V41" s="13"/>
    </row>
    <row r="42" spans="1:22" ht="10.5" customHeight="1">
      <c r="A42" s="42"/>
      <c r="B42" s="13"/>
      <c r="C42" s="10"/>
      <c r="D42" s="10"/>
      <c r="E42" s="8"/>
      <c r="F42" s="8"/>
      <c r="G42" s="10"/>
      <c r="H42" s="10"/>
      <c r="I42" s="12"/>
      <c r="J42" s="12"/>
      <c r="K42" s="9"/>
      <c r="L42" s="13"/>
      <c r="M42" s="15"/>
      <c r="N42" s="13"/>
      <c r="O42" s="13"/>
      <c r="P42" s="11"/>
      <c r="Q42" s="10"/>
      <c r="R42" s="10"/>
      <c r="S42" s="10"/>
      <c r="T42" s="14"/>
      <c r="U42" s="13"/>
      <c r="V42" s="13"/>
    </row>
    <row r="43" spans="1:22" ht="10.5" customHeight="1">
      <c r="A43" s="42"/>
      <c r="B43" s="13"/>
      <c r="C43" s="10"/>
      <c r="D43" s="10"/>
      <c r="E43" s="8"/>
      <c r="F43" s="8"/>
      <c r="G43" s="10"/>
      <c r="H43" s="10"/>
      <c r="I43" s="12"/>
      <c r="J43" s="12"/>
      <c r="K43" s="9"/>
      <c r="L43" s="13"/>
      <c r="M43" s="15"/>
      <c r="N43" s="13"/>
      <c r="O43" s="13"/>
      <c r="P43" s="11"/>
      <c r="Q43" s="10"/>
      <c r="R43" s="10"/>
      <c r="S43" s="10"/>
      <c r="T43" s="14"/>
      <c r="U43" s="13"/>
      <c r="V43" s="13"/>
    </row>
    <row r="44" spans="1:22" ht="10.5" customHeight="1">
      <c r="A44" s="42"/>
      <c r="B44" s="13"/>
      <c r="C44" s="10"/>
      <c r="D44" s="10"/>
      <c r="E44" s="8"/>
      <c r="F44" s="8"/>
      <c r="G44" s="10"/>
      <c r="H44" s="10"/>
      <c r="I44" s="12"/>
      <c r="J44" s="12"/>
      <c r="K44" s="9"/>
      <c r="L44" s="13"/>
      <c r="M44" s="15"/>
      <c r="N44" s="13"/>
      <c r="O44" s="13"/>
      <c r="P44" s="11"/>
      <c r="Q44" s="10"/>
      <c r="R44" s="10"/>
      <c r="S44" s="10"/>
      <c r="T44" s="14"/>
      <c r="U44" s="13"/>
      <c r="V44" s="13"/>
    </row>
    <row r="45" spans="1:22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201"/>
      <c r="Q50" s="104"/>
      <c r="R50" s="104"/>
      <c r="S50" s="104"/>
      <c r="T50" s="110"/>
      <c r="U50" s="103"/>
      <c r="V50" s="103"/>
    </row>
    <row r="51" spans="1:22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201"/>
      <c r="Q51" s="104"/>
      <c r="R51" s="104"/>
      <c r="S51" s="104"/>
      <c r="T51" s="110"/>
      <c r="U51" s="103"/>
      <c r="V51" s="103"/>
    </row>
    <row r="52" spans="1:22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201"/>
      <c r="Q52" s="104"/>
      <c r="R52" s="104"/>
      <c r="S52" s="104"/>
      <c r="T52" s="110"/>
      <c r="U52" s="103"/>
      <c r="V52" s="103"/>
    </row>
    <row r="53" spans="1:22" ht="15">
      <c r="A53" s="42"/>
      <c r="B53" s="103"/>
      <c r="C53" s="104"/>
      <c r="D53" s="104"/>
      <c r="E53" s="105"/>
      <c r="F53" s="105"/>
      <c r="G53" s="104"/>
      <c r="H53" s="104"/>
      <c r="I53" s="200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S8:S57</xm:sqref>
        </x14:dataValidation>
        <x14:dataValidation type="list" allowBlank="1" showInputMessage="1" showErrorMessage="1">
          <x14:formula1>
            <xm:f>configs!$C$1:$C$2</xm:f>
          </x14:formula1>
          <xm:sqref>Q8:Q57</xm:sqref>
        </x14:dataValidation>
        <x14:dataValidation type="list" allowBlank="1" showInputMessage="1">
          <x14:formula1>
            <xm:f>configs!$A$1:$A$36</xm:f>
          </x14:formula1>
          <xm:sqref>C8:C57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A4" zoomScale="85" zoomScaleNormal="85" workbookViewId="0">
      <selection activeCell="Q24" sqref="Q24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98" t="s">
        <v>37</v>
      </c>
      <c r="C1" s="197"/>
    </row>
    <row r="2" spans="1:22" ht="12" thickTop="1">
      <c r="B2" s="29" t="s">
        <v>0</v>
      </c>
      <c r="C2" s="4">
        <v>43061</v>
      </c>
    </row>
    <row r="3" spans="1:22">
      <c r="B3" s="29" t="s">
        <v>1</v>
      </c>
      <c r="C3" s="29">
        <v>0.02</v>
      </c>
    </row>
    <row r="4" spans="1:22" ht="12" thickBot="1">
      <c r="B4" s="30" t="s">
        <v>18</v>
      </c>
      <c r="C4" s="30">
        <v>0.01</v>
      </c>
    </row>
    <row r="5" spans="1:22" ht="12" thickTop="1"/>
    <row r="6" spans="1:22" ht="12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43168</v>
      </c>
      <c r="G8" s="54">
        <f ca="1">F8+I8</f>
        <v>43198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43168</v>
      </c>
      <c r="G9" s="62">
        <f ca="1">G8</f>
        <v>43198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43168</v>
      </c>
      <c r="G10" s="70">
        <f ca="1">G9</f>
        <v>43198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97" t="s">
        <v>38</v>
      </c>
      <c r="C1" s="197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3724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44">
        <v>0.02</v>
      </c>
      <c r="M8" s="21">
        <f ca="1">TODAY()</f>
        <v>43168</v>
      </c>
      <c r="N8" s="21">
        <f ca="1">M8+O8</f>
        <v>43198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-40.266017095775368</v>
      </c>
      <c r="T8" s="25">
        <v>80</v>
      </c>
      <c r="U8" s="24">
        <f>T8/10000*P8*H8</f>
        <v>2.4486575342465753</v>
      </c>
      <c r="V8" s="24">
        <f>IF(S8&lt;=0,ABS(S8)+U8,S8-U8)</f>
        <v>42.714674630021946</v>
      </c>
      <c r="W8" s="26">
        <f>V8/H8</f>
        <v>1.1470105969393648E-2</v>
      </c>
      <c r="X8" s="24">
        <f>_xll.dnetStandardBarrierNGreeks("delta",G8,H8,I8,K8,L8*H8,P8,$C$3,Q8,R8,$C$4)</f>
        <v>0.15140415716885514</v>
      </c>
      <c r="Y8" s="24">
        <f>_xll.dnetStandardBarrierNGreeks("vega",G8,H8,I8,K8,L8*H8,P8,$C$3,Q8,R8,$C$4)</f>
        <v>0.87962780086952108</v>
      </c>
    </row>
    <row r="9" spans="1:2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43168</v>
      </c>
      <c r="N9" s="8">
        <f ca="1">M9+O9</f>
        <v>43348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I24" sqref="I24"/>
    </sheetView>
  </sheetViews>
  <sheetFormatPr defaultRowHeight="13.5"/>
  <cols>
    <col min="1" max="1" width="10.875" bestFit="1" customWidth="1"/>
  </cols>
  <sheetData>
    <row r="1" spans="1:6" ht="15.75" thickBot="1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99" t="s">
        <v>37</v>
      </c>
      <c r="C1" s="199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3724</v>
      </c>
      <c r="I8" s="19">
        <v>3800</v>
      </c>
      <c r="J8" s="21">
        <f ca="1">TODAY()</f>
        <v>43168</v>
      </c>
      <c r="K8" s="21">
        <f ca="1">J8+L8</f>
        <v>43198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95.729491134916998</v>
      </c>
      <c r="P8" s="25">
        <v>80</v>
      </c>
      <c r="Q8" s="24">
        <f>P8/10000*M8*H8*(-E8)</f>
        <v>2.4486575342465753</v>
      </c>
      <c r="R8" s="24">
        <f>O8+Q8</f>
        <v>98.178148669163576</v>
      </c>
      <c r="S8" s="26">
        <f>R8/H8</f>
        <v>2.6363627462181412E-2</v>
      </c>
      <c r="T8" s="24">
        <f>_xll.dnetGBlackScholesNGreeks("delta",$G8,$H8,$I8,$M8,$C$3,$C$4,$N8,$C$4)</f>
        <v>0.427308498410639</v>
      </c>
      <c r="U8" s="24">
        <f>_xll.dnetGBlackScholesNGreeks("vega",$G8,$H8,$I8,$M8,$C$3,$C$4,$N8)</f>
        <v>4.185481797290322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43168</v>
      </c>
      <c r="K9" s="8">
        <f ca="1">J9+L9</f>
        <v>43198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43168</v>
      </c>
      <c r="K10" s="8">
        <f ca="1">J10+L10</f>
        <v>43198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2018-03-09T13:53:16Z</dcterms:modified>
</cp:coreProperties>
</file>