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G25" i="9" l="1"/>
  <c r="G16" i="9"/>
  <c r="G28" i="9"/>
  <c r="J27" i="9"/>
  <c r="H27" i="9"/>
  <c r="I27" i="9" s="1"/>
  <c r="I28" i="9" s="1"/>
  <c r="D27" i="9"/>
  <c r="D28" i="9" s="1"/>
  <c r="R27" i="9"/>
  <c r="I26" i="9"/>
  <c r="E26" i="9"/>
  <c r="E27" i="9" s="1"/>
  <c r="E28" i="9" s="1"/>
  <c r="R26" i="9"/>
  <c r="J24" i="9"/>
  <c r="H24" i="9"/>
  <c r="H25" i="9" s="1"/>
  <c r="D24" i="9"/>
  <c r="D25" i="9" s="1"/>
  <c r="R24" i="9"/>
  <c r="I23" i="9"/>
  <c r="E23" i="9"/>
  <c r="E24" i="9" s="1"/>
  <c r="E25" i="9" s="1"/>
  <c r="R23" i="9"/>
  <c r="G22" i="9"/>
  <c r="J21" i="9"/>
  <c r="H21" i="9"/>
  <c r="I21" i="9" s="1"/>
  <c r="I22" i="9" s="1"/>
  <c r="D21" i="9"/>
  <c r="D22" i="9" s="1"/>
  <c r="R21" i="9"/>
  <c r="I20" i="9"/>
  <c r="E20" i="9"/>
  <c r="F20" i="9" s="1"/>
  <c r="F21" i="9" s="1"/>
  <c r="F22" i="9" s="1"/>
  <c r="R20" i="9"/>
  <c r="G19" i="9"/>
  <c r="J18" i="9"/>
  <c r="H18" i="9"/>
  <c r="H19" i="9" s="1"/>
  <c r="D18" i="9"/>
  <c r="D19" i="9" s="1"/>
  <c r="R18" i="9"/>
  <c r="I17" i="9"/>
  <c r="E17" i="9"/>
  <c r="E18" i="9" s="1"/>
  <c r="E19" i="9" s="1"/>
  <c r="R17" i="9"/>
  <c r="J15" i="9"/>
  <c r="H15" i="9"/>
  <c r="H16" i="9" s="1"/>
  <c r="D15" i="9"/>
  <c r="D16" i="9" s="1"/>
  <c r="R15" i="9"/>
  <c r="I14" i="9"/>
  <c r="E14" i="9"/>
  <c r="E15" i="9" s="1"/>
  <c r="E16" i="9" s="1"/>
  <c r="R14" i="9"/>
  <c r="D12" i="9"/>
  <c r="D13" i="9" s="1"/>
  <c r="G13" i="9"/>
  <c r="J12" i="9"/>
  <c r="H12" i="9"/>
  <c r="H13" i="9" s="1"/>
  <c r="R12" i="9"/>
  <c r="I11" i="9"/>
  <c r="E11" i="9"/>
  <c r="F11" i="9" s="1"/>
  <c r="F12" i="9" s="1"/>
  <c r="F13" i="9" s="1"/>
  <c r="R11" i="9"/>
  <c r="R22" i="1"/>
  <c r="I22" i="1"/>
  <c r="E22" i="1"/>
  <c r="F22" i="1" s="1"/>
  <c r="R21" i="1"/>
  <c r="I21" i="1"/>
  <c r="E21" i="1"/>
  <c r="F21" i="1" s="1"/>
  <c r="R20" i="1"/>
  <c r="I20" i="1"/>
  <c r="E20" i="1"/>
  <c r="F20" i="1" s="1"/>
  <c r="R18" i="1"/>
  <c r="I18" i="1"/>
  <c r="E18" i="1"/>
  <c r="F18" i="1" s="1"/>
  <c r="R17" i="1"/>
  <c r="I17" i="1"/>
  <c r="E17" i="1"/>
  <c r="F17" i="1" s="1"/>
  <c r="R16" i="1"/>
  <c r="I16" i="1"/>
  <c r="E16" i="1"/>
  <c r="F16" i="1" s="1"/>
  <c r="R15" i="1"/>
  <c r="I15" i="1"/>
  <c r="E15" i="1"/>
  <c r="F15" i="1" s="1"/>
  <c r="I14" i="1"/>
  <c r="I13" i="1"/>
  <c r="R14" i="1"/>
  <c r="E14" i="1"/>
  <c r="F14" i="1" s="1"/>
  <c r="R13" i="1"/>
  <c r="E13" i="1"/>
  <c r="F13" i="1" s="1"/>
  <c r="P26" i="9"/>
  <c r="P23" i="9"/>
  <c r="L26" i="9"/>
  <c r="P20" i="9"/>
  <c r="L20" i="9"/>
  <c r="V20" i="9"/>
  <c r="V26" i="9"/>
  <c r="V23" i="9"/>
  <c r="P11" i="9"/>
  <c r="P17" i="9"/>
  <c r="P14" i="9"/>
  <c r="V14" i="9"/>
  <c r="V17" i="9"/>
  <c r="U14" i="9"/>
  <c r="L11" i="9"/>
  <c r="V11" i="9"/>
  <c r="P20" i="1"/>
  <c r="P22" i="1"/>
  <c r="V20" i="1"/>
  <c r="L22" i="1"/>
  <c r="P21" i="1"/>
  <c r="U20" i="1"/>
  <c r="V22" i="1"/>
  <c r="V21" i="1"/>
  <c r="L20" i="1"/>
  <c r="P16" i="1"/>
  <c r="P15" i="1"/>
  <c r="V15" i="1" s="1"/>
  <c r="P18" i="1"/>
  <c r="P17" i="1"/>
  <c r="L15" i="1"/>
  <c r="V18" i="1"/>
  <c r="L16" i="1"/>
  <c r="L17" i="1"/>
  <c r="P14" i="1"/>
  <c r="P13" i="1"/>
  <c r="L13" i="1"/>
  <c r="V13" i="1"/>
  <c r="U13" i="1"/>
  <c r="L14" i="1"/>
  <c r="L18" i="1"/>
  <c r="U18" i="1"/>
  <c r="U22" i="1"/>
  <c r="L21" i="1"/>
  <c r="L23" i="9"/>
  <c r="U20" i="9"/>
  <c r="O23" i="9" l="1"/>
  <c r="O11" i="9"/>
  <c r="O20" i="9"/>
  <c r="O26" i="9"/>
  <c r="F23" i="9"/>
  <c r="F24" i="9" s="1"/>
  <c r="F25" i="9" s="1"/>
  <c r="E21" i="9"/>
  <c r="E22" i="9" s="1"/>
  <c r="H28" i="9"/>
  <c r="P21" i="9"/>
  <c r="P24" i="9"/>
  <c r="P27" i="9"/>
  <c r="F26" i="9"/>
  <c r="F27" i="9" s="1"/>
  <c r="F28" i="9" s="1"/>
  <c r="I24" i="9"/>
  <c r="I25" i="9" s="1"/>
  <c r="H22" i="9"/>
  <c r="P15" i="9"/>
  <c r="P16" i="9" s="1"/>
  <c r="P18" i="9"/>
  <c r="P19" i="9" s="1"/>
  <c r="P12" i="9"/>
  <c r="P13" i="9" s="1"/>
  <c r="I12" i="9"/>
  <c r="F17" i="9"/>
  <c r="F18" i="9" s="1"/>
  <c r="F19" i="9" s="1"/>
  <c r="F14" i="9"/>
  <c r="F15" i="9" s="1"/>
  <c r="F16" i="9" s="1"/>
  <c r="I18" i="9"/>
  <c r="I15" i="9"/>
  <c r="E12" i="9"/>
  <c r="E13" i="9" s="1"/>
  <c r="N21" i="1"/>
  <c r="O21" i="1" s="1"/>
  <c r="T21" i="1" s="1"/>
  <c r="N22" i="1"/>
  <c r="O22" i="1" s="1"/>
  <c r="T22" i="1" s="1"/>
  <c r="N20" i="1"/>
  <c r="O20" i="1" s="1"/>
  <c r="T20" i="1" s="1"/>
  <c r="N17" i="1"/>
  <c r="O17" i="1" s="1"/>
  <c r="T17" i="1" s="1"/>
  <c r="N18" i="1"/>
  <c r="O18" i="1" s="1"/>
  <c r="T18" i="1" s="1"/>
  <c r="N15" i="1"/>
  <c r="O15" i="1" s="1"/>
  <c r="T15" i="1" s="1"/>
  <c r="N16" i="1"/>
  <c r="O16" i="1" s="1"/>
  <c r="T16" i="1" s="1"/>
  <c r="N13" i="1"/>
  <c r="O13" i="1" s="1"/>
  <c r="T13" i="1" s="1"/>
  <c r="N14" i="1"/>
  <c r="O14" i="1" s="1"/>
  <c r="T14" i="1" s="1"/>
  <c r="I11" i="1"/>
  <c r="R11" i="1"/>
  <c r="E11" i="1"/>
  <c r="F11" i="1" s="1"/>
  <c r="R10" i="1"/>
  <c r="I10" i="1"/>
  <c r="E10" i="1"/>
  <c r="F10" i="1" s="1"/>
  <c r="U27" i="9"/>
  <c r="L21" i="9"/>
  <c r="V21" i="9"/>
  <c r="U21" i="9"/>
  <c r="L24" i="9"/>
  <c r="V24" i="9"/>
  <c r="U24" i="9"/>
  <c r="U23" i="9"/>
  <c r="U26" i="9"/>
  <c r="L27" i="9"/>
  <c r="V27" i="9"/>
  <c r="L12" i="9"/>
  <c r="U18" i="9"/>
  <c r="V15" i="9"/>
  <c r="L15" i="9"/>
  <c r="U15" i="9"/>
  <c r="U17" i="9"/>
  <c r="V18" i="9"/>
  <c r="L17" i="9"/>
  <c r="L14" i="9"/>
  <c r="L18" i="9"/>
  <c r="U12" i="9"/>
  <c r="V12" i="9"/>
  <c r="U11" i="9"/>
  <c r="U21" i="1"/>
  <c r="U16" i="1"/>
  <c r="V16" i="1"/>
  <c r="V17" i="1"/>
  <c r="U17" i="1"/>
  <c r="U15" i="1"/>
  <c r="U14" i="1"/>
  <c r="V14" i="1"/>
  <c r="L10" i="1"/>
  <c r="V11" i="1"/>
  <c r="O18" i="9" l="1"/>
  <c r="O14" i="9"/>
  <c r="O17" i="9"/>
  <c r="O15" i="9"/>
  <c r="O12" i="9"/>
  <c r="O27" i="9"/>
  <c r="O24" i="9"/>
  <c r="O21" i="9"/>
  <c r="V28" i="9"/>
  <c r="L28" i="9"/>
  <c r="U25" i="9"/>
  <c r="V25" i="9"/>
  <c r="L25" i="9"/>
  <c r="U22" i="9"/>
  <c r="V22" i="9"/>
  <c r="L22" i="9"/>
  <c r="U28" i="9"/>
  <c r="P28" i="9"/>
  <c r="N28" i="9" s="1"/>
  <c r="P25" i="9"/>
  <c r="N25" i="9" s="1"/>
  <c r="P22" i="9"/>
  <c r="N22" i="9" s="1"/>
  <c r="L13" i="9"/>
  <c r="I13" i="9"/>
  <c r="N13" i="9" s="1"/>
  <c r="L19" i="9"/>
  <c r="V19" i="9"/>
  <c r="U16" i="9"/>
  <c r="L16" i="9"/>
  <c r="V16" i="9"/>
  <c r="U19" i="9"/>
  <c r="I19" i="9"/>
  <c r="N19" i="9" s="1"/>
  <c r="I16" i="9"/>
  <c r="N16" i="9" s="1"/>
  <c r="V13" i="9"/>
  <c r="U13" i="9"/>
  <c r="N11" i="1"/>
  <c r="N10" i="1"/>
  <c r="O10" i="1" s="1"/>
  <c r="T10" i="1" s="1"/>
  <c r="R9" i="1"/>
  <c r="I9" i="1"/>
  <c r="N9" i="1" s="1"/>
  <c r="E9" i="1"/>
  <c r="F9" i="1" s="1"/>
  <c r="U11" i="1"/>
  <c r="V10" i="1"/>
  <c r="U10" i="1"/>
  <c r="L11" i="1"/>
  <c r="U9" i="1"/>
  <c r="O22" i="9" l="1"/>
  <c r="T22" i="9" s="1"/>
  <c r="O16" i="9"/>
  <c r="T16" i="9" s="1"/>
  <c r="O19" i="9"/>
  <c r="T19" i="9" s="1"/>
  <c r="O25" i="9"/>
  <c r="T25" i="9" s="1"/>
  <c r="O28" i="9"/>
  <c r="T28" i="9" s="1"/>
  <c r="O13" i="9"/>
  <c r="T13" i="9" s="1"/>
  <c r="O11" i="1"/>
  <c r="T11" i="1" s="1"/>
  <c r="V9" i="1"/>
  <c r="L9" i="1"/>
  <c r="O9" i="1" l="1"/>
  <c r="T9" i="1" s="1"/>
  <c r="U96" i="6" l="1"/>
  <c r="D40" i="2" l="1"/>
  <c r="D37" i="2"/>
  <c r="I26" i="2"/>
  <c r="I23" i="2"/>
  <c r="X23" i="2" l="1"/>
  <c r="S23" i="2"/>
  <c r="X26" i="2"/>
  <c r="S26" i="2"/>
  <c r="N26" i="2" l="1"/>
  <c r="N23" i="2"/>
  <c r="D23" i="2" l="1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L8" i="9"/>
  <c r="V9" i="9"/>
  <c r="U8" i="9"/>
  <c r="L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H8" i="8"/>
  <c r="U10" i="7"/>
  <c r="T9" i="7"/>
  <c r="O9" i="7"/>
  <c r="U9" i="7"/>
  <c r="H8" i="7"/>
  <c r="T10" i="7"/>
  <c r="O10" i="7"/>
  <c r="K9" i="8"/>
  <c r="U8" i="8" l="1"/>
  <c r="Q9" i="7"/>
  <c r="R9" i="7" s="1"/>
  <c r="S9" i="7" s="1"/>
  <c r="Q10" i="7"/>
  <c r="R10" i="7" s="1"/>
  <c r="S10" i="7" s="1"/>
  <c r="Q8" i="7"/>
  <c r="S9" i="8"/>
  <c r="X9" i="8"/>
  <c r="U8" i="7"/>
  <c r="T8" i="7"/>
  <c r="O8" i="7"/>
  <c r="K8" i="8"/>
  <c r="Y9" i="8"/>
  <c r="V9" i="8" l="1"/>
  <c r="W9" i="8" s="1"/>
  <c r="R8" i="7"/>
  <c r="S8" i="7" s="1"/>
  <c r="Y8" i="8"/>
  <c r="X8" i="8"/>
  <c r="S8" i="8"/>
  <c r="V8" i="8" l="1"/>
  <c r="W8" i="8" s="1"/>
  <c r="R8" i="1"/>
  <c r="I8" i="1" l="1"/>
  <c r="E8" i="1"/>
  <c r="F8" i="1" s="1"/>
  <c r="P8" i="1"/>
  <c r="N8" i="1" l="1"/>
  <c r="L8" i="1"/>
  <c r="U8" i="1"/>
  <c r="V8" i="1"/>
  <c r="O8" i="1" l="1"/>
  <c r="T8" i="1" s="1"/>
</calcChain>
</file>

<file path=xl/sharedStrings.xml><?xml version="1.0" encoding="utf-8"?>
<sst xmlns="http://schemas.openxmlformats.org/spreadsheetml/2006/main" count="1439" uniqueCount="222">
  <si>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</si>
  <si>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</si>
  <si>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</si>
  <si>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</si>
  <si>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</si>
  <si>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</si>
  <si>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</si>
  <si>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</si>
  <si>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</si>
  <si>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</si>
  <si>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</si>
  <si>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</si>
  <si>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</si>
  <si>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</si>
  <si>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</si>
  <si>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</si>
  <si>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</si>
  <si>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</si>
  <si>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</si>
  <si>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</si>
  <si>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</si>
  <si>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</si>
  <si>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</si>
  <si>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</si>
  <si>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</si>
  <si>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</si>
  <si>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</si>
  <si>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</si>
  <si>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</si>
  <si>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</si>
  <si>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</si>
  <si>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</si>
  <si>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</si>
  <si>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</si>
  <si>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</si>
  <si>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</si>
  <si>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</si>
  <si>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</si>
  <si>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</si>
  <si>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</si>
  <si>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</si>
  <si>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</si>
  <si>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</si>
  <si>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</si>
  <si>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</si>
  <si>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</si>
  <si>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</si>
  <si>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</si>
  <si>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</si>
  <si>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</si>
  <si>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</si>
  <si>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</si>
  <si>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</si>
  <si>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</si>
  <si>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</si>
  <si>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</si>
  <si>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</si>
  <si>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</si>
  <si>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</si>
  <si>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</si>
  <si>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</si>
  <si>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</si>
  <si>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</si>
  <si>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</si>
  <si>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</si>
  <si>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</si>
  <si>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</si>
  <si>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</si>
  <si>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</si>
  <si>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</si>
  <si>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</si>
  <si>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</si>
  <si>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</si>
  <si>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</si>
  <si>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</si>
  <si>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</si>
  <si>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</si>
  <si>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</si>
  <si>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</si>
  <si>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</si>
  <si>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</si>
  <si>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</si>
  <si>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</si>
  <si>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</si>
  <si>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</si>
  <si>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</si>
  <si>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</si>
  <si>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</si>
  <si>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</si>
  <si>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</si>
  <si>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</si>
  <si>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</si>
  <si>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</si>
  <si>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</si>
  <si>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</si>
  <si>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</si>
  <si>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</si>
  <si>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</si>
  <si>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</si>
  <si>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</si>
  <si>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</si>
  <si>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</si>
  <si>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</si>
  <si>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</si>
  <si>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</si>
  <si>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</si>
  <si>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</si>
  <si>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</si>
  <si>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</si>
  <si>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</si>
  <si>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</si>
  <si>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</si>
  <si>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</si>
  <si>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</si>
  <si>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</si>
  <si>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</si>
  <si>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</si>
  <si>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</si>
  <si>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</si>
  <si>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</si>
  <si>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</si>
  <si>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</si>
  <si>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</si>
  <si>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</si>
  <si>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</si>
  <si>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</si>
  <si>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</si>
  <si>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</si>
  <si>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</si>
  <si>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</si>
  <si>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</si>
  <si>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</si>
  <si>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</si>
  <si>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</si>
  <si>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</si>
  <si>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</si>
  <si>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</si>
  <si>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</si>
  <si>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</si>
  <si>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</si>
  <si>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</si>
  <si>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</si>
  <si>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</si>
  <si>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</si>
  <si>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</si>
  <si>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</si>
  <si>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</si>
  <si>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</si>
  <si>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</si>
  <si>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</si>
  <si>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</si>
  <si>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</si>
  <si>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</si>
  <si>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</si>
  <si>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</si>
  <si>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</si>
  <si>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</si>
  <si>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</si>
  <si>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</si>
  <si>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</si>
  <si>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</si>
  <si>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</si>
  <si>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</si>
  <si>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</si>
  <si>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</si>
  <si>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</si>
  <si>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</si>
  <si>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</si>
  <si>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</si>
  <si>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</si>
  <si>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</si>
  <si>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</si>
  <si>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</si>
  <si>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</si>
  <si>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</si>
  <si>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</si>
  <si>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</si>
  <si>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</si>
  <si>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</si>
  <si>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</si>
  <si>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</si>
  <si>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</si>
  <si>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</si>
  <si>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</si>
  <si>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</si>
  <si>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rb1810</t>
  </si>
  <si>
    <t>cf805</t>
  </si>
  <si>
    <t>RB1810</t>
  </si>
  <si>
    <t>al1805</t>
  </si>
  <si>
    <t>中金公司</t>
    <phoneticPr fontId="1" type="noConversion"/>
  </si>
  <si>
    <t>ru1805</t>
  </si>
  <si>
    <t>rb1805</t>
  </si>
  <si>
    <t>i1805</t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</si>
  <si>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</si>
  <si>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</si>
  <si>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</si>
  <si>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</si>
  <si>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</si>
  <si>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</si>
  <si>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hc1805</t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</si>
  <si>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</si>
  <si>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</si>
  <si>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</si>
  <si>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cu1805</t>
  </si>
  <si>
    <t>ru1809</t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</si>
  <si>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</si>
  <si>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</si>
  <si>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</si>
  <si>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</si>
  <si>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</si>
  <si>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i1809</t>
  </si>
  <si>
    <t>cs1805</t>
  </si>
  <si>
    <t>al1805</t>
    <phoneticPr fontId="1" type="noConversion"/>
  </si>
  <si>
    <t>江铜国贸</t>
    <phoneticPr fontId="1" type="noConversion"/>
  </si>
  <si>
    <t>zn1806</t>
  </si>
  <si>
    <t>rb1810</t>
    <phoneticPr fontId="1" type="noConversion"/>
  </si>
  <si>
    <t>3300|4000</t>
  </si>
  <si>
    <t>3500|4000</t>
  </si>
  <si>
    <t>3400|4000</t>
  </si>
  <si>
    <t>rr</t>
    <phoneticPr fontId="1" type="noConversion"/>
  </si>
  <si>
    <t>i1810</t>
  </si>
  <si>
    <t>i1810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</si>
</sst>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"/>
    <numFmt numFmtId="177" formatCode="0.0000"/>
    <numFmt numFmtId="178" formatCode="###,###,##0"/>
    <numFmt numFmtId="179" formatCode="###,###,##0.0"/>
    <numFmt numFmtId="180" formatCode="###,###,##0.000"/>
  </numFmts>
  <fonts count="3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rgb="FF000000"/>
      <name val="Inherit"/>
      <family val="1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90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0" fontId="14" fillId="6" borderId="0" xfId="0" applyFont="1" applyFill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2" fontId="5" fillId="9" borderId="0" xfId="0" applyNumberFormat="1" applyFont="1" applyFill="1" applyBorder="1"/>
    <xf numFmtId="0" fontId="5" fillId="9" borderId="0" xfId="0" applyFont="1" applyFill="1" applyBorder="1"/>
    <xf numFmtId="14" fontId="5" fillId="5" borderId="0" xfId="0" applyNumberFormat="1" applyFont="1" applyFill="1" applyBorder="1"/>
    <xf numFmtId="177" fontId="5" fillId="9" borderId="0" xfId="0" applyNumberFormat="1" applyFont="1" applyFill="1" applyBorder="1"/>
    <xf numFmtId="0" fontId="5" fillId="4" borderId="0" xfId="0" applyFont="1" applyFill="1" applyBorder="1"/>
    <xf numFmtId="0" fontId="5" fillId="8" borderId="0" xfId="0" applyFont="1" applyFill="1" applyBorder="1"/>
    <xf numFmtId="178" fontId="5" fillId="9" borderId="0" xfId="0" applyNumberFormat="1" applyFont="1" applyFill="1" applyBorder="1"/>
    <xf numFmtId="10" fontId="5" fillId="9" borderId="0" xfId="1" applyNumberFormat="1" applyFont="1" applyFill="1" applyBorder="1" applyAlignment="1"/>
    <xf numFmtId="179" fontId="12" fillId="9" borderId="2" xfId="0" applyNumberFormat="1" applyFont="1" applyFill="1" applyBorder="1"/>
    <xf numFmtId="0" fontId="5" fillId="6" borderId="0" xfId="0" applyFont="1" applyFill="1" applyBorder="1"/>
    <xf numFmtId="0" fontId="14" fillId="6" borderId="17" xfId="0" applyFont="1" applyFill="1" applyBorder="1"/>
    <xf numFmtId="0" fontId="5" fillId="6" borderId="18" xfId="0" applyFont="1" applyFill="1" applyBorder="1"/>
    <xf numFmtId="0" fontId="14" fillId="6" borderId="19" xfId="0" applyFont="1" applyFill="1" applyBorder="1"/>
    <xf numFmtId="0" fontId="14" fillId="6" borderId="20" xfId="0" applyFont="1" applyFill="1" applyBorder="1"/>
    <xf numFmtId="2" fontId="12" fillId="9" borderId="13" xfId="0" applyNumberFormat="1" applyFont="1" applyFill="1" applyBorder="1"/>
    <xf numFmtId="0" fontId="12" fillId="9" borderId="13" xfId="0" applyFont="1" applyFill="1" applyBorder="1"/>
    <xf numFmtId="14" fontId="12" fillId="5" borderId="13" xfId="0" applyNumberFormat="1" applyFont="1" applyFill="1" applyBorder="1"/>
    <xf numFmtId="178" fontId="12" fillId="9" borderId="13" xfId="0" applyNumberFormat="1" applyFont="1" applyFill="1" applyBorder="1"/>
    <xf numFmtId="177" fontId="12" fillId="9" borderId="13" xfId="0" applyNumberFormat="1" applyFont="1" applyFill="1" applyBorder="1"/>
    <xf numFmtId="0" fontId="12" fillId="4" borderId="13" xfId="0" applyFont="1" applyFill="1" applyBorder="1"/>
    <xf numFmtId="0" fontId="12" fillId="8" borderId="13" xfId="0" applyFont="1" applyFill="1" applyBorder="1"/>
    <xf numFmtId="179" fontId="12" fillId="9" borderId="13" xfId="0" applyNumberFormat="1" applyFont="1" applyFill="1" applyBorder="1"/>
    <xf numFmtId="10" fontId="12" fillId="9" borderId="13" xfId="1" applyNumberFormat="1" applyFont="1" applyFill="1" applyBorder="1" applyAlignment="1"/>
    <xf numFmtId="0" fontId="5" fillId="6" borderId="21" xfId="0" applyFont="1" applyFill="1" applyBorder="1"/>
    <xf numFmtId="0" fontId="14" fillId="6" borderId="16" xfId="0" applyFont="1" applyFill="1" applyBorder="1"/>
    <xf numFmtId="0" fontId="14" fillId="6" borderId="14" xfId="0" applyFont="1" applyFill="1" applyBorder="1"/>
    <xf numFmtId="2" fontId="12" fillId="12" borderId="15" xfId="0" applyNumberFormat="1" applyFont="1" applyFill="1" applyBorder="1"/>
    <xf numFmtId="0" fontId="12" fillId="12" borderId="15" xfId="0" applyFont="1" applyFill="1" applyBorder="1"/>
    <xf numFmtId="14" fontId="12" fillId="12" borderId="15" xfId="0" applyNumberFormat="1" applyFont="1" applyFill="1" applyBorder="1"/>
    <xf numFmtId="177" fontId="12" fillId="12" borderId="15" xfId="0" applyNumberFormat="1" applyFont="1" applyFill="1" applyBorder="1"/>
    <xf numFmtId="178" fontId="12" fillId="12" borderId="15" xfId="0" applyNumberFormat="1" applyFont="1" applyFill="1" applyBorder="1"/>
    <xf numFmtId="0" fontId="12" fillId="4" borderId="15" xfId="0" applyFont="1" applyFill="1" applyBorder="1"/>
    <xf numFmtId="10" fontId="12" fillId="12" borderId="15" xfId="1" applyNumberFormat="1" applyFont="1" applyFill="1" applyBorder="1" applyAlignment="1"/>
    <xf numFmtId="0" fontId="5" fillId="6" borderId="15" xfId="0" applyFont="1" applyFill="1" applyBorder="1"/>
    <xf numFmtId="2" fontId="5" fillId="9" borderId="0" xfId="0" applyNumberFormat="1" applyFont="1" applyFill="1" applyAlignment="1">
      <alignment horizontal="center"/>
    </xf>
    <xf numFmtId="1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0" fontId="5" fillId="9" borderId="22" xfId="0" applyFont="1" applyFill="1" applyBorder="1" applyAlignment="1">
      <alignment horizontal="center"/>
    </xf>
    <xf numFmtId="14" fontId="5" fillId="9" borderId="22" xfId="0" applyNumberFormat="1" applyFont="1" applyFill="1" applyBorder="1" applyAlignment="1">
      <alignment horizontal="center"/>
    </xf>
    <xf numFmtId="1" fontId="5" fillId="9" borderId="22" xfId="0" applyNumberFormat="1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14" fontId="5" fillId="9" borderId="0" xfId="0" applyNumberFormat="1" applyFont="1" applyFill="1" applyBorder="1" applyAlignment="1">
      <alignment horizontal="center"/>
    </xf>
    <xf numFmtId="1" fontId="5" fillId="9" borderId="0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4" fontId="5" fillId="9" borderId="2" xfId="0" applyNumberFormat="1" applyFont="1" applyFill="1" applyBorder="1" applyAlignment="1">
      <alignment horizontal="center"/>
    </xf>
    <xf numFmtId="1" fontId="5" fillId="9" borderId="2" xfId="0" applyNumberFormat="1" applyFont="1" applyFill="1" applyBorder="1" applyAlignment="1">
      <alignment horizontal="center"/>
    </xf>
    <xf numFmtId="0" fontId="33" fillId="0" borderId="0" xfId="0" applyFont="1" applyAlignment="1">
      <alignment horizontal="left" vertical="center"/>
    </xf>
    <xf numFmtId="180" fontId="5" fillId="9" borderId="0" xfId="0" applyNumberFormat="1" applyFont="1" applyFill="1" applyBorder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4" fontId="32" fillId="10" borderId="3" xfId="0" applyNumberFormat="1" applyFont="1" applyFill="1" applyBorder="1" applyAlignment="1">
      <alignment horizontal="right" vertical="center"/>
    </xf>
    <xf numFmtId="0" fontId="30" fillId="10" borderId="1" xfId="0" applyFont="1" applyFill="1" applyBorder="1" applyAlignment="1">
      <alignment horizontal="center"/>
    </xf>
    <xf numFmtId="14" fontId="32" fillId="10" borderId="0" xfId="0" applyNumberFormat="1" applyFont="1" applyFill="1" applyBorder="1" applyAlignment="1">
      <alignment horizontal="right" vertic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5" fillId="9" borderId="22" xfId="0" applyNumberFormat="1" applyFont="1" applyFill="1" applyBorder="1" applyAlignment="1">
      <alignment horizontal="center"/>
    </xf>
    <xf numFmtId="2" fontId="5" fillId="9" borderId="0" xfId="0" applyNumberFormat="1" applyFont="1" applyFill="1" applyBorder="1" applyAlignment="1">
      <alignment horizontal="center"/>
    </xf>
    <xf numFmtId="2" fontId="5" fillId="9" borderId="2" xfId="0" applyNumberFormat="1" applyFont="1" applyFill="1" applyBorder="1" applyAlignment="1">
      <alignment horizontal="center"/>
    </xf>
    <xf numFmtId="179" fontId="12" fillId="9" borderId="6" xfId="0" applyNumberFormat="1" applyFont="1" applyFill="1" applyBorder="1"/>
    <xf numFmtId="179" fontId="12" fillId="12" borderId="2" xfId="0" applyNumberFormat="1" applyFont="1" applyFill="1" applyBorder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495.5</v>
        <stp/>
        <stp>i1810</stp>
        <stp>LastPrice</stp>
        <tr r="P21" s="1"/>
        <tr r="P22" s="1"/>
        <tr r="P20" s="1"/>
      </tp>
      <tp>
        <v>3631</v>
        <stp/>
        <stp>rb1810</stp>
        <stp>LastPrice</stp>
        <tr r="P13" s="1"/>
        <tr r="P14" s="1"/>
        <tr r="P17" s="1"/>
        <tr r="P18" s="1"/>
        <tr r="P15" s="1"/>
        <tr r="P16" s="1"/>
        <tr r="P14" s="9"/>
        <tr r="P17" s="9"/>
        <tr r="P11" s="9"/>
        <tr r="P20" s="9"/>
        <tr r="P23" s="9"/>
        <tr r="P26" s="9"/>
      </tp>
      <tp>
        <v>3720</v>
        <stp/>
        <stp>RB1805</stp>
        <stp>LastPrice</stp>
        <tr r="P8" s="1"/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U147"/>
  <sheetViews>
    <sheetView tabSelected="1" topLeftCell="A112" zoomScaleNormal="100" workbookViewId="0">
      <selection activeCell="U129" sqref="U129"/>
    </sheetView>
  </sheetViews>
  <sheetFormatPr defaultColWidth="9" defaultRowHeight="11.25"/>
  <cols>
    <col min="1" max="1" width="9" style="6"/>
    <col min="2" max="6" width="12.625" style="6" customWidth="1"/>
    <col min="7" max="13" width="12.625" style="6" hidden="1" customWidth="1"/>
    <col min="14" max="16" width="12.625" style="6" customWidth="1"/>
    <col min="17" max="17" width="12.625" style="6" hidden="1" customWidth="1"/>
    <col min="18" max="18" width="12.625" style="6" customWidth="1"/>
    <col min="19" max="16384" width="9" style="6"/>
  </cols>
  <sheetData>
    <row r="1" spans="2:18" ht="14.25" customHeight="1" thickBot="1">
      <c r="B1" s="160" t="s">
        <v>158</v>
      </c>
      <c r="C1" s="160"/>
      <c r="D1" s="160"/>
    </row>
    <row r="2" spans="2:18" ht="12" thickTop="1"/>
    <row r="5" spans="2:18">
      <c r="B5" s="100" t="s">
        <v>2</v>
      </c>
      <c r="C5" s="41" t="s">
        <v>181</v>
      </c>
      <c r="D5" s="41" t="s">
        <v>180</v>
      </c>
      <c r="E5" s="41" t="s">
        <v>10</v>
      </c>
      <c r="F5" s="41" t="s">
        <v>184</v>
      </c>
      <c r="G5" s="41" t="s">
        <v>11</v>
      </c>
      <c r="H5" s="41" t="s">
        <v>12</v>
      </c>
      <c r="I5" s="41" t="s">
        <v>47</v>
      </c>
      <c r="J5" s="41" t="s">
        <v>13</v>
      </c>
      <c r="K5" s="41" t="s">
        <v>14</v>
      </c>
      <c r="L5" s="41" t="s">
        <v>26</v>
      </c>
      <c r="M5" s="41" t="s">
        <v>28</v>
      </c>
      <c r="N5" s="41" t="s">
        <v>182</v>
      </c>
      <c r="O5" s="41" t="s">
        <v>8</v>
      </c>
      <c r="P5" s="41" t="s">
        <v>23</v>
      </c>
      <c r="Q5" s="41"/>
      <c r="R5" s="41" t="s">
        <v>30</v>
      </c>
    </row>
    <row r="6" spans="2:18">
      <c r="B6" s="101" t="s">
        <v>160</v>
      </c>
      <c r="C6" s="101" t="s">
        <v>159</v>
      </c>
      <c r="D6" s="102">
        <v>43105</v>
      </c>
      <c r="E6" s="102">
        <v>43135</v>
      </c>
      <c r="F6" s="101">
        <v>3800</v>
      </c>
      <c r="G6" s="101">
        <v>30</v>
      </c>
      <c r="H6" s="101">
        <v>8.2191780821917804E-2</v>
      </c>
      <c r="I6" s="101">
        <v>0</v>
      </c>
      <c r="J6" s="101">
        <v>0.3</v>
      </c>
      <c r="K6" s="101" t="e">
        <v>#VALUE!</v>
      </c>
      <c r="L6" s="101">
        <v>80</v>
      </c>
      <c r="M6" s="101" t="e">
        <v>#N/A</v>
      </c>
      <c r="N6" s="101" t="e">
        <v>#VALUE!</v>
      </c>
      <c r="O6" s="101" t="e">
        <v>#N/A</v>
      </c>
      <c r="P6" s="101" t="s">
        <v>39</v>
      </c>
      <c r="Q6" s="101">
        <v>-1</v>
      </c>
      <c r="R6" s="101" t="s">
        <v>20</v>
      </c>
    </row>
    <row r="7" spans="2:18">
      <c r="B7" s="101" t="s">
        <v>160</v>
      </c>
      <c r="C7" s="101" t="s">
        <v>159</v>
      </c>
      <c r="D7" s="102">
        <v>43105</v>
      </c>
      <c r="E7" s="102">
        <v>43470</v>
      </c>
      <c r="F7" s="101">
        <v>100</v>
      </c>
      <c r="G7" s="101">
        <v>365</v>
      </c>
      <c r="H7" s="101">
        <v>1</v>
      </c>
      <c r="I7" s="101">
        <v>0</v>
      </c>
      <c r="J7" s="101">
        <v>0.18</v>
      </c>
      <c r="K7" s="101">
        <v>7.0292776883103798</v>
      </c>
      <c r="L7" s="101">
        <v>80</v>
      </c>
      <c r="M7" s="101">
        <v>0.8</v>
      </c>
      <c r="N7" s="101">
        <v>6.22927768831038</v>
      </c>
      <c r="O7" s="101">
        <v>100</v>
      </c>
      <c r="P7" s="101" t="s">
        <v>39</v>
      </c>
      <c r="Q7" s="101">
        <v>1</v>
      </c>
      <c r="R7" s="101" t="s">
        <v>151</v>
      </c>
    </row>
    <row r="8" spans="2:18">
      <c r="B8" s="100" t="s">
        <v>2</v>
      </c>
      <c r="C8" s="41" t="s">
        <v>181</v>
      </c>
      <c r="D8" s="41" t="s">
        <v>180</v>
      </c>
      <c r="E8" s="41" t="s">
        <v>10</v>
      </c>
      <c r="F8" s="41" t="s">
        <v>184</v>
      </c>
      <c r="G8" s="41" t="s">
        <v>11</v>
      </c>
      <c r="H8" s="41" t="s">
        <v>12</v>
      </c>
      <c r="I8" s="41" t="s">
        <v>47</v>
      </c>
      <c r="J8" s="41" t="s">
        <v>13</v>
      </c>
      <c r="K8" s="41" t="s">
        <v>14</v>
      </c>
      <c r="L8" s="41" t="s">
        <v>26</v>
      </c>
      <c r="M8" s="41" t="s">
        <v>28</v>
      </c>
      <c r="N8" s="41" t="s">
        <v>182</v>
      </c>
      <c r="O8" s="41" t="s">
        <v>8</v>
      </c>
      <c r="P8" s="41" t="s">
        <v>23</v>
      </c>
      <c r="Q8" s="41"/>
      <c r="R8" s="41" t="s">
        <v>30</v>
      </c>
    </row>
    <row r="9" spans="2:18">
      <c r="B9" s="101" t="s">
        <v>160</v>
      </c>
      <c r="C9" s="101" t="s">
        <v>185</v>
      </c>
      <c r="D9" s="102">
        <v>43119</v>
      </c>
      <c r="E9" s="102">
        <v>43189</v>
      </c>
      <c r="F9" s="101">
        <v>3650</v>
      </c>
      <c r="G9" s="101">
        <v>70</v>
      </c>
      <c r="H9" s="101">
        <v>0.17808219178082191</v>
      </c>
      <c r="I9" s="101">
        <v>0</v>
      </c>
      <c r="J9" s="101">
        <v>0.19</v>
      </c>
      <c r="K9" s="101">
        <v>82.749480015912013</v>
      </c>
      <c r="L9" s="101"/>
      <c r="M9" s="101">
        <v>0</v>
      </c>
      <c r="N9" s="137">
        <v>82.749480015912013</v>
      </c>
      <c r="O9" s="101">
        <v>3728</v>
      </c>
      <c r="P9" s="101" t="s">
        <v>85</v>
      </c>
      <c r="Q9" s="101">
        <v>1</v>
      </c>
      <c r="R9" s="101" t="s">
        <v>151</v>
      </c>
    </row>
    <row r="10" spans="2:18">
      <c r="B10" s="101" t="s">
        <v>160</v>
      </c>
      <c r="C10" s="101" t="s">
        <v>185</v>
      </c>
      <c r="D10" s="102">
        <v>43119</v>
      </c>
      <c r="E10" s="102">
        <v>43189</v>
      </c>
      <c r="F10" s="101">
        <v>3700</v>
      </c>
      <c r="G10" s="101">
        <v>70</v>
      </c>
      <c r="H10" s="101">
        <v>0.17808219178082191</v>
      </c>
      <c r="I10" s="101">
        <v>0</v>
      </c>
      <c r="J10" s="101">
        <v>0.19</v>
      </c>
      <c r="K10" s="101">
        <v>104.91801880194794</v>
      </c>
      <c r="L10" s="101"/>
      <c r="M10" s="101">
        <v>0</v>
      </c>
      <c r="N10" s="137">
        <v>104.91801880194794</v>
      </c>
      <c r="O10" s="101">
        <v>3728</v>
      </c>
      <c r="P10" s="101" t="s">
        <v>85</v>
      </c>
      <c r="Q10" s="101">
        <v>1</v>
      </c>
      <c r="R10" s="101" t="s">
        <v>151</v>
      </c>
    </row>
    <row r="11" spans="2:18">
      <c r="B11" s="101" t="s">
        <v>160</v>
      </c>
      <c r="C11" s="101" t="s">
        <v>185</v>
      </c>
      <c r="D11" s="102">
        <v>43119</v>
      </c>
      <c r="E11" s="102">
        <v>43189</v>
      </c>
      <c r="F11" s="101">
        <v>3750</v>
      </c>
      <c r="G11" s="101">
        <v>70</v>
      </c>
      <c r="H11" s="101">
        <v>0.17808219178082191</v>
      </c>
      <c r="I11" s="101">
        <v>0</v>
      </c>
      <c r="J11" s="101">
        <v>0.19</v>
      </c>
      <c r="K11" s="101">
        <v>130.42375876594815</v>
      </c>
      <c r="L11" s="101"/>
      <c r="M11" s="101">
        <v>0</v>
      </c>
      <c r="N11" s="137">
        <v>130.42375876594815</v>
      </c>
      <c r="O11" s="101">
        <v>3728</v>
      </c>
      <c r="P11" s="101" t="s">
        <v>85</v>
      </c>
      <c r="Q11" s="101">
        <v>1</v>
      </c>
      <c r="R11" s="101" t="s">
        <v>151</v>
      </c>
    </row>
    <row r="12" spans="2:18">
      <c r="B12" s="101"/>
      <c r="C12" s="101"/>
      <c r="D12" s="102"/>
      <c r="E12" s="102"/>
      <c r="F12" s="101"/>
      <c r="G12" s="101"/>
      <c r="H12" s="101"/>
      <c r="I12" s="101"/>
      <c r="J12" s="101"/>
      <c r="K12" s="101"/>
      <c r="L12" s="101"/>
      <c r="M12" s="101"/>
      <c r="N12" s="137"/>
      <c r="O12" s="101"/>
      <c r="P12" s="101"/>
      <c r="Q12" s="101"/>
      <c r="R12" s="101"/>
    </row>
    <row r="13" spans="2:18">
      <c r="B13" s="101"/>
      <c r="C13" s="101"/>
      <c r="D13" s="102"/>
      <c r="E13" s="102"/>
      <c r="F13" s="101"/>
      <c r="G13" s="101"/>
      <c r="H13" s="101"/>
      <c r="I13" s="101"/>
      <c r="J13" s="101"/>
      <c r="K13" s="101"/>
      <c r="L13" s="101"/>
      <c r="M13" s="101"/>
      <c r="N13" s="137"/>
      <c r="O13" s="101"/>
      <c r="P13" s="101"/>
      <c r="Q13" s="101"/>
      <c r="R13" s="101"/>
    </row>
    <row r="14" spans="2:18">
      <c r="B14" s="101"/>
      <c r="C14" s="101"/>
      <c r="D14" s="102"/>
      <c r="E14" s="102"/>
      <c r="F14" s="101"/>
      <c r="G14" s="101"/>
      <c r="H14" s="101"/>
      <c r="I14" s="101"/>
      <c r="J14" s="101"/>
      <c r="K14" s="101"/>
      <c r="L14" s="101"/>
      <c r="M14" s="101"/>
      <c r="N14" s="137"/>
      <c r="O14" s="101"/>
      <c r="P14" s="101"/>
      <c r="Q14" s="101"/>
      <c r="R14" s="101"/>
    </row>
    <row r="15" spans="2:18">
      <c r="B15" s="100" t="s">
        <v>2</v>
      </c>
      <c r="C15" s="41" t="s">
        <v>181</v>
      </c>
      <c r="D15" s="41" t="s">
        <v>180</v>
      </c>
      <c r="E15" s="41" t="s">
        <v>10</v>
      </c>
      <c r="F15" s="41" t="s">
        <v>184</v>
      </c>
      <c r="G15" s="41" t="s">
        <v>11</v>
      </c>
      <c r="H15" s="41" t="s">
        <v>12</v>
      </c>
      <c r="I15" s="41" t="s">
        <v>47</v>
      </c>
      <c r="J15" s="41" t="s">
        <v>13</v>
      </c>
      <c r="K15" s="41" t="s">
        <v>14</v>
      </c>
      <c r="L15" s="41" t="s">
        <v>26</v>
      </c>
      <c r="M15" s="41" t="s">
        <v>28</v>
      </c>
      <c r="N15" s="41" t="s">
        <v>182</v>
      </c>
      <c r="O15" s="41" t="s">
        <v>8</v>
      </c>
      <c r="P15" s="41" t="s">
        <v>23</v>
      </c>
      <c r="Q15" s="41"/>
      <c r="R15" s="41" t="s">
        <v>30</v>
      </c>
    </row>
    <row r="16" spans="2:18">
      <c r="B16" s="101" t="s">
        <v>160</v>
      </c>
      <c r="C16" s="101" t="s">
        <v>186</v>
      </c>
      <c r="D16" s="102">
        <v>43123</v>
      </c>
      <c r="E16" s="102">
        <v>43182</v>
      </c>
      <c r="F16" s="101">
        <v>15525</v>
      </c>
      <c r="G16" s="101">
        <v>59</v>
      </c>
      <c r="H16" s="101">
        <v>0.14794520547945206</v>
      </c>
      <c r="I16" s="101">
        <v>0</v>
      </c>
      <c r="J16" s="101">
        <v>0.1</v>
      </c>
      <c r="K16" s="101">
        <v>237.5091337591839</v>
      </c>
      <c r="L16" s="101"/>
      <c r="M16" s="101">
        <v>0</v>
      </c>
      <c r="N16" s="138">
        <v>237.5091337591839</v>
      </c>
      <c r="O16" s="101">
        <v>15525</v>
      </c>
      <c r="P16" s="101" t="s">
        <v>39</v>
      </c>
      <c r="Q16" s="101">
        <v>1</v>
      </c>
      <c r="R16" s="101" t="s">
        <v>151</v>
      </c>
    </row>
    <row r="17" spans="2:18">
      <c r="B17" s="101" t="s">
        <v>160</v>
      </c>
      <c r="C17" s="101" t="s">
        <v>186</v>
      </c>
      <c r="D17" s="102">
        <v>43123</v>
      </c>
      <c r="E17" s="102">
        <v>43182</v>
      </c>
      <c r="F17" s="101">
        <v>16000</v>
      </c>
      <c r="G17" s="101">
        <v>59</v>
      </c>
      <c r="H17" s="101">
        <v>0.14794520547945206</v>
      </c>
      <c r="I17" s="101">
        <v>0</v>
      </c>
      <c r="J17" s="101">
        <v>0.1</v>
      </c>
      <c r="K17" s="101">
        <v>74.781901825362638</v>
      </c>
      <c r="L17" s="101"/>
      <c r="M17" s="101">
        <v>0</v>
      </c>
      <c r="N17" s="138">
        <v>74.781901825362638</v>
      </c>
      <c r="O17" s="101">
        <v>15525</v>
      </c>
      <c r="P17" s="101" t="s">
        <v>39</v>
      </c>
      <c r="Q17" s="101">
        <v>1</v>
      </c>
      <c r="R17" s="101" t="s">
        <v>151</v>
      </c>
    </row>
    <row r="18" spans="2:18">
      <c r="B18" s="101"/>
      <c r="C18" s="101"/>
      <c r="D18" s="102"/>
      <c r="E18" s="102"/>
      <c r="F18" s="101"/>
      <c r="G18" s="101"/>
      <c r="H18" s="101"/>
      <c r="I18" s="101"/>
      <c r="J18" s="101"/>
      <c r="K18" s="101"/>
      <c r="L18" s="101"/>
      <c r="M18" s="101"/>
      <c r="N18" s="137"/>
      <c r="O18" s="101"/>
      <c r="P18" s="101"/>
      <c r="Q18" s="101"/>
      <c r="R18" s="101"/>
    </row>
    <row r="19" spans="2:18">
      <c r="B19" s="101"/>
      <c r="C19" s="101"/>
      <c r="D19" s="102"/>
      <c r="E19" s="102"/>
      <c r="F19" s="101"/>
      <c r="G19" s="101"/>
      <c r="H19" s="101"/>
      <c r="I19" s="101"/>
      <c r="J19" s="101"/>
      <c r="K19" s="101"/>
      <c r="L19" s="101"/>
      <c r="M19" s="101"/>
      <c r="N19" s="137"/>
      <c r="O19" s="101"/>
      <c r="P19" s="101"/>
      <c r="Q19" s="101"/>
      <c r="R19" s="101"/>
    </row>
    <row r="20" spans="2:18">
      <c r="B20" s="100" t="s">
        <v>2</v>
      </c>
      <c r="C20" s="41" t="s">
        <v>181</v>
      </c>
      <c r="D20" s="41" t="s">
        <v>180</v>
      </c>
      <c r="E20" s="41" t="s">
        <v>10</v>
      </c>
      <c r="F20" s="41" t="s">
        <v>184</v>
      </c>
      <c r="G20" s="41" t="s">
        <v>11</v>
      </c>
      <c r="H20" s="41" t="s">
        <v>12</v>
      </c>
      <c r="I20" s="41" t="s">
        <v>47</v>
      </c>
      <c r="J20" s="41" t="s">
        <v>13</v>
      </c>
      <c r="K20" s="41" t="s">
        <v>14</v>
      </c>
      <c r="L20" s="41" t="s">
        <v>26</v>
      </c>
      <c r="M20" s="41" t="s">
        <v>28</v>
      </c>
      <c r="N20" s="41" t="s">
        <v>182</v>
      </c>
      <c r="O20" s="41" t="s">
        <v>8</v>
      </c>
      <c r="P20" s="41" t="s">
        <v>23</v>
      </c>
      <c r="Q20" s="41"/>
      <c r="R20" s="41" t="s">
        <v>30</v>
      </c>
    </row>
    <row r="21" spans="2:18">
      <c r="B21" s="101" t="s">
        <v>160</v>
      </c>
      <c r="C21" s="101" t="s">
        <v>187</v>
      </c>
      <c r="D21" s="102">
        <v>43132</v>
      </c>
      <c r="E21" s="102">
        <v>43205</v>
      </c>
      <c r="F21" s="101">
        <v>3650</v>
      </c>
      <c r="G21" s="101">
        <v>73</v>
      </c>
      <c r="H21" s="101">
        <v>0.18082191780821918</v>
      </c>
      <c r="I21" s="101">
        <v>0</v>
      </c>
      <c r="J21" s="101">
        <v>0.13500000000000001</v>
      </c>
      <c r="K21" s="101">
        <v>39.351550959770975</v>
      </c>
      <c r="L21" s="101"/>
      <c r="M21" s="101">
        <v>0</v>
      </c>
      <c r="N21" s="137">
        <v>39.351550959770975</v>
      </c>
      <c r="O21" s="101">
        <v>3765</v>
      </c>
      <c r="P21" s="101" t="s">
        <v>85</v>
      </c>
      <c r="Q21" s="101">
        <v>1</v>
      </c>
      <c r="R21" s="101" t="s">
        <v>151</v>
      </c>
    </row>
    <row r="22" spans="2:18">
      <c r="B22" s="101" t="s">
        <v>160</v>
      </c>
      <c r="C22" s="101" t="s">
        <v>187</v>
      </c>
      <c r="D22" s="102">
        <v>43131</v>
      </c>
      <c r="E22" s="102">
        <v>43205</v>
      </c>
      <c r="F22" s="101">
        <v>3600</v>
      </c>
      <c r="G22" s="101">
        <v>74</v>
      </c>
      <c r="H22" s="101">
        <v>0.18356164383561643</v>
      </c>
      <c r="I22" s="101">
        <v>0</v>
      </c>
      <c r="J22" s="101">
        <v>0.13500000000000001</v>
      </c>
      <c r="K22" s="101">
        <v>29.040235998229718</v>
      </c>
      <c r="L22" s="101"/>
      <c r="M22" s="101">
        <v>0</v>
      </c>
      <c r="N22" s="137">
        <v>29.040235998229718</v>
      </c>
      <c r="O22" s="101">
        <v>3754</v>
      </c>
      <c r="P22" s="101" t="s">
        <v>85</v>
      </c>
      <c r="Q22" s="101">
        <v>1</v>
      </c>
      <c r="R22" s="101" t="s">
        <v>151</v>
      </c>
    </row>
    <row r="23" spans="2:18">
      <c r="B23" s="101"/>
      <c r="C23" s="101"/>
      <c r="D23" s="102"/>
      <c r="E23" s="102"/>
      <c r="F23" s="101"/>
      <c r="G23" s="101"/>
      <c r="H23" s="101"/>
      <c r="I23" s="101"/>
      <c r="J23" s="101"/>
      <c r="K23" s="101"/>
      <c r="L23" s="101"/>
      <c r="M23" s="101"/>
      <c r="N23" s="137"/>
      <c r="O23" s="101"/>
      <c r="P23" s="101"/>
      <c r="Q23" s="101"/>
      <c r="R23" s="101"/>
    </row>
    <row r="24" spans="2:18">
      <c r="B24" s="101"/>
      <c r="C24" s="101"/>
      <c r="D24" s="102"/>
      <c r="E24" s="102"/>
      <c r="F24" s="101"/>
      <c r="G24" s="101"/>
      <c r="H24" s="101"/>
      <c r="I24" s="101"/>
      <c r="J24" s="101"/>
      <c r="K24" s="101"/>
      <c r="L24" s="101"/>
      <c r="M24" s="101"/>
      <c r="N24" s="137"/>
      <c r="O24" s="101"/>
      <c r="P24" s="101"/>
      <c r="Q24" s="101"/>
      <c r="R24" s="101"/>
    </row>
    <row r="25" spans="2:18">
      <c r="B25" s="100" t="s">
        <v>2</v>
      </c>
      <c r="C25" s="41" t="s">
        <v>181</v>
      </c>
      <c r="D25" s="41" t="s">
        <v>180</v>
      </c>
      <c r="E25" s="41" t="s">
        <v>10</v>
      </c>
      <c r="F25" s="41" t="s">
        <v>184</v>
      </c>
      <c r="G25" s="41" t="s">
        <v>11</v>
      </c>
      <c r="H25" s="41" t="s">
        <v>12</v>
      </c>
      <c r="I25" s="41" t="s">
        <v>47</v>
      </c>
      <c r="J25" s="41" t="s">
        <v>13</v>
      </c>
      <c r="K25" s="41" t="s">
        <v>14</v>
      </c>
      <c r="L25" s="41" t="s">
        <v>26</v>
      </c>
      <c r="M25" s="41" t="s">
        <v>28</v>
      </c>
      <c r="N25" s="41" t="s">
        <v>182</v>
      </c>
      <c r="O25" s="41" t="s">
        <v>8</v>
      </c>
      <c r="P25" s="41" t="s">
        <v>23</v>
      </c>
      <c r="Q25" s="41"/>
      <c r="R25" s="41" t="s">
        <v>30</v>
      </c>
    </row>
    <row r="26" spans="2:18">
      <c r="B26" s="101" t="s">
        <v>160</v>
      </c>
      <c r="C26" s="101" t="s">
        <v>188</v>
      </c>
      <c r="D26" s="102">
        <v>43132</v>
      </c>
      <c r="E26" s="102">
        <v>43202</v>
      </c>
      <c r="F26" s="101">
        <v>14000</v>
      </c>
      <c r="G26" s="101">
        <v>70</v>
      </c>
      <c r="H26" s="101">
        <v>0.17260273972602741</v>
      </c>
      <c r="I26" s="101">
        <v>0</v>
      </c>
      <c r="J26" s="101">
        <v>0.123</v>
      </c>
      <c r="K26" s="101">
        <v>94.648005831211321</v>
      </c>
      <c r="L26" s="101">
        <v>30</v>
      </c>
      <c r="M26" s="101">
        <v>7.5341095890410976</v>
      </c>
      <c r="N26" s="137">
        <v>87.113896242170227</v>
      </c>
      <c r="O26" s="101">
        <v>14550</v>
      </c>
      <c r="P26" s="101" t="s">
        <v>85</v>
      </c>
      <c r="Q26" s="101">
        <v>1</v>
      </c>
      <c r="R26" s="101" t="s">
        <v>151</v>
      </c>
    </row>
    <row r="27" spans="2:18">
      <c r="B27" s="101" t="s">
        <v>160</v>
      </c>
      <c r="C27" s="101" t="s">
        <v>188</v>
      </c>
      <c r="D27" s="102">
        <v>43132</v>
      </c>
      <c r="E27" s="102">
        <v>43202</v>
      </c>
      <c r="F27" s="101">
        <v>13800</v>
      </c>
      <c r="G27" s="101">
        <v>70</v>
      </c>
      <c r="H27" s="101">
        <v>0.17260273972602741</v>
      </c>
      <c r="I27" s="101">
        <v>0</v>
      </c>
      <c r="J27" s="101">
        <v>0.123</v>
      </c>
      <c r="K27" s="101">
        <v>56.138077108511879</v>
      </c>
      <c r="L27" s="101">
        <v>30</v>
      </c>
      <c r="M27" s="101">
        <v>7.5341095890410976</v>
      </c>
      <c r="N27" s="137">
        <v>48.603967519470785</v>
      </c>
      <c r="O27" s="101">
        <v>14550</v>
      </c>
      <c r="P27" s="101" t="s">
        <v>85</v>
      </c>
      <c r="Q27" s="101">
        <v>1</v>
      </c>
      <c r="R27" s="101" t="s">
        <v>151</v>
      </c>
    </row>
    <row r="28" spans="2:18">
      <c r="B28" s="100" t="s">
        <v>2</v>
      </c>
      <c r="C28" s="41" t="s">
        <v>181</v>
      </c>
      <c r="D28" s="41" t="s">
        <v>180</v>
      </c>
      <c r="E28" s="41" t="s">
        <v>10</v>
      </c>
      <c r="F28" s="41" t="s">
        <v>184</v>
      </c>
      <c r="G28" s="41" t="s">
        <v>11</v>
      </c>
      <c r="H28" s="41" t="s">
        <v>12</v>
      </c>
      <c r="I28" s="41" t="s">
        <v>47</v>
      </c>
      <c r="J28" s="41" t="s">
        <v>13</v>
      </c>
      <c r="K28" s="41" t="s">
        <v>14</v>
      </c>
      <c r="L28" s="41" t="s">
        <v>26</v>
      </c>
      <c r="M28" s="41" t="s">
        <v>28</v>
      </c>
      <c r="N28" s="41" t="s">
        <v>182</v>
      </c>
      <c r="O28" s="41" t="s">
        <v>8</v>
      </c>
      <c r="P28" s="41" t="s">
        <v>23</v>
      </c>
      <c r="Q28" s="41"/>
      <c r="R28" s="41" t="s">
        <v>30</v>
      </c>
    </row>
    <row r="29" spans="2:18">
      <c r="B29" s="101" t="s">
        <v>160</v>
      </c>
      <c r="C29" s="101" t="s">
        <v>190</v>
      </c>
      <c r="D29" s="102">
        <v>43132</v>
      </c>
      <c r="E29" s="102">
        <v>43162</v>
      </c>
      <c r="F29" s="101">
        <v>12955</v>
      </c>
      <c r="G29" s="101">
        <v>30</v>
      </c>
      <c r="H29" s="101">
        <v>8.2191780821917804E-2</v>
      </c>
      <c r="I29" s="101">
        <v>0</v>
      </c>
      <c r="J29" s="101">
        <v>0.22</v>
      </c>
      <c r="K29" s="101">
        <v>-325.38570495994009</v>
      </c>
      <c r="L29" s="101">
        <v>70</v>
      </c>
      <c r="M29" s="101">
        <v>7.4535616438356156</v>
      </c>
      <c r="N29" s="137">
        <v>332.83926660377568</v>
      </c>
      <c r="O29" s="101">
        <v>12955</v>
      </c>
      <c r="P29" s="101" t="s">
        <v>85</v>
      </c>
      <c r="Q29" s="101">
        <v>-1</v>
      </c>
      <c r="R29" s="101" t="s">
        <v>20</v>
      </c>
    </row>
    <row r="30" spans="2:18">
      <c r="B30" s="100" t="s">
        <v>2</v>
      </c>
      <c r="C30" s="41" t="s">
        <v>181</v>
      </c>
      <c r="D30" s="41" t="s">
        <v>180</v>
      </c>
      <c r="E30" s="41" t="s">
        <v>10</v>
      </c>
      <c r="F30" s="41" t="s">
        <v>184</v>
      </c>
      <c r="G30" s="41" t="s">
        <v>11</v>
      </c>
      <c r="H30" s="41" t="s">
        <v>12</v>
      </c>
      <c r="I30" s="41" t="s">
        <v>47</v>
      </c>
      <c r="J30" s="41" t="s">
        <v>13</v>
      </c>
      <c r="K30" s="41" t="s">
        <v>14</v>
      </c>
      <c r="L30" s="41" t="s">
        <v>26</v>
      </c>
      <c r="M30" s="41" t="s">
        <v>28</v>
      </c>
      <c r="N30" s="41" t="s">
        <v>182</v>
      </c>
      <c r="O30" s="41" t="s">
        <v>8</v>
      </c>
      <c r="P30" s="41" t="s">
        <v>23</v>
      </c>
      <c r="Q30" s="41"/>
      <c r="R30" s="41" t="s">
        <v>30</v>
      </c>
    </row>
    <row r="31" spans="2:18">
      <c r="B31" s="101" t="s">
        <v>160</v>
      </c>
      <c r="C31" s="101" t="s">
        <v>190</v>
      </c>
      <c r="D31" s="102">
        <v>43132</v>
      </c>
      <c r="E31" s="102">
        <v>43162</v>
      </c>
      <c r="F31" s="101">
        <v>12955</v>
      </c>
      <c r="G31" s="101">
        <v>30</v>
      </c>
      <c r="H31" s="101">
        <v>6.0273972602739728E-2</v>
      </c>
      <c r="I31" s="101">
        <v>0</v>
      </c>
      <c r="J31" s="101">
        <v>0.13</v>
      </c>
      <c r="K31" s="101">
        <v>164.74558247190362</v>
      </c>
      <c r="L31" s="101">
        <v>30</v>
      </c>
      <c r="M31" s="101">
        <v>2.3425479452054798</v>
      </c>
      <c r="N31" s="137">
        <v>162.40303452669815</v>
      </c>
      <c r="O31" s="101">
        <v>12955</v>
      </c>
      <c r="P31" s="101" t="s">
        <v>85</v>
      </c>
      <c r="Q31" s="101">
        <v>1</v>
      </c>
      <c r="R31" s="101" t="s">
        <v>151</v>
      </c>
    </row>
    <row r="32" spans="2:18">
      <c r="B32" s="100"/>
      <c r="C32" s="41" t="s">
        <v>181</v>
      </c>
      <c r="D32" s="41" t="s">
        <v>180</v>
      </c>
      <c r="E32" s="41" t="s">
        <v>10</v>
      </c>
      <c r="F32" s="41" t="s">
        <v>184</v>
      </c>
      <c r="G32" s="41" t="s">
        <v>11</v>
      </c>
      <c r="H32" s="41" t="s">
        <v>12</v>
      </c>
      <c r="I32" s="41" t="s">
        <v>47</v>
      </c>
      <c r="J32" s="41" t="s">
        <v>13</v>
      </c>
      <c r="K32" s="41" t="s">
        <v>14</v>
      </c>
      <c r="L32" s="41" t="s">
        <v>26</v>
      </c>
      <c r="M32" s="41" t="s">
        <v>28</v>
      </c>
      <c r="N32" s="41" t="s">
        <v>182</v>
      </c>
      <c r="O32" s="41" t="s">
        <v>8</v>
      </c>
      <c r="P32" s="41" t="s">
        <v>23</v>
      </c>
      <c r="Q32" s="41"/>
      <c r="R32" s="41" t="s">
        <v>30</v>
      </c>
    </row>
    <row r="33" spans="2:18">
      <c r="B33" s="101" t="s">
        <v>160</v>
      </c>
      <c r="C33" s="101" t="s">
        <v>185</v>
      </c>
      <c r="D33" s="102">
        <v>43132</v>
      </c>
      <c r="E33" s="102">
        <v>43140</v>
      </c>
      <c r="F33" s="101">
        <v>3650</v>
      </c>
      <c r="G33" s="101">
        <v>8</v>
      </c>
      <c r="H33" s="101">
        <v>2.1917808219178082E-2</v>
      </c>
      <c r="I33" s="101">
        <v>0</v>
      </c>
      <c r="J33" s="101">
        <v>0.2</v>
      </c>
      <c r="K33" s="101">
        <v>-10.739686930165817</v>
      </c>
      <c r="L33" s="101"/>
      <c r="M33" s="101">
        <v>0</v>
      </c>
      <c r="N33" s="137">
        <v>10.739686930165817</v>
      </c>
      <c r="O33" s="101">
        <v>3750</v>
      </c>
      <c r="P33" s="101" t="s">
        <v>85</v>
      </c>
      <c r="Q33" s="101">
        <v>-1</v>
      </c>
      <c r="R33" s="101" t="s">
        <v>20</v>
      </c>
    </row>
    <row r="34" spans="2:18">
      <c r="B34" s="101" t="s">
        <v>160</v>
      </c>
      <c r="C34" s="101" t="s">
        <v>185</v>
      </c>
      <c r="D34" s="102">
        <v>43132</v>
      </c>
      <c r="E34" s="102">
        <v>43140</v>
      </c>
      <c r="F34" s="101">
        <v>3600</v>
      </c>
      <c r="G34" s="101">
        <v>8</v>
      </c>
      <c r="H34" s="101">
        <v>2.1917808219178082E-2</v>
      </c>
      <c r="I34" s="101">
        <v>0</v>
      </c>
      <c r="J34" s="101">
        <v>0.2</v>
      </c>
      <c r="K34" s="101">
        <v>-4.017315337218065</v>
      </c>
      <c r="L34" s="101"/>
      <c r="M34" s="101">
        <v>0</v>
      </c>
      <c r="N34" s="137">
        <v>4.017315337218065</v>
      </c>
      <c r="O34" s="101">
        <v>3752</v>
      </c>
      <c r="P34" s="101" t="s">
        <v>85</v>
      </c>
      <c r="Q34" s="101">
        <v>-1</v>
      </c>
      <c r="R34" s="101" t="s">
        <v>20</v>
      </c>
    </row>
    <row r="35" spans="2:18">
      <c r="B35" s="100"/>
      <c r="C35" s="41" t="s">
        <v>181</v>
      </c>
      <c r="D35" s="41" t="s">
        <v>180</v>
      </c>
      <c r="E35" s="41" t="s">
        <v>10</v>
      </c>
      <c r="F35" s="41" t="s">
        <v>184</v>
      </c>
      <c r="G35" s="41" t="s">
        <v>11</v>
      </c>
      <c r="H35" s="41" t="s">
        <v>12</v>
      </c>
      <c r="I35" s="41" t="s">
        <v>47</v>
      </c>
      <c r="J35" s="41" t="s">
        <v>13</v>
      </c>
      <c r="K35" s="41" t="s">
        <v>14</v>
      </c>
      <c r="L35" s="41" t="s">
        <v>26</v>
      </c>
      <c r="M35" s="41" t="s">
        <v>28</v>
      </c>
      <c r="N35" s="41" t="s">
        <v>182</v>
      </c>
      <c r="O35" s="41" t="s">
        <v>8</v>
      </c>
      <c r="P35" s="41" t="s">
        <v>23</v>
      </c>
      <c r="Q35" s="41"/>
      <c r="R35" s="41" t="s">
        <v>30</v>
      </c>
    </row>
    <row r="36" spans="2:18">
      <c r="B36" s="101" t="s">
        <v>160</v>
      </c>
      <c r="C36" s="101" t="s">
        <v>190</v>
      </c>
      <c r="D36" s="102">
        <v>43132</v>
      </c>
      <c r="E36" s="102">
        <v>43160</v>
      </c>
      <c r="F36" s="101">
        <v>12955</v>
      </c>
      <c r="G36" s="101">
        <v>28</v>
      </c>
      <c r="H36" s="101">
        <v>7.6712328767123292E-2</v>
      </c>
      <c r="I36" s="101">
        <v>0</v>
      </c>
      <c r="J36" s="101">
        <v>0.22</v>
      </c>
      <c r="K36" s="101">
        <v>-314.39038098618948</v>
      </c>
      <c r="L36" s="101">
        <v>70</v>
      </c>
      <c r="M36" s="101">
        <v>6.9566575342465757</v>
      </c>
      <c r="N36" s="137">
        <v>321.34703852043606</v>
      </c>
      <c r="O36" s="101">
        <v>12955</v>
      </c>
      <c r="P36" s="101" t="s">
        <v>85</v>
      </c>
      <c r="Q36" s="101">
        <v>-1</v>
      </c>
      <c r="R36" s="101" t="s">
        <v>20</v>
      </c>
    </row>
    <row r="37" spans="2:18">
      <c r="B37" s="100"/>
      <c r="C37" s="41" t="s">
        <v>181</v>
      </c>
      <c r="D37" s="41" t="s">
        <v>180</v>
      </c>
      <c r="E37" s="41" t="s">
        <v>10</v>
      </c>
      <c r="F37" s="41" t="s">
        <v>184</v>
      </c>
      <c r="G37" s="41" t="s">
        <v>11</v>
      </c>
      <c r="H37" s="41" t="s">
        <v>12</v>
      </c>
      <c r="I37" s="41" t="s">
        <v>47</v>
      </c>
      <c r="J37" s="41" t="s">
        <v>13</v>
      </c>
      <c r="K37" s="41" t="s">
        <v>14</v>
      </c>
      <c r="L37" s="41" t="s">
        <v>26</v>
      </c>
      <c r="M37" s="41" t="s">
        <v>28</v>
      </c>
      <c r="N37" s="41" t="s">
        <v>182</v>
      </c>
      <c r="O37" s="41" t="s">
        <v>8</v>
      </c>
      <c r="P37" s="41" t="s">
        <v>23</v>
      </c>
      <c r="Q37" s="41"/>
      <c r="R37" s="41" t="s">
        <v>30</v>
      </c>
    </row>
    <row r="38" spans="2:18">
      <c r="B38" s="101" t="s">
        <v>160</v>
      </c>
      <c r="C38" s="101" t="s">
        <v>191</v>
      </c>
      <c r="D38" s="102">
        <v>43138</v>
      </c>
      <c r="E38" s="102">
        <v>43174</v>
      </c>
      <c r="F38" s="101">
        <v>3950</v>
      </c>
      <c r="G38" s="101">
        <v>36</v>
      </c>
      <c r="H38" s="101">
        <v>7.9452054794520555E-2</v>
      </c>
      <c r="I38" s="101">
        <v>0</v>
      </c>
      <c r="J38" s="101">
        <v>0.14000000000000001</v>
      </c>
      <c r="K38" s="101">
        <v>59.579168704491394</v>
      </c>
      <c r="L38" s="101">
        <v>0</v>
      </c>
      <c r="M38" s="101">
        <v>0</v>
      </c>
      <c r="N38" s="137">
        <v>59.579168704491394</v>
      </c>
      <c r="O38" s="101">
        <v>3945</v>
      </c>
      <c r="P38" s="101" t="s">
        <v>39</v>
      </c>
      <c r="Q38" s="101">
        <v>1</v>
      </c>
      <c r="R38" s="101" t="s">
        <v>151</v>
      </c>
    </row>
    <row r="39" spans="2:18">
      <c r="B39" s="101" t="s">
        <v>160</v>
      </c>
      <c r="C39" s="101" t="s">
        <v>191</v>
      </c>
      <c r="D39" s="102">
        <v>43138</v>
      </c>
      <c r="E39" s="102">
        <v>43174</v>
      </c>
      <c r="F39" s="101">
        <v>4000</v>
      </c>
      <c r="G39" s="101">
        <v>36</v>
      </c>
      <c r="H39" s="101">
        <v>7.9452054794520555E-2</v>
      </c>
      <c r="I39" s="101">
        <v>0</v>
      </c>
      <c r="J39" s="101">
        <v>0.14000000000000001</v>
      </c>
      <c r="K39" s="101">
        <v>38.783205171565214</v>
      </c>
      <c r="L39" s="101">
        <v>0</v>
      </c>
      <c r="M39" s="101">
        <v>0</v>
      </c>
      <c r="N39" s="137">
        <v>38.783205171565214</v>
      </c>
      <c r="O39" s="101">
        <v>3945</v>
      </c>
      <c r="P39" s="101" t="s">
        <v>39</v>
      </c>
      <c r="Q39" s="101">
        <v>1</v>
      </c>
      <c r="R39" s="101" t="s">
        <v>151</v>
      </c>
    </row>
    <row r="40" spans="2:18">
      <c r="B40" s="101" t="s">
        <v>160</v>
      </c>
      <c r="C40" s="101" t="s">
        <v>191</v>
      </c>
      <c r="D40" s="102">
        <v>43138</v>
      </c>
      <c r="E40" s="102">
        <v>43174</v>
      </c>
      <c r="F40" s="101">
        <v>4050</v>
      </c>
      <c r="G40" s="101">
        <v>36</v>
      </c>
      <c r="H40" s="101">
        <v>7.9452054794520555E-2</v>
      </c>
      <c r="I40" s="101">
        <v>0</v>
      </c>
      <c r="J40" s="101">
        <v>0.14000000000000001</v>
      </c>
      <c r="K40" s="101">
        <v>23.837121283288866</v>
      </c>
      <c r="L40" s="101">
        <v>0</v>
      </c>
      <c r="M40" s="101">
        <v>0</v>
      </c>
      <c r="N40" s="137">
        <v>23.837121283288866</v>
      </c>
      <c r="O40" s="101">
        <v>3945</v>
      </c>
      <c r="P40" s="101" t="s">
        <v>39</v>
      </c>
      <c r="Q40" s="101">
        <v>1</v>
      </c>
      <c r="R40" s="101" t="s">
        <v>151</v>
      </c>
    </row>
    <row r="41" spans="2:18">
      <c r="B41" s="101" t="s">
        <v>160</v>
      </c>
      <c r="C41" s="101" t="s">
        <v>191</v>
      </c>
      <c r="D41" s="102">
        <v>43138</v>
      </c>
      <c r="E41" s="102">
        <v>43206</v>
      </c>
      <c r="F41" s="101">
        <v>3950</v>
      </c>
      <c r="G41" s="101">
        <v>68</v>
      </c>
      <c r="H41" s="101">
        <v>0.16712328767123288</v>
      </c>
      <c r="I41" s="101">
        <v>0</v>
      </c>
      <c r="J41" s="101">
        <v>0.14000000000000001</v>
      </c>
      <c r="K41" s="101">
        <v>87.349253489330295</v>
      </c>
      <c r="L41" s="101">
        <v>0</v>
      </c>
      <c r="M41" s="101">
        <v>0</v>
      </c>
      <c r="N41" s="137">
        <v>87.349253489330295</v>
      </c>
      <c r="O41" s="101">
        <v>3945</v>
      </c>
      <c r="P41" s="101" t="s">
        <v>39</v>
      </c>
      <c r="Q41" s="101">
        <v>1</v>
      </c>
      <c r="R41" s="101" t="s">
        <v>151</v>
      </c>
    </row>
    <row r="42" spans="2:18">
      <c r="B42" s="101" t="s">
        <v>160</v>
      </c>
      <c r="C42" s="101" t="s">
        <v>191</v>
      </c>
      <c r="D42" s="102">
        <v>43138</v>
      </c>
      <c r="E42" s="102">
        <v>43206</v>
      </c>
      <c r="F42" s="101">
        <v>4000</v>
      </c>
      <c r="G42" s="101">
        <v>68</v>
      </c>
      <c r="H42" s="101">
        <v>0.16712328767123288</v>
      </c>
      <c r="I42" s="101">
        <v>0</v>
      </c>
      <c r="J42" s="101">
        <v>0.14000000000000001</v>
      </c>
      <c r="K42" s="101">
        <v>65.610758256339295</v>
      </c>
      <c r="L42" s="101">
        <v>0</v>
      </c>
      <c r="M42" s="101">
        <v>0</v>
      </c>
      <c r="N42" s="137">
        <v>65.610758256339295</v>
      </c>
      <c r="O42" s="101">
        <v>3945</v>
      </c>
      <c r="P42" s="101" t="s">
        <v>39</v>
      </c>
      <c r="Q42" s="101">
        <v>1</v>
      </c>
      <c r="R42" s="101" t="s">
        <v>151</v>
      </c>
    </row>
    <row r="43" spans="2:18">
      <c r="B43" s="101" t="s">
        <v>160</v>
      </c>
      <c r="C43" s="101" t="s">
        <v>191</v>
      </c>
      <c r="D43" s="102">
        <v>43138</v>
      </c>
      <c r="E43" s="102">
        <v>43206</v>
      </c>
      <c r="F43" s="101">
        <v>4050</v>
      </c>
      <c r="G43" s="101">
        <v>68</v>
      </c>
      <c r="H43" s="101">
        <v>0.16712328767123288</v>
      </c>
      <c r="I43" s="101">
        <v>0</v>
      </c>
      <c r="J43" s="101">
        <v>0.14000000000000001</v>
      </c>
      <c r="K43" s="101">
        <v>48.043781286849935</v>
      </c>
      <c r="L43" s="101">
        <v>0</v>
      </c>
      <c r="M43" s="101">
        <v>0</v>
      </c>
      <c r="N43" s="137">
        <v>48.043781286849935</v>
      </c>
      <c r="O43" s="101">
        <v>3945</v>
      </c>
      <c r="P43" s="101" t="s">
        <v>39</v>
      </c>
      <c r="Q43" s="101">
        <v>1</v>
      </c>
      <c r="R43" s="101" t="s">
        <v>151</v>
      </c>
    </row>
    <row r="44" spans="2:18">
      <c r="B44" s="100"/>
      <c r="C44" s="41" t="s">
        <v>181</v>
      </c>
      <c r="D44" s="41" t="s">
        <v>180</v>
      </c>
      <c r="E44" s="41" t="s">
        <v>10</v>
      </c>
      <c r="F44" s="41" t="s">
        <v>184</v>
      </c>
      <c r="G44" s="41" t="s">
        <v>11</v>
      </c>
      <c r="H44" s="41" t="s">
        <v>12</v>
      </c>
      <c r="I44" s="41" t="s">
        <v>47</v>
      </c>
      <c r="J44" s="41" t="s">
        <v>13</v>
      </c>
      <c r="K44" s="41" t="s">
        <v>14</v>
      </c>
      <c r="L44" s="41" t="s">
        <v>26</v>
      </c>
      <c r="M44" s="41" t="s">
        <v>28</v>
      </c>
      <c r="N44" s="41" t="s">
        <v>182</v>
      </c>
      <c r="O44" s="41" t="s">
        <v>8</v>
      </c>
      <c r="P44" s="41" t="s">
        <v>23</v>
      </c>
      <c r="Q44" s="41"/>
      <c r="R44" s="41" t="s">
        <v>30</v>
      </c>
    </row>
    <row r="45" spans="2:18">
      <c r="B45" s="101" t="s">
        <v>160</v>
      </c>
      <c r="C45" s="101" t="s">
        <v>192</v>
      </c>
      <c r="D45" s="102">
        <v>43138</v>
      </c>
      <c r="E45" s="102">
        <v>43206</v>
      </c>
      <c r="F45" s="101">
        <v>526</v>
      </c>
      <c r="G45" s="101">
        <v>68</v>
      </c>
      <c r="H45" s="101">
        <v>0.18630136986301371</v>
      </c>
      <c r="I45" s="101">
        <v>0</v>
      </c>
      <c r="J45" s="101">
        <v>0.32</v>
      </c>
      <c r="K45" s="101">
        <v>-28.852969355691926</v>
      </c>
      <c r="L45" s="101">
        <v>0</v>
      </c>
      <c r="M45" s="101">
        <v>0</v>
      </c>
      <c r="N45" s="137">
        <v>28.852969355691926</v>
      </c>
      <c r="O45" s="101">
        <v>526</v>
      </c>
      <c r="P45" s="101" t="s">
        <v>39</v>
      </c>
      <c r="Q45" s="101">
        <v>-1</v>
      </c>
      <c r="R45" s="101" t="s">
        <v>20</v>
      </c>
    </row>
    <row r="46" spans="2:18">
      <c r="B46" s="100"/>
      <c r="C46" s="41" t="s">
        <v>181</v>
      </c>
      <c r="D46" s="41" t="s">
        <v>180</v>
      </c>
      <c r="E46" s="41" t="s">
        <v>10</v>
      </c>
      <c r="F46" s="41" t="s">
        <v>184</v>
      </c>
      <c r="G46" s="41" t="s">
        <v>11</v>
      </c>
      <c r="H46" s="41" t="s">
        <v>12</v>
      </c>
      <c r="I46" s="41" t="s">
        <v>47</v>
      </c>
      <c r="J46" s="41" t="s">
        <v>13</v>
      </c>
      <c r="K46" s="41" t="s">
        <v>14</v>
      </c>
      <c r="L46" s="41" t="s">
        <v>26</v>
      </c>
      <c r="M46" s="41" t="s">
        <v>28</v>
      </c>
      <c r="N46" s="41" t="s">
        <v>182</v>
      </c>
      <c r="O46" s="41" t="s">
        <v>8</v>
      </c>
      <c r="P46" s="41" t="s">
        <v>23</v>
      </c>
      <c r="Q46" s="41"/>
      <c r="R46" s="41" t="s">
        <v>30</v>
      </c>
    </row>
    <row r="47" spans="2:18">
      <c r="B47" s="101" t="s">
        <v>160</v>
      </c>
      <c r="C47" s="101" t="s">
        <v>185</v>
      </c>
      <c r="D47" s="102">
        <v>43139</v>
      </c>
      <c r="E47" s="102">
        <v>43220</v>
      </c>
      <c r="F47" s="101">
        <v>3750</v>
      </c>
      <c r="G47" s="101">
        <v>81</v>
      </c>
      <c r="H47" s="101">
        <v>0.20273972602739726</v>
      </c>
      <c r="I47" s="101">
        <v>0</v>
      </c>
      <c r="J47" s="101">
        <v>0.13500000000000001</v>
      </c>
      <c r="K47" s="101">
        <v>75.46398302345392</v>
      </c>
      <c r="L47" s="101">
        <v>0</v>
      </c>
      <c r="M47" s="101">
        <v>0</v>
      </c>
      <c r="N47" s="137">
        <v>75.46398302345392</v>
      </c>
      <c r="O47" s="101">
        <v>3783</v>
      </c>
      <c r="P47" s="101" t="s">
        <v>85</v>
      </c>
      <c r="Q47" s="101">
        <v>1</v>
      </c>
      <c r="R47" s="101" t="s">
        <v>151</v>
      </c>
    </row>
    <row r="48" spans="2:18">
      <c r="B48" s="101" t="s">
        <v>160</v>
      </c>
      <c r="C48" s="101" t="s">
        <v>185</v>
      </c>
      <c r="D48" s="102">
        <v>43139</v>
      </c>
      <c r="E48" s="102">
        <v>43220</v>
      </c>
      <c r="F48" s="101">
        <v>3700</v>
      </c>
      <c r="G48" s="101">
        <v>81</v>
      </c>
      <c r="H48" s="101">
        <v>0.20273972602739726</v>
      </c>
      <c r="I48" s="101">
        <v>0</v>
      </c>
      <c r="J48" s="101">
        <v>0.13500000000000001</v>
      </c>
      <c r="K48" s="101">
        <v>54.967723843385102</v>
      </c>
      <c r="L48" s="101">
        <v>0</v>
      </c>
      <c r="M48" s="101">
        <v>0</v>
      </c>
      <c r="N48" s="137">
        <v>54.967723843385102</v>
      </c>
      <c r="O48" s="101">
        <v>3783</v>
      </c>
      <c r="P48" s="101" t="s">
        <v>85</v>
      </c>
      <c r="Q48" s="101">
        <v>1</v>
      </c>
      <c r="R48" s="101" t="s">
        <v>151</v>
      </c>
    </row>
    <row r="49" spans="2:18">
      <c r="B49" s="101" t="s">
        <v>160</v>
      </c>
      <c r="C49" s="101" t="s">
        <v>185</v>
      </c>
      <c r="D49" s="102">
        <v>43139</v>
      </c>
      <c r="E49" s="102">
        <v>43220</v>
      </c>
      <c r="F49" s="101">
        <v>3650</v>
      </c>
      <c r="G49" s="101">
        <v>81</v>
      </c>
      <c r="H49" s="101">
        <v>0.20273972602739726</v>
      </c>
      <c r="I49" s="101">
        <v>0</v>
      </c>
      <c r="J49" s="101">
        <v>0.13500000000000001</v>
      </c>
      <c r="K49" s="101">
        <v>38.631511309024745</v>
      </c>
      <c r="L49" s="101">
        <v>0</v>
      </c>
      <c r="M49" s="101">
        <v>0</v>
      </c>
      <c r="N49" s="137">
        <v>38.631511309024745</v>
      </c>
      <c r="O49" s="101">
        <v>3783</v>
      </c>
      <c r="P49" s="101" t="s">
        <v>85</v>
      </c>
      <c r="Q49" s="101">
        <v>1</v>
      </c>
      <c r="R49" s="101" t="s">
        <v>151</v>
      </c>
    </row>
    <row r="50" spans="2:18">
      <c r="B50" s="101" t="s">
        <v>160</v>
      </c>
      <c r="C50" s="101" t="s">
        <v>185</v>
      </c>
      <c r="D50" s="102">
        <v>43139</v>
      </c>
      <c r="E50" s="102">
        <v>43220</v>
      </c>
      <c r="F50" s="101">
        <v>3600</v>
      </c>
      <c r="G50" s="101">
        <v>81</v>
      </c>
      <c r="H50" s="101">
        <v>0.20273972602739726</v>
      </c>
      <c r="I50" s="101">
        <v>0</v>
      </c>
      <c r="J50" s="101">
        <v>0.13500000000000001</v>
      </c>
      <c r="K50" s="101">
        <v>26.113425610989907</v>
      </c>
      <c r="L50" s="101">
        <v>0</v>
      </c>
      <c r="M50" s="101">
        <v>0</v>
      </c>
      <c r="N50" s="137">
        <v>26.113425610989907</v>
      </c>
      <c r="O50" s="101">
        <v>3783</v>
      </c>
      <c r="P50" s="101" t="s">
        <v>85</v>
      </c>
      <c r="Q50" s="101">
        <v>1</v>
      </c>
      <c r="R50" s="101" t="s">
        <v>151</v>
      </c>
    </row>
    <row r="51" spans="2:18">
      <c r="B51" s="100"/>
      <c r="C51" s="41" t="s">
        <v>181</v>
      </c>
      <c r="D51" s="41" t="s">
        <v>180</v>
      </c>
      <c r="E51" s="41" t="s">
        <v>10</v>
      </c>
      <c r="F51" s="41" t="s">
        <v>184</v>
      </c>
      <c r="G51" s="41" t="s">
        <v>11</v>
      </c>
      <c r="H51" s="41" t="s">
        <v>12</v>
      </c>
      <c r="I51" s="41" t="s">
        <v>47</v>
      </c>
      <c r="J51" s="41" t="s">
        <v>13</v>
      </c>
      <c r="K51" s="41" t="s">
        <v>14</v>
      </c>
      <c r="L51" s="41" t="s">
        <v>26</v>
      </c>
      <c r="M51" s="41" t="s">
        <v>28</v>
      </c>
      <c r="N51" s="41" t="s">
        <v>182</v>
      </c>
      <c r="O51" s="41" t="s">
        <v>8</v>
      </c>
      <c r="P51" s="41" t="s">
        <v>23</v>
      </c>
      <c r="Q51" s="41"/>
      <c r="R51" s="41" t="s">
        <v>30</v>
      </c>
    </row>
    <row r="52" spans="2:18">
      <c r="B52" s="101" t="s">
        <v>160</v>
      </c>
      <c r="C52" s="101" t="s">
        <v>199</v>
      </c>
      <c r="D52" s="102">
        <v>43139</v>
      </c>
      <c r="E52" s="102">
        <v>43174</v>
      </c>
      <c r="F52" s="101">
        <v>3900</v>
      </c>
      <c r="G52" s="101">
        <v>35</v>
      </c>
      <c r="H52" s="101">
        <v>7.6712328767123292E-2</v>
      </c>
      <c r="I52" s="101">
        <v>0</v>
      </c>
      <c r="J52" s="101">
        <v>0.13</v>
      </c>
      <c r="K52" s="101">
        <v>15.888514294829179</v>
      </c>
      <c r="L52" s="101">
        <v>0</v>
      </c>
      <c r="M52" s="101">
        <v>0</v>
      </c>
      <c r="N52" s="137">
        <v>15.888514294829179</v>
      </c>
      <c r="O52" s="101">
        <v>4020</v>
      </c>
      <c r="P52" s="101" t="s">
        <v>85</v>
      </c>
      <c r="Q52" s="101">
        <v>1</v>
      </c>
      <c r="R52" s="101" t="s">
        <v>151</v>
      </c>
    </row>
    <row r="53" spans="2:18">
      <c r="B53" s="101" t="s">
        <v>160</v>
      </c>
      <c r="C53" s="101" t="s">
        <v>199</v>
      </c>
      <c r="D53" s="102">
        <v>43139</v>
      </c>
      <c r="E53" s="102">
        <v>43174</v>
      </c>
      <c r="F53" s="101">
        <v>3950</v>
      </c>
      <c r="G53" s="101">
        <v>35</v>
      </c>
      <c r="H53" s="101">
        <v>7.6712328767123292E-2</v>
      </c>
      <c r="I53" s="101">
        <v>0</v>
      </c>
      <c r="J53" s="101">
        <v>0.13</v>
      </c>
      <c r="K53" s="101">
        <v>28.873551211686618</v>
      </c>
      <c r="L53" s="101">
        <v>0</v>
      </c>
      <c r="M53" s="101">
        <v>0</v>
      </c>
      <c r="N53" s="137">
        <v>28.873551211686618</v>
      </c>
      <c r="O53" s="101">
        <v>4020</v>
      </c>
      <c r="P53" s="101" t="s">
        <v>85</v>
      </c>
      <c r="Q53" s="101">
        <v>1</v>
      </c>
      <c r="R53" s="101" t="s">
        <v>151</v>
      </c>
    </row>
    <row r="54" spans="2:18">
      <c r="B54" s="101" t="s">
        <v>160</v>
      </c>
      <c r="C54" s="101" t="s">
        <v>199</v>
      </c>
      <c r="D54" s="102">
        <v>43139</v>
      </c>
      <c r="E54" s="102">
        <v>43174</v>
      </c>
      <c r="F54" s="101">
        <v>4000</v>
      </c>
      <c r="G54" s="101">
        <v>35</v>
      </c>
      <c r="H54" s="101">
        <v>7.6712328767123292E-2</v>
      </c>
      <c r="I54" s="101">
        <v>0</v>
      </c>
      <c r="J54" s="101">
        <v>0.13</v>
      </c>
      <c r="K54" s="101">
        <v>48.075759343704021</v>
      </c>
      <c r="L54" s="101">
        <v>0</v>
      </c>
      <c r="M54" s="101">
        <v>0</v>
      </c>
      <c r="N54" s="137">
        <v>48.075759343704021</v>
      </c>
      <c r="O54" s="101">
        <v>4020</v>
      </c>
      <c r="P54" s="101" t="s">
        <v>85</v>
      </c>
      <c r="Q54" s="101">
        <v>1</v>
      </c>
      <c r="R54" s="101" t="s">
        <v>151</v>
      </c>
    </row>
    <row r="55" spans="2:18">
      <c r="B55" s="101" t="s">
        <v>160</v>
      </c>
      <c r="C55" s="101" t="s">
        <v>199</v>
      </c>
      <c r="D55" s="102">
        <v>43139</v>
      </c>
      <c r="E55" s="102">
        <v>43174</v>
      </c>
      <c r="F55" s="101">
        <v>4050</v>
      </c>
      <c r="G55" s="101">
        <v>35</v>
      </c>
      <c r="H55" s="101">
        <v>7.6712328767123292E-2</v>
      </c>
      <c r="I55" s="101">
        <v>0</v>
      </c>
      <c r="J55" s="101">
        <v>0.13</v>
      </c>
      <c r="K55" s="101">
        <v>74.074393397630502</v>
      </c>
      <c r="L55" s="101">
        <v>0</v>
      </c>
      <c r="M55" s="101">
        <v>0</v>
      </c>
      <c r="N55" s="137">
        <v>74.074393397630502</v>
      </c>
      <c r="O55" s="101">
        <v>4020</v>
      </c>
      <c r="P55" s="101" t="s">
        <v>85</v>
      </c>
      <c r="Q55" s="101">
        <v>1</v>
      </c>
      <c r="R55" s="101" t="s">
        <v>151</v>
      </c>
    </row>
    <row r="56" spans="2:18">
      <c r="B56" s="41"/>
      <c r="C56" s="41" t="s">
        <v>181</v>
      </c>
      <c r="D56" s="41" t="s">
        <v>180</v>
      </c>
      <c r="E56" s="41" t="s">
        <v>10</v>
      </c>
      <c r="F56" s="41" t="s">
        <v>184</v>
      </c>
      <c r="G56" s="41" t="s">
        <v>11</v>
      </c>
      <c r="H56" s="41" t="s">
        <v>12</v>
      </c>
      <c r="I56" s="41" t="s">
        <v>47</v>
      </c>
      <c r="J56" s="41" t="s">
        <v>13</v>
      </c>
      <c r="K56" s="41" t="s">
        <v>14</v>
      </c>
      <c r="L56" s="41" t="s">
        <v>26</v>
      </c>
      <c r="M56" s="41" t="s">
        <v>28</v>
      </c>
      <c r="N56" s="41" t="s">
        <v>182</v>
      </c>
      <c r="O56" s="41" t="s">
        <v>8</v>
      </c>
      <c r="P56" s="41" t="s">
        <v>23</v>
      </c>
      <c r="Q56" s="41"/>
      <c r="R56" s="41" t="s">
        <v>30</v>
      </c>
    </row>
    <row r="57" spans="2:18">
      <c r="B57" s="101" t="s">
        <v>160</v>
      </c>
      <c r="C57" s="101" t="s">
        <v>185</v>
      </c>
      <c r="D57" s="102">
        <v>43140</v>
      </c>
      <c r="E57" s="102">
        <v>43205</v>
      </c>
      <c r="F57" s="101">
        <v>3750</v>
      </c>
      <c r="G57" s="101">
        <v>65</v>
      </c>
      <c r="H57" s="101">
        <v>0.15890410958904111</v>
      </c>
      <c r="I57" s="101">
        <v>0</v>
      </c>
      <c r="J57" s="101">
        <v>0.125</v>
      </c>
      <c r="K57" s="101">
        <v>63.186642950810665</v>
      </c>
      <c r="L57" s="101"/>
      <c r="M57" s="101">
        <v>0</v>
      </c>
      <c r="N57" s="137">
        <v>63.186642950810665</v>
      </c>
      <c r="O57" s="101">
        <v>3774</v>
      </c>
      <c r="P57" s="101" t="s">
        <v>85</v>
      </c>
      <c r="Q57" s="101">
        <v>1</v>
      </c>
      <c r="R57" s="101" t="s">
        <v>151</v>
      </c>
    </row>
    <row r="58" spans="2:18">
      <c r="B58" s="101" t="s">
        <v>160</v>
      </c>
      <c r="C58" s="101" t="s">
        <v>185</v>
      </c>
      <c r="D58" s="102">
        <v>43140</v>
      </c>
      <c r="E58" s="102">
        <v>43205</v>
      </c>
      <c r="F58" s="101">
        <v>3700</v>
      </c>
      <c r="G58" s="101">
        <v>65</v>
      </c>
      <c r="H58" s="101">
        <v>0.15890410958904111</v>
      </c>
      <c r="I58" s="101">
        <v>0</v>
      </c>
      <c r="J58" s="101">
        <v>0.125</v>
      </c>
      <c r="K58" s="101">
        <v>42.93065794738618</v>
      </c>
      <c r="L58" s="101"/>
      <c r="M58" s="101">
        <v>0</v>
      </c>
      <c r="N58" s="137">
        <v>42.93065794738618</v>
      </c>
      <c r="O58" s="101">
        <v>3774</v>
      </c>
      <c r="P58" s="101" t="s">
        <v>85</v>
      </c>
      <c r="Q58" s="101">
        <v>1</v>
      </c>
      <c r="R58" s="101" t="s">
        <v>151</v>
      </c>
    </row>
    <row r="59" spans="2:18">
      <c r="B59" s="101" t="s">
        <v>160</v>
      </c>
      <c r="C59" s="101" t="s">
        <v>185</v>
      </c>
      <c r="D59" s="102">
        <v>43140</v>
      </c>
      <c r="E59" s="102">
        <v>43205</v>
      </c>
      <c r="F59" s="101">
        <v>3650</v>
      </c>
      <c r="G59" s="101">
        <v>65</v>
      </c>
      <c r="H59" s="101">
        <v>0.15890410958904111</v>
      </c>
      <c r="I59" s="101">
        <v>0</v>
      </c>
      <c r="J59" s="101">
        <v>0.125</v>
      </c>
      <c r="K59" s="101">
        <v>27.677812804055975</v>
      </c>
      <c r="L59" s="101"/>
      <c r="M59" s="101">
        <v>0</v>
      </c>
      <c r="N59" s="137">
        <v>27.677812804055975</v>
      </c>
      <c r="O59" s="101">
        <v>3774</v>
      </c>
      <c r="P59" s="101" t="s">
        <v>85</v>
      </c>
      <c r="Q59" s="101">
        <v>1</v>
      </c>
      <c r="R59" s="101" t="s">
        <v>151</v>
      </c>
    </row>
    <row r="60" spans="2:18">
      <c r="B60" s="101" t="s">
        <v>160</v>
      </c>
      <c r="C60" s="101" t="s">
        <v>185</v>
      </c>
      <c r="D60" s="102">
        <v>43140</v>
      </c>
      <c r="E60" s="102">
        <v>43205</v>
      </c>
      <c r="F60" s="101">
        <v>3600</v>
      </c>
      <c r="G60" s="101">
        <v>65</v>
      </c>
      <c r="H60" s="101">
        <v>0.15890410958904111</v>
      </c>
      <c r="I60" s="101">
        <v>0</v>
      </c>
      <c r="J60" s="101">
        <v>0.125</v>
      </c>
      <c r="K60" s="101">
        <v>16.844399928220014</v>
      </c>
      <c r="L60" s="101"/>
      <c r="M60" s="101">
        <v>0</v>
      </c>
      <c r="N60" s="137">
        <v>16.844399928220014</v>
      </c>
      <c r="O60" s="101">
        <v>3774</v>
      </c>
      <c r="P60" s="101" t="s">
        <v>85</v>
      </c>
      <c r="Q60" s="101">
        <v>1</v>
      </c>
      <c r="R60" s="101" t="s">
        <v>151</v>
      </c>
    </row>
    <row r="61" spans="2:18">
      <c r="B61" s="41"/>
      <c r="C61" s="41" t="s">
        <v>181</v>
      </c>
      <c r="D61" s="41" t="s">
        <v>180</v>
      </c>
      <c r="E61" s="41" t="s">
        <v>10</v>
      </c>
      <c r="F61" s="41" t="s">
        <v>184</v>
      </c>
      <c r="G61" s="41" t="s">
        <v>11</v>
      </c>
      <c r="H61" s="41" t="s">
        <v>12</v>
      </c>
      <c r="I61" s="41" t="s">
        <v>47</v>
      </c>
      <c r="J61" s="41" t="s">
        <v>13</v>
      </c>
      <c r="K61" s="41" t="s">
        <v>14</v>
      </c>
      <c r="L61" s="41" t="s">
        <v>26</v>
      </c>
      <c r="M61" s="41" t="s">
        <v>28</v>
      </c>
      <c r="N61" s="41" t="s">
        <v>182</v>
      </c>
      <c r="O61" s="41" t="s">
        <v>8</v>
      </c>
      <c r="P61" s="41" t="s">
        <v>23</v>
      </c>
      <c r="Q61" s="41"/>
      <c r="R61" s="41" t="s">
        <v>30</v>
      </c>
    </row>
    <row r="62" spans="2:18">
      <c r="B62" s="101" t="s">
        <v>160</v>
      </c>
      <c r="C62" s="101" t="s">
        <v>185</v>
      </c>
      <c r="D62" s="102">
        <v>43140</v>
      </c>
      <c r="E62" s="102">
        <v>43219</v>
      </c>
      <c r="F62" s="101">
        <v>3750</v>
      </c>
      <c r="G62" s="101">
        <v>79</v>
      </c>
      <c r="H62" s="101">
        <v>0.19726027397260273</v>
      </c>
      <c r="I62" s="101">
        <v>0</v>
      </c>
      <c r="J62" s="101">
        <v>0.125</v>
      </c>
      <c r="K62" s="101">
        <v>71.577464006273431</v>
      </c>
      <c r="L62" s="101"/>
      <c r="M62" s="101">
        <v>0</v>
      </c>
      <c r="N62" s="137">
        <v>71.577464006273431</v>
      </c>
      <c r="O62" s="101">
        <v>3774</v>
      </c>
      <c r="P62" s="101" t="s">
        <v>85</v>
      </c>
      <c r="Q62" s="101">
        <v>1</v>
      </c>
      <c r="R62" s="101" t="s">
        <v>151</v>
      </c>
    </row>
    <row r="63" spans="2:18">
      <c r="B63" s="101" t="s">
        <v>160</v>
      </c>
      <c r="C63" s="101" t="s">
        <v>185</v>
      </c>
      <c r="D63" s="102">
        <v>43140</v>
      </c>
      <c r="E63" s="102">
        <v>43219</v>
      </c>
      <c r="F63" s="101">
        <v>3700</v>
      </c>
      <c r="G63" s="101">
        <v>79</v>
      </c>
      <c r="H63" s="101">
        <v>0.19726027397260273</v>
      </c>
      <c r="I63" s="101">
        <v>0</v>
      </c>
      <c r="J63" s="101">
        <v>0.125</v>
      </c>
      <c r="K63" s="101">
        <v>50.764708416025996</v>
      </c>
      <c r="L63" s="101"/>
      <c r="M63" s="101">
        <v>0</v>
      </c>
      <c r="N63" s="137">
        <v>50.764708416025996</v>
      </c>
      <c r="O63" s="101">
        <v>3774</v>
      </c>
      <c r="P63" s="101" t="s">
        <v>85</v>
      </c>
      <c r="Q63" s="101">
        <v>1</v>
      </c>
      <c r="R63" s="101" t="s">
        <v>151</v>
      </c>
    </row>
    <row r="64" spans="2:18">
      <c r="B64" s="101" t="s">
        <v>160</v>
      </c>
      <c r="C64" s="101" t="s">
        <v>185</v>
      </c>
      <c r="D64" s="102">
        <v>43140</v>
      </c>
      <c r="E64" s="102">
        <v>43219</v>
      </c>
      <c r="F64" s="101">
        <v>3650</v>
      </c>
      <c r="G64" s="101">
        <v>79</v>
      </c>
      <c r="H64" s="101">
        <v>0.19726027397260273</v>
      </c>
      <c r="I64" s="101">
        <v>0</v>
      </c>
      <c r="J64" s="101">
        <v>0.125</v>
      </c>
      <c r="K64" s="101">
        <v>34.512333334585946</v>
      </c>
      <c r="L64" s="101"/>
      <c r="M64" s="101">
        <v>0</v>
      </c>
      <c r="N64" s="137">
        <v>34.512333334585946</v>
      </c>
      <c r="O64" s="101">
        <v>3774</v>
      </c>
      <c r="P64" s="101" t="s">
        <v>85</v>
      </c>
      <c r="Q64" s="101">
        <v>1</v>
      </c>
      <c r="R64" s="101" t="s">
        <v>151</v>
      </c>
    </row>
    <row r="65" spans="2:18">
      <c r="B65" s="101" t="s">
        <v>160</v>
      </c>
      <c r="C65" s="101" t="s">
        <v>185</v>
      </c>
      <c r="D65" s="102">
        <v>43140</v>
      </c>
      <c r="E65" s="102">
        <v>43219</v>
      </c>
      <c r="F65" s="101">
        <v>3600</v>
      </c>
      <c r="G65" s="101">
        <v>79</v>
      </c>
      <c r="H65" s="101">
        <v>0.19726027397260273</v>
      </c>
      <c r="I65" s="101">
        <v>0</v>
      </c>
      <c r="J65" s="101">
        <v>0.125</v>
      </c>
      <c r="K65" s="101">
        <v>22.40185546016528</v>
      </c>
      <c r="L65" s="101"/>
      <c r="M65" s="101">
        <v>0</v>
      </c>
      <c r="N65" s="137">
        <v>22.40185546016528</v>
      </c>
      <c r="O65" s="101">
        <v>3774</v>
      </c>
      <c r="P65" s="101" t="s">
        <v>85</v>
      </c>
      <c r="Q65" s="101">
        <v>1</v>
      </c>
      <c r="R65" s="101" t="s">
        <v>151</v>
      </c>
    </row>
    <row r="67" spans="2:18">
      <c r="B67" s="41"/>
      <c r="C67" s="41" t="s">
        <v>181</v>
      </c>
      <c r="D67" s="41" t="s">
        <v>180</v>
      </c>
      <c r="E67" s="41" t="s">
        <v>10</v>
      </c>
      <c r="F67" s="41" t="s">
        <v>184</v>
      </c>
      <c r="G67" s="41" t="s">
        <v>11</v>
      </c>
      <c r="H67" s="41" t="s">
        <v>12</v>
      </c>
      <c r="I67" s="41" t="s">
        <v>47</v>
      </c>
      <c r="J67" s="41" t="s">
        <v>13</v>
      </c>
      <c r="K67" s="41" t="s">
        <v>14</v>
      </c>
      <c r="L67" s="41" t="s">
        <v>26</v>
      </c>
      <c r="M67" s="41" t="s">
        <v>28</v>
      </c>
      <c r="N67" s="41" t="s">
        <v>182</v>
      </c>
      <c r="O67" s="41" t="s">
        <v>8</v>
      </c>
      <c r="P67" s="41" t="s">
        <v>23</v>
      </c>
      <c r="Q67" s="41"/>
      <c r="R67" s="41" t="s">
        <v>30</v>
      </c>
    </row>
    <row r="68" spans="2:18">
      <c r="B68" s="101" t="s">
        <v>160</v>
      </c>
      <c r="C68" s="101" t="s">
        <v>203</v>
      </c>
      <c r="D68" s="102">
        <v>43145</v>
      </c>
      <c r="E68" s="102">
        <v>43203</v>
      </c>
      <c r="F68" s="101">
        <v>50000</v>
      </c>
      <c r="G68" s="101">
        <v>58</v>
      </c>
      <c r="H68" s="101">
        <v>0.13972602739726028</v>
      </c>
      <c r="I68" s="101">
        <v>0</v>
      </c>
      <c r="J68" s="101">
        <v>0.125</v>
      </c>
      <c r="K68" s="101">
        <v>159.75205612185073</v>
      </c>
      <c r="L68" s="101">
        <v>30</v>
      </c>
      <c r="M68" s="101">
        <v>22.078109589041098</v>
      </c>
      <c r="N68" s="138">
        <v>137.67394653280962</v>
      </c>
      <c r="O68" s="101">
        <v>52670</v>
      </c>
      <c r="P68" s="101" t="s">
        <v>85</v>
      </c>
      <c r="Q68" s="101">
        <v>1</v>
      </c>
      <c r="R68" s="101" t="s">
        <v>151</v>
      </c>
    </row>
    <row r="69" spans="2:18">
      <c r="B69" s="101" t="s">
        <v>160</v>
      </c>
      <c r="C69" s="101" t="s">
        <v>203</v>
      </c>
      <c r="D69" s="102">
        <v>43145</v>
      </c>
      <c r="E69" s="102">
        <v>43203</v>
      </c>
      <c r="F69" s="101">
        <v>49900</v>
      </c>
      <c r="G69" s="101">
        <v>58</v>
      </c>
      <c r="H69" s="101">
        <v>0.13972602739726028</v>
      </c>
      <c r="I69" s="101">
        <v>0</v>
      </c>
      <c r="J69" s="101">
        <v>0.125</v>
      </c>
      <c r="K69" s="101">
        <v>146.46850943286154</v>
      </c>
      <c r="L69" s="101">
        <v>30</v>
      </c>
      <c r="M69" s="101">
        <v>22.078109589041098</v>
      </c>
      <c r="N69" s="138">
        <v>124.39039984382043</v>
      </c>
      <c r="O69" s="101">
        <v>52670</v>
      </c>
      <c r="P69" s="101" t="s">
        <v>85</v>
      </c>
      <c r="Q69" s="101">
        <v>1</v>
      </c>
      <c r="R69" s="101" t="s">
        <v>151</v>
      </c>
    </row>
    <row r="70" spans="2:18">
      <c r="B70" s="101" t="s">
        <v>160</v>
      </c>
      <c r="C70" s="101" t="s">
        <v>203</v>
      </c>
      <c r="D70" s="102">
        <v>43145</v>
      </c>
      <c r="E70" s="102">
        <v>43203</v>
      </c>
      <c r="F70" s="101">
        <v>49200</v>
      </c>
      <c r="G70" s="101">
        <v>58</v>
      </c>
      <c r="H70" s="101">
        <v>0.13972602739726028</v>
      </c>
      <c r="I70" s="101">
        <v>0</v>
      </c>
      <c r="J70" s="101">
        <v>0.125</v>
      </c>
      <c r="K70" s="101">
        <v>76.329468348551472</v>
      </c>
      <c r="L70" s="101">
        <v>30</v>
      </c>
      <c r="M70" s="101">
        <v>22.078109589041098</v>
      </c>
      <c r="N70" s="138">
        <v>54.251358759510374</v>
      </c>
      <c r="O70" s="101">
        <v>52670</v>
      </c>
      <c r="P70" s="101" t="s">
        <v>85</v>
      </c>
      <c r="Q70" s="101">
        <v>1</v>
      </c>
      <c r="R70" s="101" t="s">
        <v>151</v>
      </c>
    </row>
    <row r="71" spans="2:18">
      <c r="B71" s="41"/>
      <c r="C71" s="41" t="s">
        <v>181</v>
      </c>
      <c r="D71" s="41" t="s">
        <v>180</v>
      </c>
      <c r="E71" s="41" t="s">
        <v>10</v>
      </c>
      <c r="F71" s="41" t="s">
        <v>184</v>
      </c>
      <c r="G71" s="41" t="s">
        <v>11</v>
      </c>
      <c r="H71" s="41" t="s">
        <v>12</v>
      </c>
      <c r="I71" s="41" t="s">
        <v>47</v>
      </c>
      <c r="J71" s="41" t="s">
        <v>13</v>
      </c>
      <c r="K71" s="41" t="s">
        <v>14</v>
      </c>
      <c r="L71" s="41" t="s">
        <v>26</v>
      </c>
      <c r="M71" s="41" t="s">
        <v>28</v>
      </c>
      <c r="N71" s="41" t="s">
        <v>182</v>
      </c>
      <c r="O71" s="41" t="s">
        <v>8</v>
      </c>
      <c r="P71" s="41" t="s">
        <v>23</v>
      </c>
      <c r="Q71" s="41"/>
      <c r="R71" s="41" t="s">
        <v>30</v>
      </c>
    </row>
    <row r="72" spans="2:18">
      <c r="B72" s="101" t="s">
        <v>160</v>
      </c>
      <c r="C72" s="101" t="s">
        <v>204</v>
      </c>
      <c r="D72" s="102">
        <v>43154</v>
      </c>
      <c r="E72" s="102">
        <v>43243</v>
      </c>
      <c r="F72" s="101">
        <v>13230</v>
      </c>
      <c r="G72" s="101">
        <v>89</v>
      </c>
      <c r="H72" s="101">
        <v>0.24383561643835616</v>
      </c>
      <c r="I72" s="101">
        <v>0</v>
      </c>
      <c r="J72" s="101">
        <v>0.32</v>
      </c>
      <c r="K72" s="101">
        <v>-829.0846857534234</v>
      </c>
      <c r="L72" s="101">
        <v>0</v>
      </c>
      <c r="M72" s="101">
        <v>0</v>
      </c>
      <c r="N72" s="138">
        <v>829.0846857534234</v>
      </c>
      <c r="O72" s="101">
        <v>13230</v>
      </c>
      <c r="P72" s="101" t="s">
        <v>39</v>
      </c>
      <c r="Q72" s="101">
        <v>-1</v>
      </c>
      <c r="R72" s="101" t="s">
        <v>20</v>
      </c>
    </row>
    <row r="73" spans="2:18">
      <c r="B73" s="101" t="s">
        <v>160</v>
      </c>
      <c r="C73" s="101" t="s">
        <v>204</v>
      </c>
      <c r="D73" s="102">
        <v>43154</v>
      </c>
      <c r="E73" s="102">
        <v>43304</v>
      </c>
      <c r="F73" s="101">
        <v>13230</v>
      </c>
      <c r="G73" s="101">
        <v>150</v>
      </c>
      <c r="H73" s="101">
        <v>0.41095890410958902</v>
      </c>
      <c r="I73" s="101">
        <v>0</v>
      </c>
      <c r="J73" s="101">
        <v>0.32</v>
      </c>
      <c r="K73" s="101">
        <v>-1071.984666211627</v>
      </c>
      <c r="L73" s="101">
        <v>0</v>
      </c>
      <c r="M73" s="101">
        <v>0</v>
      </c>
      <c r="N73" s="138">
        <v>1071.984666211627</v>
      </c>
      <c r="O73" s="101">
        <v>13230</v>
      </c>
      <c r="P73" s="101" t="s">
        <v>39</v>
      </c>
      <c r="Q73" s="101">
        <v>-1</v>
      </c>
      <c r="R73" s="101" t="s">
        <v>20</v>
      </c>
    </row>
    <row r="74" spans="2:18">
      <c r="B74" s="41"/>
      <c r="C74" s="41" t="s">
        <v>181</v>
      </c>
      <c r="D74" s="41" t="s">
        <v>180</v>
      </c>
      <c r="E74" s="41" t="s">
        <v>10</v>
      </c>
      <c r="F74" s="41" t="s">
        <v>184</v>
      </c>
      <c r="G74" s="41" t="s">
        <v>11</v>
      </c>
      <c r="H74" s="41" t="s">
        <v>12</v>
      </c>
      <c r="I74" s="41" t="s">
        <v>47</v>
      </c>
      <c r="J74" s="41" t="s">
        <v>13</v>
      </c>
      <c r="K74" s="41" t="s">
        <v>14</v>
      </c>
      <c r="L74" s="41" t="s">
        <v>26</v>
      </c>
      <c r="M74" s="41" t="s">
        <v>28</v>
      </c>
      <c r="N74" s="41" t="s">
        <v>182</v>
      </c>
      <c r="O74" s="41" t="s">
        <v>8</v>
      </c>
      <c r="P74" s="41" t="s">
        <v>23</v>
      </c>
      <c r="Q74" s="41"/>
      <c r="R74" s="41" t="s">
        <v>30</v>
      </c>
    </row>
    <row r="75" spans="2:18">
      <c r="B75" s="101" t="s">
        <v>160</v>
      </c>
      <c r="C75" s="101" t="s">
        <v>203</v>
      </c>
      <c r="D75" s="102">
        <v>43154</v>
      </c>
      <c r="E75" s="102">
        <v>43214</v>
      </c>
      <c r="F75" s="101">
        <v>51000</v>
      </c>
      <c r="G75" s="101">
        <v>60</v>
      </c>
      <c r="H75" s="101">
        <v>0.15890410958904111</v>
      </c>
      <c r="I75" s="101">
        <v>0</v>
      </c>
      <c r="J75" s="101">
        <v>0.13</v>
      </c>
      <c r="K75" s="101">
        <v>200.9221634639307</v>
      </c>
      <c r="L75" s="101">
        <v>30</v>
      </c>
      <c r="M75" s="101">
        <v>25.685260273972606</v>
      </c>
      <c r="N75" s="138">
        <v>175.2369031899581</v>
      </c>
      <c r="O75" s="101">
        <v>53880</v>
      </c>
      <c r="P75" s="101" t="s">
        <v>85</v>
      </c>
      <c r="Q75" s="101">
        <v>1</v>
      </c>
      <c r="R75" s="101" t="s">
        <v>151</v>
      </c>
    </row>
    <row r="76" spans="2:18">
      <c r="B76" s="101" t="s">
        <v>160</v>
      </c>
      <c r="C76" s="101" t="s">
        <v>203</v>
      </c>
      <c r="D76" s="102">
        <v>43154</v>
      </c>
      <c r="E76" s="102">
        <v>43214</v>
      </c>
      <c r="F76" s="101">
        <v>50000</v>
      </c>
      <c r="G76" s="101">
        <v>60</v>
      </c>
      <c r="H76" s="101">
        <v>0.15890410958904111</v>
      </c>
      <c r="I76" s="101">
        <v>0</v>
      </c>
      <c r="J76" s="101">
        <v>0.13</v>
      </c>
      <c r="K76" s="101">
        <v>89.509361348313178</v>
      </c>
      <c r="L76" s="101">
        <v>30</v>
      </c>
      <c r="M76" s="101">
        <v>25.685260273972606</v>
      </c>
      <c r="N76" s="138">
        <v>63.824101074340575</v>
      </c>
      <c r="O76" s="101">
        <v>53880</v>
      </c>
      <c r="P76" s="101" t="s">
        <v>85</v>
      </c>
      <c r="Q76" s="101">
        <v>1</v>
      </c>
      <c r="R76" s="101" t="s">
        <v>151</v>
      </c>
    </row>
    <row r="77" spans="2:18">
      <c r="B77" s="101" t="s">
        <v>160</v>
      </c>
      <c r="C77" s="101" t="s">
        <v>203</v>
      </c>
      <c r="D77" s="102">
        <v>43154</v>
      </c>
      <c r="E77" s="102">
        <v>43214</v>
      </c>
      <c r="F77" s="101">
        <v>49900</v>
      </c>
      <c r="G77" s="101">
        <v>60</v>
      </c>
      <c r="H77" s="101">
        <v>0.15890410958904111</v>
      </c>
      <c r="I77" s="101">
        <v>0</v>
      </c>
      <c r="J77" s="101">
        <v>0.13</v>
      </c>
      <c r="K77" s="101">
        <v>81.976031730444447</v>
      </c>
      <c r="L77" s="101">
        <v>30</v>
      </c>
      <c r="M77" s="101">
        <v>25.685260273972606</v>
      </c>
      <c r="N77" s="138">
        <v>56.290771456471845</v>
      </c>
      <c r="O77" s="101">
        <v>53880</v>
      </c>
      <c r="P77" s="101" t="s">
        <v>85</v>
      </c>
      <c r="Q77" s="101">
        <v>1</v>
      </c>
      <c r="R77" s="101" t="s">
        <v>151</v>
      </c>
    </row>
    <row r="79" spans="2:18">
      <c r="B79" s="41"/>
      <c r="C79" s="41" t="s">
        <v>181</v>
      </c>
      <c r="D79" s="41" t="s">
        <v>180</v>
      </c>
      <c r="E79" s="41" t="s">
        <v>10</v>
      </c>
      <c r="F79" s="41" t="s">
        <v>184</v>
      </c>
      <c r="G79" s="41" t="s">
        <v>11</v>
      </c>
      <c r="H79" s="41" t="s">
        <v>12</v>
      </c>
      <c r="I79" s="41" t="s">
        <v>47</v>
      </c>
      <c r="J79" s="41" t="s">
        <v>13</v>
      </c>
      <c r="K79" s="41" t="s">
        <v>14</v>
      </c>
      <c r="L79" s="41" t="s">
        <v>26</v>
      </c>
      <c r="M79" s="41" t="s">
        <v>28</v>
      </c>
      <c r="N79" s="41" t="s">
        <v>182</v>
      </c>
      <c r="O79" s="41" t="s">
        <v>8</v>
      </c>
      <c r="P79" s="41" t="s">
        <v>23</v>
      </c>
      <c r="Q79" s="41"/>
      <c r="R79" s="41" t="s">
        <v>30</v>
      </c>
    </row>
    <row r="80" spans="2:18">
      <c r="B80" s="101" t="s">
        <v>160</v>
      </c>
      <c r="C80" s="101" t="s">
        <v>210</v>
      </c>
      <c r="D80" s="102">
        <v>43154</v>
      </c>
      <c r="E80" s="102">
        <v>43182</v>
      </c>
      <c r="F80" s="101">
        <v>561.5</v>
      </c>
      <c r="G80" s="101">
        <v>28</v>
      </c>
      <c r="H80" s="101">
        <v>7.1232876712328766E-2</v>
      </c>
      <c r="I80" s="101">
        <v>0</v>
      </c>
      <c r="J80" s="101">
        <v>0.23</v>
      </c>
      <c r="K80" s="101">
        <v>13.729066207063568</v>
      </c>
      <c r="L80" s="101"/>
      <c r="M80" s="101">
        <v>0</v>
      </c>
      <c r="N80" s="137">
        <v>13.729066207063568</v>
      </c>
      <c r="O80" s="101">
        <v>561.5</v>
      </c>
      <c r="P80" s="101" t="s">
        <v>85</v>
      </c>
      <c r="Q80" s="101">
        <v>1</v>
      </c>
      <c r="R80" s="101" t="s">
        <v>151</v>
      </c>
    </row>
    <row r="81" spans="2:21">
      <c r="B81" s="101" t="s">
        <v>160</v>
      </c>
      <c r="C81" s="101" t="s">
        <v>210</v>
      </c>
      <c r="D81" s="102">
        <v>43154</v>
      </c>
      <c r="E81" s="102">
        <v>43182</v>
      </c>
      <c r="F81" s="101">
        <v>556.5</v>
      </c>
      <c r="G81" s="101">
        <v>28</v>
      </c>
      <c r="H81" s="101">
        <v>7.1232876712328766E-2</v>
      </c>
      <c r="I81" s="101">
        <v>0</v>
      </c>
      <c r="J81" s="101">
        <v>0.23</v>
      </c>
      <c r="K81" s="101">
        <v>11.316292927249776</v>
      </c>
      <c r="L81" s="101"/>
      <c r="M81" s="101">
        <v>0</v>
      </c>
      <c r="N81" s="137">
        <v>11.316292927249776</v>
      </c>
      <c r="O81" s="101">
        <v>561.5</v>
      </c>
      <c r="P81" s="101" t="s">
        <v>85</v>
      </c>
      <c r="Q81" s="101">
        <v>1</v>
      </c>
      <c r="R81" s="101" t="s">
        <v>151</v>
      </c>
    </row>
    <row r="82" spans="2:21">
      <c r="B82" s="101" t="s">
        <v>160</v>
      </c>
      <c r="C82" s="101" t="s">
        <v>210</v>
      </c>
      <c r="D82" s="102">
        <v>43154</v>
      </c>
      <c r="E82" s="102">
        <v>43182</v>
      </c>
      <c r="F82" s="101">
        <v>551.5</v>
      </c>
      <c r="G82" s="101">
        <v>28</v>
      </c>
      <c r="H82" s="101">
        <v>7.1232876712328766E-2</v>
      </c>
      <c r="I82" s="101">
        <v>0</v>
      </c>
      <c r="J82" s="101">
        <v>0.23</v>
      </c>
      <c r="K82" s="101">
        <v>9.1926214191410054</v>
      </c>
      <c r="L82" s="101"/>
      <c r="M82" s="101">
        <v>0</v>
      </c>
      <c r="N82" s="137">
        <v>9.1926214191410054</v>
      </c>
      <c r="O82" s="101">
        <v>561.5</v>
      </c>
      <c r="P82" s="101" t="s">
        <v>85</v>
      </c>
      <c r="Q82" s="101">
        <v>1</v>
      </c>
      <c r="R82" s="101" t="s">
        <v>151</v>
      </c>
    </row>
    <row r="83" spans="2:21">
      <c r="B83" s="101" t="s">
        <v>160</v>
      </c>
      <c r="C83" s="101" t="s">
        <v>210</v>
      </c>
      <c r="D83" s="102">
        <v>43154</v>
      </c>
      <c r="E83" s="102">
        <v>43182</v>
      </c>
      <c r="F83" s="101">
        <v>546.5</v>
      </c>
      <c r="G83" s="101">
        <v>28</v>
      </c>
      <c r="H83" s="101">
        <v>7.1232876712328766E-2</v>
      </c>
      <c r="I83" s="101">
        <v>0</v>
      </c>
      <c r="J83" s="101">
        <v>0.23</v>
      </c>
      <c r="K83" s="101">
        <v>7.3527029092152816</v>
      </c>
      <c r="L83" s="101"/>
      <c r="M83" s="101">
        <v>0</v>
      </c>
      <c r="N83" s="137">
        <v>7.3527029092152816</v>
      </c>
      <c r="O83" s="101">
        <v>561.5</v>
      </c>
      <c r="P83" s="101" t="s">
        <v>85</v>
      </c>
      <c r="Q83" s="101">
        <v>1</v>
      </c>
      <c r="R83" s="101" t="s">
        <v>151</v>
      </c>
    </row>
    <row r="84" spans="2:21">
      <c r="B84" s="101"/>
      <c r="C84" s="101"/>
      <c r="D84" s="102"/>
      <c r="E84" s="102"/>
      <c r="F84" s="101"/>
      <c r="G84" s="101"/>
      <c r="H84" s="101"/>
      <c r="I84" s="101"/>
      <c r="J84" s="101"/>
      <c r="K84" s="101"/>
      <c r="L84" s="101"/>
      <c r="M84" s="101"/>
      <c r="N84" s="137"/>
      <c r="O84" s="101"/>
      <c r="P84" s="101"/>
      <c r="Q84" s="101"/>
      <c r="R84" s="101"/>
    </row>
    <row r="85" spans="2:21">
      <c r="B85" s="101" t="s">
        <v>160</v>
      </c>
      <c r="C85" s="101" t="s">
        <v>210</v>
      </c>
      <c r="D85" s="102">
        <v>43154</v>
      </c>
      <c r="E85" s="102">
        <v>43214</v>
      </c>
      <c r="F85" s="101">
        <v>561.5</v>
      </c>
      <c r="G85" s="101">
        <v>60</v>
      </c>
      <c r="H85" s="101">
        <v>0.15890410958904111</v>
      </c>
      <c r="I85" s="101">
        <v>0</v>
      </c>
      <c r="J85" s="101">
        <v>0.23</v>
      </c>
      <c r="K85" s="101">
        <v>20.465526063397192</v>
      </c>
      <c r="L85" s="101"/>
      <c r="M85" s="101">
        <v>0</v>
      </c>
      <c r="N85" s="137">
        <v>20.465526063397192</v>
      </c>
      <c r="O85" s="101">
        <v>561.5</v>
      </c>
      <c r="P85" s="101" t="s">
        <v>85</v>
      </c>
      <c r="Q85" s="101">
        <v>1</v>
      </c>
      <c r="R85" s="101" t="s">
        <v>151</v>
      </c>
    </row>
    <row r="86" spans="2:21">
      <c r="B86" s="101" t="s">
        <v>160</v>
      </c>
      <c r="C86" s="101" t="s">
        <v>210</v>
      </c>
      <c r="D86" s="102">
        <v>43154</v>
      </c>
      <c r="E86" s="102">
        <v>43214</v>
      </c>
      <c r="F86" s="101">
        <v>556.5</v>
      </c>
      <c r="G86" s="101">
        <v>60</v>
      </c>
      <c r="H86" s="101">
        <v>0.15890410958904111</v>
      </c>
      <c r="I86" s="101">
        <v>0</v>
      </c>
      <c r="J86" s="101">
        <v>0.23</v>
      </c>
      <c r="K86" s="101">
        <v>17.979151892593507</v>
      </c>
      <c r="L86" s="101"/>
      <c r="M86" s="101">
        <v>0</v>
      </c>
      <c r="N86" s="137">
        <v>17.979151892593507</v>
      </c>
      <c r="O86" s="101">
        <v>561.5</v>
      </c>
      <c r="P86" s="101" t="s">
        <v>85</v>
      </c>
      <c r="Q86" s="101">
        <v>1</v>
      </c>
      <c r="R86" s="101" t="s">
        <v>151</v>
      </c>
    </row>
    <row r="87" spans="2:21">
      <c r="B87" s="101" t="s">
        <v>160</v>
      </c>
      <c r="C87" s="101" t="s">
        <v>210</v>
      </c>
      <c r="D87" s="102">
        <v>43154</v>
      </c>
      <c r="E87" s="102">
        <v>43214</v>
      </c>
      <c r="F87" s="101">
        <v>551.5</v>
      </c>
      <c r="G87" s="101">
        <v>60</v>
      </c>
      <c r="H87" s="101">
        <v>0.15890410958904111</v>
      </c>
      <c r="I87" s="101">
        <v>0</v>
      </c>
      <c r="J87" s="101">
        <v>0.23</v>
      </c>
      <c r="K87" s="101">
        <v>15.68721653179449</v>
      </c>
      <c r="L87" s="101"/>
      <c r="M87" s="101">
        <v>0</v>
      </c>
      <c r="N87" s="137">
        <v>15.68721653179449</v>
      </c>
      <c r="O87" s="101">
        <v>561.5</v>
      </c>
      <c r="P87" s="101" t="s">
        <v>85</v>
      </c>
      <c r="Q87" s="101">
        <v>1</v>
      </c>
      <c r="R87" s="101" t="s">
        <v>151</v>
      </c>
    </row>
    <row r="88" spans="2:21">
      <c r="B88" s="101" t="s">
        <v>160</v>
      </c>
      <c r="C88" s="101" t="s">
        <v>210</v>
      </c>
      <c r="D88" s="102">
        <v>43154</v>
      </c>
      <c r="E88" s="102">
        <v>43214</v>
      </c>
      <c r="F88" s="101">
        <v>546.5</v>
      </c>
      <c r="G88" s="101">
        <v>60</v>
      </c>
      <c r="H88" s="101">
        <v>0.15890410958904111</v>
      </c>
      <c r="I88" s="101">
        <v>0</v>
      </c>
      <c r="J88" s="101">
        <v>0.23</v>
      </c>
      <c r="K88" s="101">
        <v>13.589539034876509</v>
      </c>
      <c r="L88" s="101"/>
      <c r="M88" s="101">
        <v>0</v>
      </c>
      <c r="N88" s="137">
        <v>13.589539034876509</v>
      </c>
      <c r="O88" s="101">
        <v>561.5</v>
      </c>
      <c r="P88" s="101" t="s">
        <v>85</v>
      </c>
      <c r="Q88" s="101">
        <v>1</v>
      </c>
      <c r="R88" s="101" t="s">
        <v>151</v>
      </c>
    </row>
    <row r="89" spans="2:21">
      <c r="B89" s="41"/>
      <c r="C89" s="41" t="s">
        <v>181</v>
      </c>
      <c r="D89" s="41" t="s">
        <v>180</v>
      </c>
      <c r="E89" s="41" t="s">
        <v>10</v>
      </c>
      <c r="F89" s="41" t="s">
        <v>184</v>
      </c>
      <c r="G89" s="41" t="s">
        <v>11</v>
      </c>
      <c r="H89" s="41" t="s">
        <v>12</v>
      </c>
      <c r="I89" s="41" t="s">
        <v>47</v>
      </c>
      <c r="J89" s="41" t="s">
        <v>13</v>
      </c>
      <c r="K89" s="41" t="s">
        <v>14</v>
      </c>
      <c r="L89" s="41" t="s">
        <v>26</v>
      </c>
      <c r="M89" s="41" t="s">
        <v>28</v>
      </c>
      <c r="N89" s="41" t="s">
        <v>182</v>
      </c>
      <c r="O89" s="41" t="s">
        <v>8</v>
      </c>
      <c r="P89" s="41" t="s">
        <v>23</v>
      </c>
      <c r="Q89" s="41"/>
      <c r="R89" s="41" t="s">
        <v>30</v>
      </c>
    </row>
    <row r="90" spans="2:21">
      <c r="B90" s="101" t="s">
        <v>160</v>
      </c>
      <c r="C90" s="101" t="s">
        <v>203</v>
      </c>
      <c r="D90" s="102">
        <v>43157</v>
      </c>
      <c r="E90" s="102">
        <v>43217</v>
      </c>
      <c r="F90" s="101">
        <v>50000</v>
      </c>
      <c r="G90" s="101">
        <v>60</v>
      </c>
      <c r="H90" s="101">
        <v>0.16438356164383561</v>
      </c>
      <c r="I90" s="101">
        <v>0</v>
      </c>
      <c r="J90" s="101">
        <v>0.14499999999999999</v>
      </c>
      <c r="K90" s="101">
        <v>154.98635620531513</v>
      </c>
      <c r="L90" s="101">
        <v>30</v>
      </c>
      <c r="M90" s="101">
        <v>26.531506849315068</v>
      </c>
      <c r="N90" s="137">
        <v>128.45484935600007</v>
      </c>
      <c r="O90" s="101">
        <v>53800</v>
      </c>
      <c r="P90" s="101" t="s">
        <v>85</v>
      </c>
      <c r="Q90" s="101">
        <v>1</v>
      </c>
      <c r="R90" s="101" t="s">
        <v>151</v>
      </c>
    </row>
    <row r="91" spans="2:21">
      <c r="B91" s="41"/>
      <c r="C91" s="41" t="s">
        <v>181</v>
      </c>
      <c r="D91" s="41" t="s">
        <v>180</v>
      </c>
      <c r="E91" s="41" t="s">
        <v>10</v>
      </c>
      <c r="F91" s="41" t="s">
        <v>184</v>
      </c>
      <c r="G91" s="41" t="s">
        <v>11</v>
      </c>
      <c r="H91" s="41" t="s">
        <v>12</v>
      </c>
      <c r="I91" s="41" t="s">
        <v>47</v>
      </c>
      <c r="J91" s="41" t="s">
        <v>13</v>
      </c>
      <c r="K91" s="41" t="s">
        <v>14</v>
      </c>
      <c r="L91" s="41" t="s">
        <v>26</v>
      </c>
      <c r="M91" s="41" t="s">
        <v>28</v>
      </c>
      <c r="N91" s="41" t="s">
        <v>182</v>
      </c>
      <c r="O91" s="41" t="s">
        <v>8</v>
      </c>
      <c r="P91" s="41" t="s">
        <v>23</v>
      </c>
      <c r="Q91" s="41"/>
      <c r="R91" s="41" t="s">
        <v>30</v>
      </c>
    </row>
    <row r="92" spans="2:21">
      <c r="B92" s="101" t="s">
        <v>160</v>
      </c>
      <c r="C92" s="101" t="s">
        <v>191</v>
      </c>
      <c r="D92" s="102">
        <v>43157</v>
      </c>
      <c r="E92" s="102">
        <v>43203</v>
      </c>
      <c r="F92" s="101">
        <v>96</v>
      </c>
      <c r="G92" s="101">
        <v>46</v>
      </c>
      <c r="H92" s="101">
        <v>0.12602739726027398</v>
      </c>
      <c r="I92" s="101">
        <v>0</v>
      </c>
      <c r="J92" s="101">
        <v>0.24</v>
      </c>
      <c r="K92" s="101">
        <v>-1.7005272775470353</v>
      </c>
      <c r="L92" s="101">
        <v>0</v>
      </c>
      <c r="M92" s="101">
        <v>0</v>
      </c>
      <c r="N92" s="137">
        <v>1.7005272775470353</v>
      </c>
      <c r="O92" s="101">
        <v>100</v>
      </c>
      <c r="P92" s="101" t="s">
        <v>85</v>
      </c>
      <c r="Q92" s="101">
        <v>-1</v>
      </c>
      <c r="R92" s="101" t="s">
        <v>20</v>
      </c>
    </row>
    <row r="93" spans="2:21">
      <c r="B93" s="41"/>
      <c r="C93" s="41" t="s">
        <v>181</v>
      </c>
      <c r="D93" s="41" t="s">
        <v>180</v>
      </c>
      <c r="E93" s="41" t="s">
        <v>10</v>
      </c>
      <c r="F93" s="41" t="s">
        <v>184</v>
      </c>
      <c r="G93" s="41" t="s">
        <v>11</v>
      </c>
      <c r="H93" s="41" t="s">
        <v>12</v>
      </c>
      <c r="I93" s="41" t="s">
        <v>47</v>
      </c>
      <c r="J93" s="41" t="s">
        <v>13</v>
      </c>
      <c r="K93" s="41" t="s">
        <v>14</v>
      </c>
      <c r="L93" s="41" t="s">
        <v>26</v>
      </c>
      <c r="M93" s="41" t="s">
        <v>28</v>
      </c>
      <c r="N93" s="41" t="s">
        <v>182</v>
      </c>
      <c r="O93" s="41" t="s">
        <v>8</v>
      </c>
      <c r="P93" s="41" t="s">
        <v>23</v>
      </c>
      <c r="Q93" s="41"/>
      <c r="R93" s="41" t="s">
        <v>30</v>
      </c>
    </row>
    <row r="94" spans="2:21">
      <c r="B94" s="101" t="s">
        <v>160</v>
      </c>
      <c r="C94" s="101" t="s">
        <v>190</v>
      </c>
      <c r="D94" s="102">
        <v>43159</v>
      </c>
      <c r="E94" s="102">
        <v>43189</v>
      </c>
      <c r="F94" s="101">
        <v>13015</v>
      </c>
      <c r="G94" s="101">
        <v>30</v>
      </c>
      <c r="H94" s="101">
        <v>8.2191780821917804E-2</v>
      </c>
      <c r="I94" s="101">
        <v>0</v>
      </c>
      <c r="J94" s="101">
        <v>0.30499999999999999</v>
      </c>
      <c r="K94" s="101">
        <v>-453.12291403983545</v>
      </c>
      <c r="L94" s="101">
        <v>180</v>
      </c>
      <c r="M94" s="101">
        <v>19.255068493150681</v>
      </c>
      <c r="N94" s="137">
        <v>472.37798253298615</v>
      </c>
      <c r="O94" s="101">
        <v>13015</v>
      </c>
      <c r="P94" s="101" t="s">
        <v>39</v>
      </c>
      <c r="Q94" s="101">
        <v>-1</v>
      </c>
      <c r="R94" s="101" t="s">
        <v>20</v>
      </c>
      <c r="U94" s="6">
        <v>30000</v>
      </c>
    </row>
    <row r="95" spans="2:21">
      <c r="B95" s="41"/>
      <c r="C95" s="41" t="s">
        <v>181</v>
      </c>
      <c r="D95" s="41" t="s">
        <v>180</v>
      </c>
      <c r="E95" s="41" t="s">
        <v>10</v>
      </c>
      <c r="F95" s="41" t="s">
        <v>184</v>
      </c>
      <c r="G95" s="41" t="s">
        <v>11</v>
      </c>
      <c r="H95" s="41" t="s">
        <v>12</v>
      </c>
      <c r="I95" s="41" t="s">
        <v>47</v>
      </c>
      <c r="J95" s="41" t="s">
        <v>13</v>
      </c>
      <c r="K95" s="41" t="s">
        <v>14</v>
      </c>
      <c r="L95" s="41" t="s">
        <v>26</v>
      </c>
      <c r="M95" s="41" t="s">
        <v>28</v>
      </c>
      <c r="N95" s="41" t="s">
        <v>182</v>
      </c>
      <c r="O95" s="41" t="s">
        <v>8</v>
      </c>
      <c r="P95" s="41" t="s">
        <v>23</v>
      </c>
      <c r="Q95" s="41"/>
      <c r="R95" s="41" t="s">
        <v>30</v>
      </c>
      <c r="U95" s="6">
        <v>472</v>
      </c>
    </row>
    <row r="96" spans="2:21">
      <c r="B96" s="101" t="s">
        <v>160</v>
      </c>
      <c r="C96" s="101" t="s">
        <v>211</v>
      </c>
      <c r="D96" s="102">
        <v>43161</v>
      </c>
      <c r="E96" s="102">
        <v>43192</v>
      </c>
      <c r="F96" s="101">
        <v>2171</v>
      </c>
      <c r="G96" s="101">
        <v>31</v>
      </c>
      <c r="H96" s="101">
        <v>8.4931506849315067E-2</v>
      </c>
      <c r="I96" s="101">
        <v>0</v>
      </c>
      <c r="J96" s="101">
        <v>0.155</v>
      </c>
      <c r="K96" s="101">
        <v>-39.053626997843594</v>
      </c>
      <c r="L96" s="101">
        <v>0</v>
      </c>
      <c r="M96" s="101">
        <v>0</v>
      </c>
      <c r="N96" s="137">
        <v>39.053626997843594</v>
      </c>
      <c r="O96" s="101">
        <v>2171</v>
      </c>
      <c r="P96" s="101" t="s">
        <v>39</v>
      </c>
      <c r="Q96" s="101">
        <v>-1</v>
      </c>
      <c r="R96" s="101" t="s">
        <v>20</v>
      </c>
      <c r="U96" s="6">
        <f>U94/U95</f>
        <v>63.559322033898304</v>
      </c>
    </row>
    <row r="97" spans="2:18">
      <c r="B97" s="41"/>
      <c r="C97" s="41" t="s">
        <v>181</v>
      </c>
      <c r="D97" s="41" t="s">
        <v>180</v>
      </c>
      <c r="E97" s="41" t="s">
        <v>10</v>
      </c>
      <c r="F97" s="41" t="s">
        <v>184</v>
      </c>
      <c r="G97" s="41" t="s">
        <v>11</v>
      </c>
      <c r="H97" s="41" t="s">
        <v>12</v>
      </c>
      <c r="I97" s="41" t="s">
        <v>47</v>
      </c>
      <c r="J97" s="41" t="s">
        <v>13</v>
      </c>
      <c r="K97" s="41" t="s">
        <v>14</v>
      </c>
      <c r="L97" s="41" t="s">
        <v>26</v>
      </c>
      <c r="M97" s="41" t="s">
        <v>28</v>
      </c>
      <c r="N97" s="41" t="s">
        <v>182</v>
      </c>
      <c r="O97" s="41" t="s">
        <v>8</v>
      </c>
      <c r="P97" s="41" t="s">
        <v>23</v>
      </c>
      <c r="Q97" s="41"/>
      <c r="R97" s="41" t="s">
        <v>30</v>
      </c>
    </row>
    <row r="98" spans="2:18">
      <c r="B98" s="101" t="s">
        <v>160</v>
      </c>
      <c r="C98" s="101" t="s">
        <v>214</v>
      </c>
      <c r="D98" s="102">
        <v>43166</v>
      </c>
      <c r="E98" s="102">
        <v>43238</v>
      </c>
      <c r="F98" s="101">
        <v>22000</v>
      </c>
      <c r="G98" s="101">
        <v>72</v>
      </c>
      <c r="H98" s="101">
        <v>0.19726027397260273</v>
      </c>
      <c r="I98" s="101">
        <v>0</v>
      </c>
      <c r="J98" s="101">
        <v>0.23</v>
      </c>
      <c r="K98" s="101">
        <v>-94.290778450317248</v>
      </c>
      <c r="L98" s="101">
        <v>0</v>
      </c>
      <c r="M98" s="101">
        <v>0</v>
      </c>
      <c r="N98" s="137">
        <v>94.290778450317248</v>
      </c>
      <c r="O98" s="101">
        <v>25300</v>
      </c>
      <c r="P98" s="101" t="s">
        <v>85</v>
      </c>
      <c r="Q98" s="101">
        <v>-1</v>
      </c>
      <c r="R98" s="101" t="s">
        <v>20</v>
      </c>
    </row>
    <row r="99" spans="2:18">
      <c r="B99" s="41"/>
      <c r="C99" s="41" t="s">
        <v>181</v>
      </c>
      <c r="D99" s="41" t="s">
        <v>180</v>
      </c>
      <c r="E99" s="41" t="s">
        <v>10</v>
      </c>
      <c r="F99" s="41" t="s">
        <v>184</v>
      </c>
      <c r="G99" s="41" t="s">
        <v>11</v>
      </c>
      <c r="H99" s="41" t="s">
        <v>12</v>
      </c>
      <c r="I99" s="41" t="s">
        <v>47</v>
      </c>
      <c r="J99" s="41" t="s">
        <v>13</v>
      </c>
      <c r="K99" s="41" t="s">
        <v>14</v>
      </c>
      <c r="L99" s="41" t="s">
        <v>26</v>
      </c>
      <c r="M99" s="41" t="s">
        <v>28</v>
      </c>
      <c r="N99" s="41" t="s">
        <v>182</v>
      </c>
      <c r="O99" s="41" t="s">
        <v>8</v>
      </c>
      <c r="P99" s="41" t="s">
        <v>23</v>
      </c>
      <c r="Q99" s="41"/>
      <c r="R99" s="41" t="s">
        <v>30</v>
      </c>
    </row>
    <row r="100" spans="2:18">
      <c r="B100" s="149" t="s">
        <v>160</v>
      </c>
      <c r="C100" s="149" t="s">
        <v>185</v>
      </c>
      <c r="D100" s="150">
        <v>43167</v>
      </c>
      <c r="E100" s="150">
        <v>43219</v>
      </c>
      <c r="F100" s="149">
        <v>3750</v>
      </c>
      <c r="G100" s="149">
        <v>52</v>
      </c>
      <c r="H100" s="149">
        <v>0.13150684931506848</v>
      </c>
      <c r="I100" s="149">
        <v>0</v>
      </c>
      <c r="J100" s="149">
        <v>0.14499999999999999</v>
      </c>
      <c r="K100" s="149">
        <v>80.418743312965717</v>
      </c>
      <c r="L100" s="149">
        <v>0</v>
      </c>
      <c r="M100" s="149">
        <v>0</v>
      </c>
      <c r="N100" s="151">
        <v>80.418743312965717</v>
      </c>
      <c r="O100" s="149">
        <v>3746</v>
      </c>
      <c r="P100" s="149" t="s">
        <v>85</v>
      </c>
      <c r="Q100" s="149">
        <v>1</v>
      </c>
      <c r="R100" s="149" t="s">
        <v>151</v>
      </c>
    </row>
    <row r="101" spans="2:18">
      <c r="B101" s="152" t="s">
        <v>160</v>
      </c>
      <c r="C101" s="152" t="s">
        <v>185</v>
      </c>
      <c r="D101" s="153">
        <v>43167</v>
      </c>
      <c r="E101" s="153">
        <v>43219</v>
      </c>
      <c r="F101" s="152">
        <v>3700</v>
      </c>
      <c r="G101" s="152">
        <v>52</v>
      </c>
      <c r="H101" s="152">
        <v>0.13150684931506848</v>
      </c>
      <c r="I101" s="152">
        <v>0</v>
      </c>
      <c r="J101" s="152">
        <v>0.14499999999999999</v>
      </c>
      <c r="K101" s="152">
        <v>57.085102614281595</v>
      </c>
      <c r="L101" s="152">
        <v>0</v>
      </c>
      <c r="M101" s="152">
        <v>0</v>
      </c>
      <c r="N101" s="154">
        <v>57.085102614281595</v>
      </c>
      <c r="O101" s="152">
        <v>3746</v>
      </c>
      <c r="P101" s="152" t="s">
        <v>85</v>
      </c>
      <c r="Q101" s="152">
        <v>1</v>
      </c>
      <c r="R101" s="152" t="s">
        <v>151</v>
      </c>
    </row>
    <row r="102" spans="2:18">
      <c r="B102" s="152" t="s">
        <v>160</v>
      </c>
      <c r="C102" s="152" t="s">
        <v>185</v>
      </c>
      <c r="D102" s="153">
        <v>43167</v>
      </c>
      <c r="E102" s="153">
        <v>43219</v>
      </c>
      <c r="F102" s="152">
        <v>3650</v>
      </c>
      <c r="G102" s="152">
        <v>52</v>
      </c>
      <c r="H102" s="152">
        <v>0.13150684931506848</v>
      </c>
      <c r="I102" s="152">
        <v>0</v>
      </c>
      <c r="J102" s="152">
        <v>0.14499999999999999</v>
      </c>
      <c r="K102" s="152">
        <v>38.727281435432815</v>
      </c>
      <c r="L102" s="152">
        <v>0</v>
      </c>
      <c r="M102" s="152">
        <v>0</v>
      </c>
      <c r="N102" s="154">
        <v>38</v>
      </c>
      <c r="O102" s="152">
        <v>3746</v>
      </c>
      <c r="P102" s="152" t="s">
        <v>85</v>
      </c>
      <c r="Q102" s="152">
        <v>1</v>
      </c>
      <c r="R102" s="152" t="s">
        <v>151</v>
      </c>
    </row>
    <row r="103" spans="2:18">
      <c r="B103" s="155" t="s">
        <v>160</v>
      </c>
      <c r="C103" s="155" t="s">
        <v>185</v>
      </c>
      <c r="D103" s="156">
        <v>43167</v>
      </c>
      <c r="E103" s="156">
        <v>43219</v>
      </c>
      <c r="F103" s="155">
        <v>3600</v>
      </c>
      <c r="G103" s="155">
        <v>52</v>
      </c>
      <c r="H103" s="155">
        <v>0.13150684931506848</v>
      </c>
      <c r="I103" s="155">
        <v>0</v>
      </c>
      <c r="J103" s="155">
        <v>0.14499999999999999</v>
      </c>
      <c r="K103" s="155">
        <v>24.993780231175947</v>
      </c>
      <c r="L103" s="155">
        <v>0</v>
      </c>
      <c r="M103" s="155">
        <v>0</v>
      </c>
      <c r="N103" s="157">
        <v>24.993780231175947</v>
      </c>
      <c r="O103" s="155">
        <v>3746</v>
      </c>
      <c r="P103" s="155" t="s">
        <v>85</v>
      </c>
      <c r="Q103" s="155">
        <v>1</v>
      </c>
      <c r="R103" s="155" t="s">
        <v>151</v>
      </c>
    </row>
    <row r="104" spans="2:18">
      <c r="B104" s="101" t="s">
        <v>160</v>
      </c>
      <c r="C104" s="101" t="s">
        <v>185</v>
      </c>
      <c r="D104" s="102">
        <v>43167</v>
      </c>
      <c r="E104" s="102">
        <v>43230</v>
      </c>
      <c r="F104" s="101">
        <v>3750</v>
      </c>
      <c r="G104" s="101">
        <v>63</v>
      </c>
      <c r="H104" s="101">
        <v>0.16164383561643836</v>
      </c>
      <c r="I104" s="101">
        <v>0</v>
      </c>
      <c r="J104" s="101">
        <v>0.14499999999999999</v>
      </c>
      <c r="K104" s="101">
        <v>88.88247560718446</v>
      </c>
      <c r="L104" s="101">
        <v>0</v>
      </c>
      <c r="M104" s="101">
        <v>0</v>
      </c>
      <c r="N104" s="138">
        <v>88</v>
      </c>
      <c r="O104" s="101">
        <v>3746</v>
      </c>
      <c r="P104" s="101" t="s">
        <v>85</v>
      </c>
      <c r="Q104" s="101">
        <v>1</v>
      </c>
      <c r="R104" s="101" t="s">
        <v>151</v>
      </c>
    </row>
    <row r="105" spans="2:18">
      <c r="B105" s="101" t="s">
        <v>160</v>
      </c>
      <c r="C105" s="101" t="s">
        <v>185</v>
      </c>
      <c r="D105" s="102">
        <v>43167</v>
      </c>
      <c r="E105" s="102">
        <v>43230</v>
      </c>
      <c r="F105" s="101">
        <v>3700</v>
      </c>
      <c r="G105" s="101">
        <v>63</v>
      </c>
      <c r="H105" s="101">
        <v>0.16164383561643836</v>
      </c>
      <c r="I105" s="101">
        <v>0</v>
      </c>
      <c r="J105" s="101">
        <v>0.14499999999999999</v>
      </c>
      <c r="K105" s="101">
        <v>65.299551179712807</v>
      </c>
      <c r="L105" s="101">
        <v>0</v>
      </c>
      <c r="M105" s="101">
        <v>0</v>
      </c>
      <c r="N105" s="138">
        <v>65.299551179712807</v>
      </c>
      <c r="O105" s="101">
        <v>3746</v>
      </c>
      <c r="P105" s="101" t="s">
        <v>85</v>
      </c>
      <c r="Q105" s="101">
        <v>1</v>
      </c>
      <c r="R105" s="101" t="s">
        <v>151</v>
      </c>
    </row>
    <row r="106" spans="2:18">
      <c r="B106" s="101" t="s">
        <v>160</v>
      </c>
      <c r="C106" s="101" t="s">
        <v>185</v>
      </c>
      <c r="D106" s="102">
        <v>43167</v>
      </c>
      <c r="E106" s="102">
        <v>43230</v>
      </c>
      <c r="F106" s="101">
        <v>3650</v>
      </c>
      <c r="G106" s="101">
        <v>63</v>
      </c>
      <c r="H106" s="101">
        <v>0.16164383561643836</v>
      </c>
      <c r="I106" s="101">
        <v>0</v>
      </c>
      <c r="J106" s="101">
        <v>0.14499999999999999</v>
      </c>
      <c r="K106" s="101">
        <v>46.229139212468681</v>
      </c>
      <c r="L106" s="101">
        <v>0</v>
      </c>
      <c r="M106" s="101">
        <v>0</v>
      </c>
      <c r="N106" s="138">
        <v>46.229139212468681</v>
      </c>
      <c r="O106" s="101">
        <v>3746</v>
      </c>
      <c r="P106" s="101" t="s">
        <v>85</v>
      </c>
      <c r="Q106" s="101">
        <v>1</v>
      </c>
      <c r="R106" s="101" t="s">
        <v>151</v>
      </c>
    </row>
    <row r="107" spans="2:18">
      <c r="B107" s="101" t="s">
        <v>160</v>
      </c>
      <c r="C107" s="101" t="s">
        <v>185</v>
      </c>
      <c r="D107" s="102">
        <v>43167</v>
      </c>
      <c r="E107" s="102">
        <v>43230</v>
      </c>
      <c r="F107" s="101">
        <v>3600</v>
      </c>
      <c r="G107" s="101">
        <v>63</v>
      </c>
      <c r="H107" s="101">
        <v>0.16164383561643836</v>
      </c>
      <c r="I107" s="101">
        <v>0</v>
      </c>
      <c r="J107" s="101">
        <v>0.14499999999999999</v>
      </c>
      <c r="K107" s="101">
        <v>31.425662768387383</v>
      </c>
      <c r="L107" s="101">
        <v>0</v>
      </c>
      <c r="M107" s="101">
        <v>0</v>
      </c>
      <c r="N107" s="138">
        <v>31.425662768387383</v>
      </c>
      <c r="O107" s="101">
        <v>3746</v>
      </c>
      <c r="P107" s="101" t="s">
        <v>85</v>
      </c>
      <c r="Q107" s="101">
        <v>1</v>
      </c>
      <c r="R107" s="101" t="s">
        <v>151</v>
      </c>
    </row>
    <row r="108" spans="2:18">
      <c r="B108" s="41"/>
      <c r="C108" s="41" t="s">
        <v>181</v>
      </c>
      <c r="D108" s="41" t="s">
        <v>180</v>
      </c>
      <c r="E108" s="41" t="s">
        <v>10</v>
      </c>
      <c r="F108" s="41" t="s">
        <v>184</v>
      </c>
      <c r="G108" s="41" t="s">
        <v>11</v>
      </c>
      <c r="H108" s="41" t="s">
        <v>12</v>
      </c>
      <c r="I108" s="41" t="s">
        <v>47</v>
      </c>
      <c r="J108" s="41" t="s">
        <v>13</v>
      </c>
      <c r="K108" s="41" t="s">
        <v>14</v>
      </c>
      <c r="L108" s="41" t="s">
        <v>26</v>
      </c>
      <c r="M108" s="41" t="s">
        <v>28</v>
      </c>
      <c r="N108" s="41" t="s">
        <v>182</v>
      </c>
      <c r="O108" s="41" t="s">
        <v>8</v>
      </c>
      <c r="P108" s="41" t="s">
        <v>23</v>
      </c>
      <c r="Q108" s="41"/>
      <c r="R108" s="41" t="s">
        <v>30</v>
      </c>
    </row>
    <row r="109" spans="2:18">
      <c r="B109" s="149" t="s">
        <v>160</v>
      </c>
      <c r="C109" s="149" t="s">
        <v>185</v>
      </c>
      <c r="D109" s="150">
        <v>43168</v>
      </c>
      <c r="E109" s="150">
        <v>43219</v>
      </c>
      <c r="F109" s="149">
        <v>3750</v>
      </c>
      <c r="G109" s="149">
        <v>51</v>
      </c>
      <c r="H109" s="149">
        <v>0.13424657534246576</v>
      </c>
      <c r="I109" s="149">
        <v>0</v>
      </c>
      <c r="J109" s="149">
        <v>0.14249999999999999</v>
      </c>
      <c r="K109" s="149">
        <v>102.50502019571513</v>
      </c>
      <c r="L109" s="149">
        <v>0</v>
      </c>
      <c r="M109" s="149">
        <v>0</v>
      </c>
      <c r="N109" s="151">
        <v>102.50502019571513</v>
      </c>
      <c r="O109" s="149">
        <v>3704</v>
      </c>
      <c r="P109" s="149" t="s">
        <v>85</v>
      </c>
      <c r="Q109" s="149">
        <v>1</v>
      </c>
      <c r="R109" s="149" t="s">
        <v>151</v>
      </c>
    </row>
    <row r="110" spans="2:18">
      <c r="B110" s="152" t="s">
        <v>160</v>
      </c>
      <c r="C110" s="152" t="s">
        <v>185</v>
      </c>
      <c r="D110" s="153">
        <v>43168</v>
      </c>
      <c r="E110" s="153">
        <v>43219</v>
      </c>
      <c r="F110" s="152">
        <v>3700</v>
      </c>
      <c r="G110" s="152">
        <v>51</v>
      </c>
      <c r="H110" s="152">
        <v>0.13424657534246576</v>
      </c>
      <c r="I110" s="152">
        <v>0</v>
      </c>
      <c r="J110" s="152">
        <v>0.14249999999999999</v>
      </c>
      <c r="K110" s="152">
        <v>74.916730781821343</v>
      </c>
      <c r="L110" s="152">
        <v>0</v>
      </c>
      <c r="M110" s="152">
        <v>0</v>
      </c>
      <c r="N110" s="154">
        <v>74.916730781821343</v>
      </c>
      <c r="O110" s="152">
        <v>3704</v>
      </c>
      <c r="P110" s="152" t="s">
        <v>85</v>
      </c>
      <c r="Q110" s="152">
        <v>1</v>
      </c>
      <c r="R110" s="152" t="s">
        <v>151</v>
      </c>
    </row>
    <row r="111" spans="2:18">
      <c r="B111" s="152" t="s">
        <v>160</v>
      </c>
      <c r="C111" s="152" t="s">
        <v>185</v>
      </c>
      <c r="D111" s="153">
        <v>43168</v>
      </c>
      <c r="E111" s="153">
        <v>43219</v>
      </c>
      <c r="F111" s="152">
        <v>3650</v>
      </c>
      <c r="G111" s="152">
        <v>51</v>
      </c>
      <c r="H111" s="152">
        <v>0.13424657534246576</v>
      </c>
      <c r="I111" s="152">
        <v>0</v>
      </c>
      <c r="J111" s="152">
        <v>0.14249999999999999</v>
      </c>
      <c r="K111" s="152">
        <v>52.448906010833753</v>
      </c>
      <c r="L111" s="152">
        <v>0</v>
      </c>
      <c r="M111" s="152">
        <v>0</v>
      </c>
      <c r="N111" s="154">
        <v>52.448906010833753</v>
      </c>
      <c r="O111" s="152">
        <v>3704</v>
      </c>
      <c r="P111" s="152" t="s">
        <v>85</v>
      </c>
      <c r="Q111" s="152">
        <v>1</v>
      </c>
      <c r="R111" s="152" t="s">
        <v>151</v>
      </c>
    </row>
    <row r="112" spans="2:18">
      <c r="B112" s="155" t="s">
        <v>160</v>
      </c>
      <c r="C112" s="155" t="s">
        <v>185</v>
      </c>
      <c r="D112" s="156">
        <v>43168</v>
      </c>
      <c r="E112" s="156">
        <v>43219</v>
      </c>
      <c r="F112" s="155">
        <v>3600</v>
      </c>
      <c r="G112" s="155">
        <v>51</v>
      </c>
      <c r="H112" s="155">
        <v>0.13424657534246576</v>
      </c>
      <c r="I112" s="155">
        <v>0</v>
      </c>
      <c r="J112" s="155">
        <v>0.14249999999999999</v>
      </c>
      <c r="K112" s="155">
        <v>35.005433027865365</v>
      </c>
      <c r="L112" s="155">
        <v>0</v>
      </c>
      <c r="M112" s="155">
        <v>0</v>
      </c>
      <c r="N112" s="157">
        <v>35.005433027865365</v>
      </c>
      <c r="O112" s="155">
        <v>3704</v>
      </c>
      <c r="P112" s="155" t="s">
        <v>85</v>
      </c>
      <c r="Q112" s="155">
        <v>1</v>
      </c>
      <c r="R112" s="155" t="s">
        <v>151</v>
      </c>
    </row>
    <row r="113" spans="2:18">
      <c r="B113" s="101" t="s">
        <v>160</v>
      </c>
      <c r="C113" s="101" t="s">
        <v>185</v>
      </c>
      <c r="D113" s="102">
        <v>43168</v>
      </c>
      <c r="E113" s="102">
        <v>43230</v>
      </c>
      <c r="F113" s="101">
        <v>3750</v>
      </c>
      <c r="G113" s="101">
        <v>62</v>
      </c>
      <c r="H113" s="101">
        <v>0.15890410958904111</v>
      </c>
      <c r="I113" s="101">
        <v>0</v>
      </c>
      <c r="J113" s="101">
        <v>0.14249999999999999</v>
      </c>
      <c r="K113" s="101">
        <v>109.08664996121979</v>
      </c>
      <c r="L113" s="101">
        <v>0</v>
      </c>
      <c r="M113" s="101">
        <v>0</v>
      </c>
      <c r="N113" s="138">
        <v>109.08664996121979</v>
      </c>
      <c r="O113" s="101">
        <v>3704</v>
      </c>
      <c r="P113" s="101" t="s">
        <v>85</v>
      </c>
      <c r="Q113" s="101">
        <v>1</v>
      </c>
      <c r="R113" s="101" t="s">
        <v>151</v>
      </c>
    </row>
    <row r="114" spans="2:18">
      <c r="B114" s="101" t="s">
        <v>160</v>
      </c>
      <c r="C114" s="101" t="s">
        <v>185</v>
      </c>
      <c r="D114" s="102">
        <v>43168</v>
      </c>
      <c r="E114" s="102">
        <v>43230</v>
      </c>
      <c r="F114" s="101">
        <v>3700</v>
      </c>
      <c r="G114" s="101">
        <v>62</v>
      </c>
      <c r="H114" s="101">
        <v>0.15890410958904111</v>
      </c>
      <c r="I114" s="101">
        <v>0</v>
      </c>
      <c r="J114" s="101">
        <v>0.14249999999999999</v>
      </c>
      <c r="K114" s="101">
        <v>81.637643545691617</v>
      </c>
      <c r="L114" s="101">
        <v>0</v>
      </c>
      <c r="M114" s="101">
        <v>0</v>
      </c>
      <c r="N114" s="138">
        <v>81.637643545691617</v>
      </c>
      <c r="O114" s="101">
        <v>3704</v>
      </c>
      <c r="P114" s="101" t="s">
        <v>85</v>
      </c>
      <c r="Q114" s="101">
        <v>1</v>
      </c>
      <c r="R114" s="101" t="s">
        <v>151</v>
      </c>
    </row>
    <row r="115" spans="2:18">
      <c r="B115" s="101" t="s">
        <v>160</v>
      </c>
      <c r="C115" s="101" t="s">
        <v>185</v>
      </c>
      <c r="D115" s="102">
        <v>43168</v>
      </c>
      <c r="E115" s="102">
        <v>43230</v>
      </c>
      <c r="F115" s="101">
        <v>3650</v>
      </c>
      <c r="G115" s="101">
        <v>62</v>
      </c>
      <c r="H115" s="101">
        <v>0.15890410958904111</v>
      </c>
      <c r="I115" s="101">
        <v>0</v>
      </c>
      <c r="J115" s="101">
        <v>0.14249999999999999</v>
      </c>
      <c r="K115" s="101">
        <v>58.896690498004091</v>
      </c>
      <c r="L115" s="101">
        <v>0</v>
      </c>
      <c r="M115" s="101">
        <v>0</v>
      </c>
      <c r="N115" s="138">
        <v>58.896690498004091</v>
      </c>
      <c r="O115" s="101">
        <v>3704</v>
      </c>
      <c r="P115" s="101" t="s">
        <v>85</v>
      </c>
      <c r="Q115" s="101">
        <v>1</v>
      </c>
      <c r="R115" s="101" t="s">
        <v>151</v>
      </c>
    </row>
    <row r="116" spans="2:18">
      <c r="B116" s="101" t="s">
        <v>160</v>
      </c>
      <c r="C116" s="101" t="s">
        <v>185</v>
      </c>
      <c r="D116" s="102">
        <v>43168</v>
      </c>
      <c r="E116" s="102">
        <v>43230</v>
      </c>
      <c r="F116" s="101">
        <v>3600</v>
      </c>
      <c r="G116" s="101">
        <v>62</v>
      </c>
      <c r="H116" s="101">
        <v>0.15890410958904111</v>
      </c>
      <c r="I116" s="101">
        <v>0</v>
      </c>
      <c r="J116" s="101">
        <v>0.14249999999999999</v>
      </c>
      <c r="K116" s="101">
        <v>40.803445083421593</v>
      </c>
      <c r="L116" s="101">
        <v>0</v>
      </c>
      <c r="M116" s="101">
        <v>0</v>
      </c>
      <c r="N116" s="138">
        <v>40.803445083421593</v>
      </c>
      <c r="O116" s="101">
        <v>3704</v>
      </c>
      <c r="P116" s="101" t="s">
        <v>85</v>
      </c>
      <c r="Q116" s="101">
        <v>1</v>
      </c>
      <c r="R116" s="101" t="s">
        <v>151</v>
      </c>
    </row>
    <row r="117" spans="2:18">
      <c r="B117" s="41"/>
      <c r="C117" s="41" t="s">
        <v>181</v>
      </c>
      <c r="D117" s="41" t="s">
        <v>180</v>
      </c>
      <c r="E117" s="41" t="s">
        <v>10</v>
      </c>
      <c r="F117" s="41" t="s">
        <v>184</v>
      </c>
      <c r="G117" s="41" t="s">
        <v>11</v>
      </c>
      <c r="H117" s="41" t="s">
        <v>12</v>
      </c>
      <c r="I117" s="41" t="s">
        <v>47</v>
      </c>
      <c r="J117" s="41" t="s">
        <v>13</v>
      </c>
      <c r="K117" s="41" t="s">
        <v>14</v>
      </c>
      <c r="L117" s="41" t="s">
        <v>26</v>
      </c>
      <c r="M117" s="41" t="s">
        <v>28</v>
      </c>
      <c r="N117" s="41" t="s">
        <v>182</v>
      </c>
      <c r="O117" s="41" t="s">
        <v>8</v>
      </c>
      <c r="P117" s="41" t="s">
        <v>23</v>
      </c>
      <c r="Q117" s="41"/>
      <c r="R117" s="41" t="s">
        <v>30</v>
      </c>
    </row>
    <row r="118" spans="2:18">
      <c r="B118" s="149" t="s">
        <v>160</v>
      </c>
      <c r="C118" s="149" t="s">
        <v>185</v>
      </c>
      <c r="D118" s="150">
        <v>43171</v>
      </c>
      <c r="E118" s="150">
        <v>43201</v>
      </c>
      <c r="F118" s="149">
        <v>3900</v>
      </c>
      <c r="G118" s="149">
        <v>30</v>
      </c>
      <c r="H118" s="149">
        <v>8.2191780821917804E-2</v>
      </c>
      <c r="I118" s="149">
        <v>0</v>
      </c>
      <c r="J118" s="149">
        <v>0.18</v>
      </c>
      <c r="K118" s="149">
        <v>6.840041899780033</v>
      </c>
      <c r="L118" s="149">
        <v>0</v>
      </c>
      <c r="M118" s="149">
        <v>0</v>
      </c>
      <c r="N118" s="185">
        <v>6.840041899780033</v>
      </c>
      <c r="O118" s="149">
        <v>3625</v>
      </c>
      <c r="P118" s="149" t="s">
        <v>39</v>
      </c>
      <c r="Q118" s="149">
        <v>1</v>
      </c>
      <c r="R118" s="149" t="s">
        <v>151</v>
      </c>
    </row>
    <row r="119" spans="2:18">
      <c r="B119" s="155" t="s">
        <v>160</v>
      </c>
      <c r="C119" s="155" t="s">
        <v>185</v>
      </c>
      <c r="D119" s="156">
        <v>43171</v>
      </c>
      <c r="E119" s="156">
        <v>43261</v>
      </c>
      <c r="F119" s="155">
        <v>3900</v>
      </c>
      <c r="G119" s="155">
        <v>90</v>
      </c>
      <c r="H119" s="155">
        <v>0.24657534246575341</v>
      </c>
      <c r="I119" s="155">
        <v>0</v>
      </c>
      <c r="J119" s="155">
        <v>0.18</v>
      </c>
      <c r="K119" s="155">
        <v>38.910538414541861</v>
      </c>
      <c r="L119" s="155">
        <v>0</v>
      </c>
      <c r="M119" s="155">
        <v>0</v>
      </c>
      <c r="N119" s="187">
        <v>38.910538414541861</v>
      </c>
      <c r="O119" s="155">
        <v>3625</v>
      </c>
      <c r="P119" s="155" t="s">
        <v>39</v>
      </c>
      <c r="Q119" s="155">
        <v>1</v>
      </c>
      <c r="R119" s="155" t="s">
        <v>151</v>
      </c>
    </row>
    <row r="120" spans="2:18">
      <c r="B120" s="149" t="s">
        <v>160</v>
      </c>
      <c r="C120" s="149" t="s">
        <v>185</v>
      </c>
      <c r="D120" s="150">
        <v>43171</v>
      </c>
      <c r="E120" s="150">
        <v>43201</v>
      </c>
      <c r="F120" s="149">
        <v>3950</v>
      </c>
      <c r="G120" s="149">
        <v>30</v>
      </c>
      <c r="H120" s="149">
        <v>8.2191780821917804E-2</v>
      </c>
      <c r="I120" s="149">
        <v>0</v>
      </c>
      <c r="J120" s="149">
        <v>0.18</v>
      </c>
      <c r="K120" s="149">
        <v>3.89068200636288</v>
      </c>
      <c r="L120" s="149">
        <v>0</v>
      </c>
      <c r="M120" s="149">
        <v>0</v>
      </c>
      <c r="N120" s="185">
        <v>3.89068200636288</v>
      </c>
      <c r="O120" s="149">
        <v>3625</v>
      </c>
      <c r="P120" s="149" t="s">
        <v>39</v>
      </c>
      <c r="Q120" s="149">
        <v>1</v>
      </c>
      <c r="R120" s="149" t="s">
        <v>151</v>
      </c>
    </row>
    <row r="121" spans="2:18">
      <c r="B121" s="155" t="s">
        <v>160</v>
      </c>
      <c r="C121" s="155" t="s">
        <v>185</v>
      </c>
      <c r="D121" s="156">
        <v>43171</v>
      </c>
      <c r="E121" s="156">
        <v>43261</v>
      </c>
      <c r="F121" s="155">
        <v>3950</v>
      </c>
      <c r="G121" s="155">
        <v>90</v>
      </c>
      <c r="H121" s="155">
        <v>0.24657534246575341</v>
      </c>
      <c r="I121" s="155">
        <v>0</v>
      </c>
      <c r="J121" s="155">
        <v>0.18</v>
      </c>
      <c r="K121" s="155">
        <v>30.188404926729049</v>
      </c>
      <c r="L121" s="155">
        <v>0</v>
      </c>
      <c r="M121" s="155">
        <v>0</v>
      </c>
      <c r="N121" s="187">
        <v>30.188404926729049</v>
      </c>
      <c r="O121" s="155">
        <v>3625</v>
      </c>
      <c r="P121" s="155" t="s">
        <v>39</v>
      </c>
      <c r="Q121" s="155">
        <v>1</v>
      </c>
      <c r="R121" s="155" t="s">
        <v>151</v>
      </c>
    </row>
    <row r="122" spans="2:18">
      <c r="B122" s="149" t="s">
        <v>160</v>
      </c>
      <c r="C122" s="149" t="s">
        <v>185</v>
      </c>
      <c r="D122" s="150">
        <v>43171</v>
      </c>
      <c r="E122" s="150">
        <v>43201</v>
      </c>
      <c r="F122" s="149">
        <v>4000</v>
      </c>
      <c r="G122" s="149">
        <v>30</v>
      </c>
      <c r="H122" s="149">
        <v>8.2191780821917804E-2</v>
      </c>
      <c r="I122" s="149">
        <v>0</v>
      </c>
      <c r="J122" s="149">
        <v>0.18</v>
      </c>
      <c r="K122" s="149">
        <v>2.1257087302874709</v>
      </c>
      <c r="L122" s="149">
        <v>0</v>
      </c>
      <c r="M122" s="149">
        <v>0</v>
      </c>
      <c r="N122" s="185">
        <v>2.1257087302874709</v>
      </c>
      <c r="O122" s="149">
        <v>3625</v>
      </c>
      <c r="P122" s="149" t="s">
        <v>39</v>
      </c>
      <c r="Q122" s="149">
        <v>1</v>
      </c>
      <c r="R122" s="149" t="s">
        <v>151</v>
      </c>
    </row>
    <row r="123" spans="2:18">
      <c r="B123" s="155" t="s">
        <v>160</v>
      </c>
      <c r="C123" s="155" t="s">
        <v>185</v>
      </c>
      <c r="D123" s="156">
        <v>43171</v>
      </c>
      <c r="E123" s="156">
        <v>43261</v>
      </c>
      <c r="F123" s="155">
        <v>4000</v>
      </c>
      <c r="G123" s="155">
        <v>90</v>
      </c>
      <c r="H123" s="155">
        <v>0.24657534246575341</v>
      </c>
      <c r="I123" s="155">
        <v>0</v>
      </c>
      <c r="J123" s="155">
        <v>0.18</v>
      </c>
      <c r="K123" s="155">
        <v>23.163024869373828</v>
      </c>
      <c r="L123" s="155">
        <v>0</v>
      </c>
      <c r="M123" s="155">
        <v>0</v>
      </c>
      <c r="N123" s="187">
        <v>23.163024869373828</v>
      </c>
      <c r="O123" s="155">
        <v>3625</v>
      </c>
      <c r="P123" s="155" t="s">
        <v>39</v>
      </c>
      <c r="Q123" s="155">
        <v>1</v>
      </c>
      <c r="R123" s="155" t="s">
        <v>151</v>
      </c>
    </row>
    <row r="124" spans="2:18">
      <c r="B124" s="41"/>
      <c r="C124" s="41" t="s">
        <v>181</v>
      </c>
      <c r="D124" s="41" t="s">
        <v>180</v>
      </c>
      <c r="E124" s="41" t="s">
        <v>10</v>
      </c>
      <c r="F124" s="41" t="s">
        <v>184</v>
      </c>
      <c r="G124" s="41" t="s">
        <v>11</v>
      </c>
      <c r="H124" s="41" t="s">
        <v>12</v>
      </c>
      <c r="I124" s="41" t="s">
        <v>47</v>
      </c>
      <c r="J124" s="41" t="s">
        <v>13</v>
      </c>
      <c r="K124" s="41" t="s">
        <v>14</v>
      </c>
      <c r="L124" s="41" t="s">
        <v>26</v>
      </c>
      <c r="M124" s="41" t="s">
        <v>28</v>
      </c>
      <c r="N124" s="41" t="s">
        <v>182</v>
      </c>
      <c r="O124" s="41" t="s">
        <v>8</v>
      </c>
      <c r="P124" s="41" t="s">
        <v>23</v>
      </c>
      <c r="Q124" s="41"/>
      <c r="R124" s="41" t="s">
        <v>30</v>
      </c>
    </row>
    <row r="125" spans="2:18">
      <c r="B125" s="152" t="s">
        <v>160</v>
      </c>
      <c r="C125" s="152" t="s">
        <v>220</v>
      </c>
      <c r="D125" s="153">
        <v>43171</v>
      </c>
      <c r="E125" s="153">
        <v>43201</v>
      </c>
      <c r="F125" s="152">
        <v>450</v>
      </c>
      <c r="G125" s="152">
        <v>30</v>
      </c>
      <c r="H125" s="152">
        <v>8.2191780821917804E-2</v>
      </c>
      <c r="I125" s="152">
        <v>0</v>
      </c>
      <c r="J125" s="152">
        <v>0.25</v>
      </c>
      <c r="K125" s="152">
        <v>1.3996336695490186</v>
      </c>
      <c r="L125" s="152">
        <v>0</v>
      </c>
      <c r="M125" s="152">
        <v>0</v>
      </c>
      <c r="N125" s="186">
        <v>1.3996336695490186</v>
      </c>
      <c r="O125" s="152">
        <v>495.5</v>
      </c>
      <c r="P125" s="152" t="s">
        <v>85</v>
      </c>
      <c r="Q125" s="152">
        <v>1</v>
      </c>
      <c r="R125" s="152" t="s">
        <v>151</v>
      </c>
    </row>
    <row r="126" spans="2:18">
      <c r="B126" s="152" t="s">
        <v>160</v>
      </c>
      <c r="C126" s="152" t="s">
        <v>220</v>
      </c>
      <c r="D126" s="153">
        <v>43171</v>
      </c>
      <c r="E126" s="153">
        <v>43201</v>
      </c>
      <c r="F126" s="152">
        <v>460</v>
      </c>
      <c r="G126" s="152">
        <v>30</v>
      </c>
      <c r="H126" s="152">
        <v>8.2191780821917804E-2</v>
      </c>
      <c r="I126" s="152">
        <v>0</v>
      </c>
      <c r="J126" s="152">
        <v>0.25</v>
      </c>
      <c r="K126" s="152">
        <v>2.6490086171861691</v>
      </c>
      <c r="L126" s="152">
        <v>0</v>
      </c>
      <c r="M126" s="152">
        <v>0</v>
      </c>
      <c r="N126" s="186">
        <v>2.6490086171861691</v>
      </c>
      <c r="O126" s="152">
        <v>495.5</v>
      </c>
      <c r="P126" s="152" t="s">
        <v>85</v>
      </c>
      <c r="Q126" s="152">
        <v>1</v>
      </c>
      <c r="R126" s="152" t="s">
        <v>151</v>
      </c>
    </row>
    <row r="127" spans="2:18">
      <c r="B127" s="152" t="s">
        <v>160</v>
      </c>
      <c r="C127" s="152" t="s">
        <v>220</v>
      </c>
      <c r="D127" s="153">
        <v>43171</v>
      </c>
      <c r="E127" s="153">
        <v>43201</v>
      </c>
      <c r="F127" s="152">
        <v>470</v>
      </c>
      <c r="G127" s="152">
        <v>30</v>
      </c>
      <c r="H127" s="152">
        <v>8.2191780821917804E-2</v>
      </c>
      <c r="I127" s="152">
        <v>0</v>
      </c>
      <c r="J127" s="152">
        <v>0.25</v>
      </c>
      <c r="K127" s="152">
        <v>4.6289387207178834</v>
      </c>
      <c r="L127" s="152">
        <v>0</v>
      </c>
      <c r="M127" s="152">
        <v>0</v>
      </c>
      <c r="N127" s="186">
        <v>4.6289387207178834</v>
      </c>
      <c r="O127" s="152">
        <v>495.5</v>
      </c>
      <c r="P127" s="152" t="s">
        <v>85</v>
      </c>
      <c r="Q127" s="152">
        <v>1</v>
      </c>
      <c r="R127" s="152" t="s">
        <v>151</v>
      </c>
    </row>
    <row r="129" spans="2:18">
      <c r="B129" s="41"/>
      <c r="C129" s="41" t="s">
        <v>181</v>
      </c>
      <c r="D129" s="41" t="s">
        <v>180</v>
      </c>
      <c r="E129" s="41" t="s">
        <v>10</v>
      </c>
      <c r="F129" s="41" t="s">
        <v>184</v>
      </c>
      <c r="G129" s="41" t="s">
        <v>11</v>
      </c>
      <c r="H129" s="41" t="s">
        <v>12</v>
      </c>
      <c r="I129" s="41" t="s">
        <v>47</v>
      </c>
      <c r="J129" s="41" t="s">
        <v>13</v>
      </c>
      <c r="K129" s="41" t="s">
        <v>14</v>
      </c>
      <c r="L129" s="41" t="s">
        <v>26</v>
      </c>
      <c r="M129" s="41" t="s">
        <v>28</v>
      </c>
      <c r="N129" s="41" t="s">
        <v>182</v>
      </c>
      <c r="O129" s="41" t="s">
        <v>8</v>
      </c>
      <c r="P129" s="41" t="s">
        <v>23</v>
      </c>
      <c r="Q129" s="41"/>
      <c r="R129" s="41" t="s">
        <v>30</v>
      </c>
    </row>
    <row r="130" spans="2:18">
      <c r="B130" s="149" t="s">
        <v>160</v>
      </c>
      <c r="C130" s="149" t="s">
        <v>185</v>
      </c>
      <c r="D130" s="150">
        <v>43171</v>
      </c>
      <c r="E130" s="150">
        <v>43201</v>
      </c>
      <c r="F130" s="149">
        <v>3300</v>
      </c>
      <c r="G130" s="149">
        <v>30</v>
      </c>
      <c r="H130" s="149">
        <v>8.2191780821917804E-2</v>
      </c>
      <c r="I130" s="149">
        <v>0</v>
      </c>
      <c r="J130" s="149">
        <v>0.22500000000000001</v>
      </c>
      <c r="K130" s="149">
        <v>-6.7414948553758336</v>
      </c>
      <c r="L130" s="149"/>
      <c r="M130" s="149"/>
      <c r="N130" s="185">
        <v>6.7414948553758336</v>
      </c>
      <c r="O130" s="149">
        <v>3632</v>
      </c>
      <c r="P130" s="149" t="s">
        <v>85</v>
      </c>
      <c r="Q130" s="149">
        <v>-1</v>
      </c>
      <c r="R130" s="149" t="s">
        <v>20</v>
      </c>
    </row>
    <row r="131" spans="2:18">
      <c r="B131" s="152" t="s">
        <v>160</v>
      </c>
      <c r="C131" s="152" t="s">
        <v>185</v>
      </c>
      <c r="D131" s="153">
        <v>43171</v>
      </c>
      <c r="E131" s="153">
        <v>43201</v>
      </c>
      <c r="F131" s="152">
        <v>4000</v>
      </c>
      <c r="G131" s="152">
        <v>30</v>
      </c>
      <c r="H131" s="152">
        <v>8.2191780821917804E-2</v>
      </c>
      <c r="I131" s="152">
        <v>0</v>
      </c>
      <c r="J131" s="152">
        <v>0.2</v>
      </c>
      <c r="K131" s="152">
        <v>4.1553393725742183</v>
      </c>
      <c r="L131" s="152"/>
      <c r="M131" s="152"/>
      <c r="N131" s="186">
        <v>4.1553393725742183</v>
      </c>
      <c r="O131" s="152">
        <v>3632</v>
      </c>
      <c r="P131" s="152" t="s">
        <v>39</v>
      </c>
      <c r="Q131" s="152">
        <v>1</v>
      </c>
      <c r="R131" s="152" t="s">
        <v>151</v>
      </c>
    </row>
    <row r="132" spans="2:18">
      <c r="B132" s="155" t="s">
        <v>160</v>
      </c>
      <c r="C132" s="155" t="s">
        <v>185</v>
      </c>
      <c r="D132" s="156">
        <v>43171</v>
      </c>
      <c r="E132" s="156">
        <v>43201</v>
      </c>
      <c r="F132" s="155" t="s">
        <v>216</v>
      </c>
      <c r="G132" s="155">
        <v>30</v>
      </c>
      <c r="H132" s="155">
        <v>8.2191780821917804E-2</v>
      </c>
      <c r="I132" s="155"/>
      <c r="J132" s="155"/>
      <c r="K132" s="155">
        <v>-2.5861554828016153</v>
      </c>
      <c r="L132" s="155"/>
      <c r="M132" s="155">
        <v>0</v>
      </c>
      <c r="N132" s="187">
        <v>2.5861554828016153</v>
      </c>
      <c r="O132" s="155">
        <v>3632</v>
      </c>
      <c r="P132" s="155" t="s">
        <v>219</v>
      </c>
      <c r="Q132" s="155"/>
      <c r="R132" s="155"/>
    </row>
    <row r="133" spans="2:18">
      <c r="B133" s="149" t="s">
        <v>160</v>
      </c>
      <c r="C133" s="149" t="s">
        <v>185</v>
      </c>
      <c r="D133" s="150">
        <v>43171</v>
      </c>
      <c r="E133" s="150">
        <v>43201</v>
      </c>
      <c r="F133" s="149">
        <v>3400</v>
      </c>
      <c r="G133" s="149">
        <v>30</v>
      </c>
      <c r="H133" s="149">
        <v>8.2191780821917804E-2</v>
      </c>
      <c r="I133" s="149">
        <v>0</v>
      </c>
      <c r="J133" s="149">
        <v>0.22500000000000001</v>
      </c>
      <c r="K133" s="149">
        <v>-18.027165562474465</v>
      </c>
      <c r="L133" s="149"/>
      <c r="M133" s="149"/>
      <c r="N133" s="185">
        <v>18.027165562474465</v>
      </c>
      <c r="O133" s="149">
        <v>3632</v>
      </c>
      <c r="P133" s="149" t="s">
        <v>85</v>
      </c>
      <c r="Q133" s="149">
        <v>-1</v>
      </c>
      <c r="R133" s="149" t="s">
        <v>20</v>
      </c>
    </row>
    <row r="134" spans="2:18">
      <c r="B134" s="152" t="s">
        <v>160</v>
      </c>
      <c r="C134" s="152" t="s">
        <v>185</v>
      </c>
      <c r="D134" s="153">
        <v>43171</v>
      </c>
      <c r="E134" s="153">
        <v>43201</v>
      </c>
      <c r="F134" s="152">
        <v>4000</v>
      </c>
      <c r="G134" s="152">
        <v>30</v>
      </c>
      <c r="H134" s="152">
        <v>8.2191780821917804E-2</v>
      </c>
      <c r="I134" s="152">
        <v>0</v>
      </c>
      <c r="J134" s="152">
        <v>0.2</v>
      </c>
      <c r="K134" s="152">
        <v>4.1553393725742183</v>
      </c>
      <c r="L134" s="152"/>
      <c r="M134" s="152"/>
      <c r="N134" s="186">
        <v>4.1553393725742183</v>
      </c>
      <c r="O134" s="152">
        <v>3632</v>
      </c>
      <c r="P134" s="152" t="s">
        <v>39</v>
      </c>
      <c r="Q134" s="152">
        <v>1</v>
      </c>
      <c r="R134" s="152" t="s">
        <v>151</v>
      </c>
    </row>
    <row r="135" spans="2:18">
      <c r="B135" s="155" t="s">
        <v>160</v>
      </c>
      <c r="C135" s="155" t="s">
        <v>185</v>
      </c>
      <c r="D135" s="156">
        <v>43171</v>
      </c>
      <c r="E135" s="156">
        <v>43201</v>
      </c>
      <c r="F135" s="155" t="s">
        <v>218</v>
      </c>
      <c r="G135" s="155">
        <v>30</v>
      </c>
      <c r="H135" s="155">
        <v>8.2191780821917804E-2</v>
      </c>
      <c r="I135" s="155"/>
      <c r="J135" s="155"/>
      <c r="K135" s="155">
        <v>-13.871826189900247</v>
      </c>
      <c r="L135" s="155"/>
      <c r="M135" s="155">
        <v>0</v>
      </c>
      <c r="N135" s="187">
        <v>13.871826189900247</v>
      </c>
      <c r="O135" s="155">
        <v>3632</v>
      </c>
      <c r="P135" s="155" t="s">
        <v>219</v>
      </c>
      <c r="Q135" s="155"/>
      <c r="R135" s="155"/>
    </row>
    <row r="136" spans="2:18">
      <c r="B136" s="149" t="s">
        <v>160</v>
      </c>
      <c r="C136" s="149" t="s">
        <v>185</v>
      </c>
      <c r="D136" s="150">
        <v>43171</v>
      </c>
      <c r="E136" s="150">
        <v>43201</v>
      </c>
      <c r="F136" s="149">
        <v>3500</v>
      </c>
      <c r="G136" s="149">
        <v>30</v>
      </c>
      <c r="H136" s="149">
        <v>8.2191780821917804E-2</v>
      </c>
      <c r="I136" s="149">
        <v>0</v>
      </c>
      <c r="J136" s="149">
        <v>0.22500000000000001</v>
      </c>
      <c r="K136" s="149">
        <v>-40.386638049226349</v>
      </c>
      <c r="L136" s="149"/>
      <c r="M136" s="149"/>
      <c r="N136" s="185">
        <v>40.386638049226349</v>
      </c>
      <c r="O136" s="149">
        <v>3632</v>
      </c>
      <c r="P136" s="149" t="s">
        <v>85</v>
      </c>
      <c r="Q136" s="149">
        <v>-1</v>
      </c>
      <c r="R136" s="149" t="s">
        <v>20</v>
      </c>
    </row>
    <row r="137" spans="2:18">
      <c r="B137" s="152" t="s">
        <v>160</v>
      </c>
      <c r="C137" s="152" t="s">
        <v>185</v>
      </c>
      <c r="D137" s="153">
        <v>43171</v>
      </c>
      <c r="E137" s="153">
        <v>43201</v>
      </c>
      <c r="F137" s="152">
        <v>4000</v>
      </c>
      <c r="G137" s="152">
        <v>30</v>
      </c>
      <c r="H137" s="152">
        <v>8.2191780821917804E-2</v>
      </c>
      <c r="I137" s="152">
        <v>0</v>
      </c>
      <c r="J137" s="152">
        <v>0.2</v>
      </c>
      <c r="K137" s="152">
        <v>4.1553393725742183</v>
      </c>
      <c r="L137" s="152"/>
      <c r="M137" s="152"/>
      <c r="N137" s="186">
        <v>4.1553393725742183</v>
      </c>
      <c r="O137" s="152">
        <v>3632</v>
      </c>
      <c r="P137" s="152" t="s">
        <v>39</v>
      </c>
      <c r="Q137" s="152">
        <v>1</v>
      </c>
      <c r="R137" s="152" t="s">
        <v>151</v>
      </c>
    </row>
    <row r="138" spans="2:18">
      <c r="B138" s="155" t="s">
        <v>160</v>
      </c>
      <c r="C138" s="155" t="s">
        <v>185</v>
      </c>
      <c r="D138" s="156">
        <v>43171</v>
      </c>
      <c r="E138" s="156">
        <v>43201</v>
      </c>
      <c r="F138" s="155" t="s">
        <v>217</v>
      </c>
      <c r="G138" s="155">
        <v>30</v>
      </c>
      <c r="H138" s="155">
        <v>8.2191780821917804E-2</v>
      </c>
      <c r="I138" s="155"/>
      <c r="J138" s="155"/>
      <c r="K138" s="155">
        <v>-36.231298676652131</v>
      </c>
      <c r="L138" s="155"/>
      <c r="M138" s="155">
        <v>0</v>
      </c>
      <c r="N138" s="187">
        <v>36.231298676652131</v>
      </c>
      <c r="O138" s="155">
        <v>3632</v>
      </c>
      <c r="P138" s="155" t="s">
        <v>219</v>
      </c>
      <c r="Q138" s="155"/>
      <c r="R138" s="155"/>
    </row>
    <row r="139" spans="2:18">
      <c r="B139" s="149" t="s">
        <v>160</v>
      </c>
      <c r="C139" s="149" t="s">
        <v>185</v>
      </c>
      <c r="D139" s="150">
        <v>43171</v>
      </c>
      <c r="E139" s="150">
        <v>43261</v>
      </c>
      <c r="F139" s="149">
        <v>3300</v>
      </c>
      <c r="G139" s="149">
        <v>90</v>
      </c>
      <c r="H139" s="149">
        <v>0.24657534246575341</v>
      </c>
      <c r="I139" s="149">
        <v>0</v>
      </c>
      <c r="J139" s="149">
        <v>0.22500000000000001</v>
      </c>
      <c r="K139" s="149">
        <v>-41.683786316128476</v>
      </c>
      <c r="L139" s="149"/>
      <c r="M139" s="149"/>
      <c r="N139" s="185">
        <v>41.683786316128476</v>
      </c>
      <c r="O139" s="149">
        <v>3632</v>
      </c>
      <c r="P139" s="149" t="s">
        <v>85</v>
      </c>
      <c r="Q139" s="149">
        <v>-1</v>
      </c>
      <c r="R139" s="149" t="s">
        <v>20</v>
      </c>
    </row>
    <row r="140" spans="2:18">
      <c r="B140" s="152" t="s">
        <v>160</v>
      </c>
      <c r="C140" s="152" t="s">
        <v>185</v>
      </c>
      <c r="D140" s="153">
        <v>43171</v>
      </c>
      <c r="E140" s="153">
        <v>43261</v>
      </c>
      <c r="F140" s="152">
        <v>4000</v>
      </c>
      <c r="G140" s="152">
        <v>90</v>
      </c>
      <c r="H140" s="152">
        <v>0.24657534246575341</v>
      </c>
      <c r="I140" s="152">
        <v>0</v>
      </c>
      <c r="J140" s="152">
        <v>0.2</v>
      </c>
      <c r="K140" s="152">
        <v>33.079742011168264</v>
      </c>
      <c r="L140" s="152"/>
      <c r="M140" s="152"/>
      <c r="N140" s="186">
        <v>33.079742011168264</v>
      </c>
      <c r="O140" s="152">
        <v>3632</v>
      </c>
      <c r="P140" s="152" t="s">
        <v>39</v>
      </c>
      <c r="Q140" s="152">
        <v>1</v>
      </c>
      <c r="R140" s="152" t="s">
        <v>151</v>
      </c>
    </row>
    <row r="141" spans="2:18">
      <c r="B141" s="155" t="s">
        <v>160</v>
      </c>
      <c r="C141" s="155" t="s">
        <v>185</v>
      </c>
      <c r="D141" s="156">
        <v>43171</v>
      </c>
      <c r="E141" s="156">
        <v>43261</v>
      </c>
      <c r="F141" s="155" t="s">
        <v>216</v>
      </c>
      <c r="G141" s="155">
        <v>90</v>
      </c>
      <c r="H141" s="155">
        <v>0.24657534246575341</v>
      </c>
      <c r="I141" s="155"/>
      <c r="J141" s="155"/>
      <c r="K141" s="155">
        <v>-8.6040443049602118</v>
      </c>
      <c r="L141" s="155"/>
      <c r="M141" s="155">
        <v>0</v>
      </c>
      <c r="N141" s="187">
        <v>8.6040443049602118</v>
      </c>
      <c r="O141" s="155">
        <v>3632</v>
      </c>
      <c r="P141" s="155" t="s">
        <v>219</v>
      </c>
      <c r="Q141" s="155"/>
      <c r="R141" s="155"/>
    </row>
    <row r="142" spans="2:18">
      <c r="B142" s="149" t="s">
        <v>160</v>
      </c>
      <c r="C142" s="149" t="s">
        <v>185</v>
      </c>
      <c r="D142" s="150">
        <v>43171</v>
      </c>
      <c r="E142" s="150">
        <v>43261</v>
      </c>
      <c r="F142" s="149">
        <v>3400</v>
      </c>
      <c r="G142" s="149">
        <v>90</v>
      </c>
      <c r="H142" s="149">
        <v>0.24657534246575341</v>
      </c>
      <c r="I142" s="149">
        <v>0</v>
      </c>
      <c r="J142" s="149">
        <v>0.22500000000000001</v>
      </c>
      <c r="K142" s="149">
        <v>-66.833612149854503</v>
      </c>
      <c r="L142" s="149"/>
      <c r="M142" s="149"/>
      <c r="N142" s="185">
        <v>66.833612149854503</v>
      </c>
      <c r="O142" s="149">
        <v>3632</v>
      </c>
      <c r="P142" s="149" t="s">
        <v>85</v>
      </c>
      <c r="Q142" s="149">
        <v>-1</v>
      </c>
      <c r="R142" s="149" t="s">
        <v>20</v>
      </c>
    </row>
    <row r="143" spans="2:18">
      <c r="B143" s="152" t="s">
        <v>160</v>
      </c>
      <c r="C143" s="152" t="s">
        <v>185</v>
      </c>
      <c r="D143" s="153">
        <v>43171</v>
      </c>
      <c r="E143" s="153">
        <v>43261</v>
      </c>
      <c r="F143" s="152">
        <v>4000</v>
      </c>
      <c r="G143" s="152">
        <v>90</v>
      </c>
      <c r="H143" s="152">
        <v>0.24657534246575341</v>
      </c>
      <c r="I143" s="152">
        <v>0</v>
      </c>
      <c r="J143" s="152">
        <v>0.2</v>
      </c>
      <c r="K143" s="152">
        <v>33.079742011168264</v>
      </c>
      <c r="L143" s="152"/>
      <c r="M143" s="152"/>
      <c r="N143" s="186">
        <v>33.079742011168264</v>
      </c>
      <c r="O143" s="152">
        <v>3632</v>
      </c>
      <c r="P143" s="152" t="s">
        <v>39</v>
      </c>
      <c r="Q143" s="152">
        <v>1</v>
      </c>
      <c r="R143" s="152" t="s">
        <v>151</v>
      </c>
    </row>
    <row r="144" spans="2:18">
      <c r="B144" s="155" t="s">
        <v>160</v>
      </c>
      <c r="C144" s="155" t="s">
        <v>185</v>
      </c>
      <c r="D144" s="156">
        <v>43171</v>
      </c>
      <c r="E144" s="156">
        <v>43261</v>
      </c>
      <c r="F144" s="155" t="s">
        <v>218</v>
      </c>
      <c r="G144" s="155">
        <v>90</v>
      </c>
      <c r="H144" s="155">
        <v>0.24657534246575341</v>
      </c>
      <c r="I144" s="155"/>
      <c r="J144" s="155"/>
      <c r="K144" s="155">
        <v>-33.753870138686239</v>
      </c>
      <c r="L144" s="155"/>
      <c r="M144" s="155">
        <v>0</v>
      </c>
      <c r="N144" s="187">
        <v>33.753870138686239</v>
      </c>
      <c r="O144" s="155">
        <v>3632</v>
      </c>
      <c r="P144" s="155" t="s">
        <v>219</v>
      </c>
      <c r="Q144" s="155"/>
      <c r="R144" s="155"/>
    </row>
    <row r="145" spans="2:18">
      <c r="B145" s="149" t="s">
        <v>160</v>
      </c>
      <c r="C145" s="149" t="s">
        <v>185</v>
      </c>
      <c r="D145" s="150">
        <v>43171</v>
      </c>
      <c r="E145" s="150">
        <v>43261</v>
      </c>
      <c r="F145" s="149">
        <v>3500</v>
      </c>
      <c r="G145" s="149">
        <v>90</v>
      </c>
      <c r="H145" s="149">
        <v>0.24657534246575341</v>
      </c>
      <c r="I145" s="149">
        <v>0</v>
      </c>
      <c r="J145" s="149">
        <v>0.22500000000000001</v>
      </c>
      <c r="K145" s="149">
        <v>-100.99554980073231</v>
      </c>
      <c r="L145" s="149"/>
      <c r="M145" s="149"/>
      <c r="N145" s="185">
        <v>100.99554980073231</v>
      </c>
      <c r="O145" s="149">
        <v>3632</v>
      </c>
      <c r="P145" s="149" t="s">
        <v>85</v>
      </c>
      <c r="Q145" s="149">
        <v>-1</v>
      </c>
      <c r="R145" s="149" t="s">
        <v>20</v>
      </c>
    </row>
    <row r="146" spans="2:18">
      <c r="B146" s="152" t="s">
        <v>160</v>
      </c>
      <c r="C146" s="152" t="s">
        <v>185</v>
      </c>
      <c r="D146" s="153">
        <v>43171</v>
      </c>
      <c r="E146" s="153">
        <v>43261</v>
      </c>
      <c r="F146" s="152">
        <v>4000</v>
      </c>
      <c r="G146" s="152">
        <v>90</v>
      </c>
      <c r="H146" s="152">
        <v>0.24657534246575341</v>
      </c>
      <c r="I146" s="152">
        <v>0</v>
      </c>
      <c r="J146" s="152">
        <v>0.2</v>
      </c>
      <c r="K146" s="152">
        <v>33.079742011168264</v>
      </c>
      <c r="L146" s="152"/>
      <c r="M146" s="152"/>
      <c r="N146" s="186">
        <v>33.079742011168264</v>
      </c>
      <c r="O146" s="152">
        <v>3632</v>
      </c>
      <c r="P146" s="152" t="s">
        <v>39</v>
      </c>
      <c r="Q146" s="152">
        <v>1</v>
      </c>
      <c r="R146" s="152" t="s">
        <v>151</v>
      </c>
    </row>
    <row r="147" spans="2:18">
      <c r="B147" s="155" t="s">
        <v>160</v>
      </c>
      <c r="C147" s="155" t="s">
        <v>185</v>
      </c>
      <c r="D147" s="156">
        <v>43171</v>
      </c>
      <c r="E147" s="156">
        <v>43261</v>
      </c>
      <c r="F147" s="155" t="s">
        <v>217</v>
      </c>
      <c r="G147" s="155">
        <v>90</v>
      </c>
      <c r="H147" s="155">
        <v>0.24657534246575341</v>
      </c>
      <c r="I147" s="155"/>
      <c r="J147" s="155"/>
      <c r="K147" s="155">
        <v>-67.915807789564042</v>
      </c>
      <c r="L147" s="155"/>
      <c r="M147" s="155">
        <v>0</v>
      </c>
      <c r="N147" s="187">
        <v>67.915807789564042</v>
      </c>
      <c r="O147" s="155">
        <v>3632</v>
      </c>
      <c r="P147" s="155" t="s">
        <v>219</v>
      </c>
      <c r="Q147" s="155"/>
      <c r="R147" s="155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B8" sqref="B8"/>
    </sheetView>
  </sheetViews>
  <sheetFormatPr defaultColWidth="9"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160" t="s">
        <v>158</v>
      </c>
      <c r="C1" s="160"/>
      <c r="D1" s="160"/>
    </row>
    <row r="2" spans="1:21" ht="12" thickTop="1"/>
    <row r="3" spans="1:21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>
      <c r="A4" s="43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46"/>
      <c r="L5" s="46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/>
      <c r="C8" s="10"/>
      <c r="D8" s="10"/>
      <c r="E8" s="10"/>
      <c r="F8" s="10"/>
      <c r="G8" s="10"/>
      <c r="H8" s="10"/>
      <c r="I8" s="10"/>
      <c r="J8" s="10"/>
      <c r="K8" s="46"/>
      <c r="L8" s="46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46"/>
      <c r="L9" s="46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zoomScale="115" zoomScaleNormal="115" workbookViewId="0">
      <pane ySplit="17" topLeftCell="A31" activePane="bottomLeft" state="frozen"/>
      <selection pane="bottomLeft" activeCell="B36" sqref="B36:E48"/>
    </sheetView>
  </sheetViews>
  <sheetFormatPr defaultColWidth="9" defaultRowHeight="10.5"/>
  <cols>
    <col min="1" max="3" width="9" style="139"/>
    <col min="4" max="4" width="9" style="139" customWidth="1"/>
    <col min="5" max="7" width="9" style="139"/>
    <col min="8" max="8" width="9.625" style="139" customWidth="1"/>
    <col min="9" max="9" width="9" style="139"/>
    <col min="10" max="10" width="9.25" style="139" customWidth="1"/>
    <col min="11" max="16384" width="9" style="139"/>
  </cols>
  <sheetData>
    <row r="1" spans="2:20" ht="11.25" thickBot="1">
      <c r="B1" s="176" t="s">
        <v>118</v>
      </c>
      <c r="C1" s="176"/>
    </row>
    <row r="2" spans="2:20" ht="11.25" thickTop="1"/>
    <row r="3" spans="2:20" ht="11.25" thickBot="1">
      <c r="B3" s="177" t="s">
        <v>119</v>
      </c>
      <c r="C3" s="177"/>
      <c r="D3" s="177"/>
      <c r="E3" s="177"/>
      <c r="G3" s="181" t="s">
        <v>120</v>
      </c>
      <c r="H3" s="181"/>
      <c r="I3" s="181"/>
      <c r="J3" s="181"/>
      <c r="L3" s="177" t="s">
        <v>165</v>
      </c>
      <c r="M3" s="177"/>
      <c r="N3" s="177"/>
      <c r="O3" s="177"/>
      <c r="Q3" s="181" t="s">
        <v>166</v>
      </c>
      <c r="R3" s="181"/>
      <c r="S3" s="181"/>
      <c r="T3" s="181"/>
    </row>
    <row r="4" spans="2:20" ht="12" thickTop="1" thickBot="1">
      <c r="B4" s="178" t="s">
        <v>121</v>
      </c>
      <c r="C4" s="178"/>
      <c r="D4" s="178"/>
      <c r="E4" s="178"/>
      <c r="G4" s="178" t="s">
        <v>34</v>
      </c>
      <c r="H4" s="178"/>
      <c r="I4" s="178"/>
      <c r="J4" s="178"/>
      <c r="L4" s="178" t="s">
        <v>121</v>
      </c>
      <c r="M4" s="178"/>
      <c r="N4" s="178"/>
      <c r="O4" s="178"/>
      <c r="Q4" s="178" t="s">
        <v>34</v>
      </c>
      <c r="R4" s="178"/>
      <c r="S4" s="178"/>
      <c r="T4" s="178"/>
    </row>
    <row r="5" spans="2:20" ht="15" customHeight="1" thickTop="1">
      <c r="B5" s="175" t="s">
        <v>122</v>
      </c>
      <c r="C5" s="175"/>
      <c r="D5" s="179"/>
      <c r="E5" s="180"/>
      <c r="G5" s="175" t="s">
        <v>123</v>
      </c>
      <c r="H5" s="175"/>
      <c r="I5" s="142"/>
      <c r="J5" s="143"/>
      <c r="L5" s="140" t="s">
        <v>122</v>
      </c>
      <c r="M5" s="141"/>
      <c r="N5" s="142"/>
      <c r="O5" s="143"/>
      <c r="Q5" s="175" t="s">
        <v>123</v>
      </c>
      <c r="R5" s="175"/>
      <c r="S5" s="142"/>
      <c r="T5" s="143"/>
    </row>
    <row r="6" spans="2:20">
      <c r="B6" s="175" t="s">
        <v>124</v>
      </c>
      <c r="C6" s="175"/>
      <c r="D6" s="173" t="s">
        <v>125</v>
      </c>
      <c r="E6" s="174"/>
      <c r="G6" s="175" t="s">
        <v>126</v>
      </c>
      <c r="H6" s="175"/>
      <c r="I6" s="173"/>
      <c r="J6" s="174"/>
      <c r="L6" s="175" t="s">
        <v>124</v>
      </c>
      <c r="M6" s="175"/>
      <c r="N6" s="173" t="s">
        <v>125</v>
      </c>
      <c r="O6" s="174"/>
      <c r="Q6" s="175" t="s">
        <v>126</v>
      </c>
      <c r="R6" s="175"/>
      <c r="S6" s="173"/>
      <c r="T6" s="174"/>
    </row>
    <row r="7" spans="2:20" ht="2.25" customHeight="1">
      <c r="B7" s="175" t="s">
        <v>127</v>
      </c>
      <c r="C7" s="175"/>
      <c r="D7" s="173" t="s">
        <v>125</v>
      </c>
      <c r="E7" s="174"/>
      <c r="G7" s="175" t="s">
        <v>128</v>
      </c>
      <c r="H7" s="175"/>
      <c r="I7" s="173"/>
      <c r="J7" s="174"/>
      <c r="L7" s="175" t="s">
        <v>127</v>
      </c>
      <c r="M7" s="175"/>
      <c r="N7" s="173" t="s">
        <v>125</v>
      </c>
      <c r="O7" s="174"/>
      <c r="Q7" s="175" t="s">
        <v>128</v>
      </c>
      <c r="R7" s="175"/>
      <c r="S7" s="173"/>
      <c r="T7" s="174"/>
    </row>
    <row r="8" spans="2:20" hidden="1">
      <c r="B8" s="175" t="s">
        <v>129</v>
      </c>
      <c r="C8" s="175"/>
      <c r="D8" s="173">
        <f>D13*D15</f>
        <v>305000</v>
      </c>
      <c r="E8" s="174"/>
      <c r="G8" s="175" t="s">
        <v>130</v>
      </c>
      <c r="H8" s="175"/>
      <c r="I8" s="173"/>
      <c r="J8" s="174"/>
      <c r="L8" s="175" t="s">
        <v>129</v>
      </c>
      <c r="M8" s="175"/>
      <c r="N8" s="173">
        <f>N14*N16</f>
        <v>305000</v>
      </c>
      <c r="O8" s="174"/>
      <c r="Q8" s="175" t="s">
        <v>130</v>
      </c>
      <c r="R8" s="175"/>
      <c r="S8" s="173"/>
      <c r="T8" s="174"/>
    </row>
    <row r="9" spans="2:20" hidden="1">
      <c r="B9" s="175" t="s">
        <v>131</v>
      </c>
      <c r="C9" s="175"/>
      <c r="D9" s="173" t="s">
        <v>132</v>
      </c>
      <c r="E9" s="174"/>
      <c r="G9" s="175" t="s">
        <v>133</v>
      </c>
      <c r="H9" s="175"/>
      <c r="I9" s="173"/>
      <c r="J9" s="174"/>
      <c r="L9" s="175" t="s">
        <v>131</v>
      </c>
      <c r="M9" s="175"/>
      <c r="N9" s="173" t="s">
        <v>132</v>
      </c>
      <c r="O9" s="174"/>
      <c r="Q9" s="175" t="s">
        <v>133</v>
      </c>
      <c r="R9" s="175"/>
      <c r="S9" s="173"/>
      <c r="T9" s="174"/>
    </row>
    <row r="10" spans="2:20" hidden="1">
      <c r="B10" s="175" t="s">
        <v>134</v>
      </c>
      <c r="C10" s="175"/>
      <c r="D10" s="173">
        <v>43084</v>
      </c>
      <c r="E10" s="174"/>
      <c r="G10" s="144" t="s">
        <v>135</v>
      </c>
      <c r="H10" s="144"/>
      <c r="I10" s="173"/>
      <c r="J10" s="174"/>
      <c r="L10" s="175" t="s">
        <v>134</v>
      </c>
      <c r="M10" s="175"/>
      <c r="N10" s="173">
        <v>43084</v>
      </c>
      <c r="O10" s="174"/>
      <c r="Q10" s="144" t="s">
        <v>135</v>
      </c>
      <c r="R10" s="144"/>
      <c r="S10" s="173"/>
      <c r="T10" s="174"/>
    </row>
    <row r="11" spans="2:20" hidden="1">
      <c r="B11" s="175" t="s">
        <v>136</v>
      </c>
      <c r="C11" s="175"/>
      <c r="D11" s="173">
        <v>3935</v>
      </c>
      <c r="E11" s="174"/>
      <c r="G11" s="175" t="s">
        <v>137</v>
      </c>
      <c r="H11" s="175"/>
      <c r="I11" s="173"/>
      <c r="J11" s="174"/>
      <c r="L11" s="175" t="s">
        <v>136</v>
      </c>
      <c r="M11" s="175"/>
      <c r="N11" s="173">
        <v>3935</v>
      </c>
      <c r="O11" s="174"/>
      <c r="Q11" s="175" t="s">
        <v>137</v>
      </c>
      <c r="R11" s="175"/>
      <c r="S11" s="173"/>
      <c r="T11" s="174"/>
    </row>
    <row r="12" spans="2:20" hidden="1">
      <c r="B12" s="175" t="s">
        <v>138</v>
      </c>
      <c r="C12" s="175"/>
      <c r="D12" s="173">
        <v>3800</v>
      </c>
      <c r="E12" s="174"/>
      <c r="G12" s="175" t="s">
        <v>139</v>
      </c>
      <c r="H12" s="175"/>
      <c r="I12" s="173"/>
      <c r="J12" s="174"/>
      <c r="L12" s="175" t="s">
        <v>163</v>
      </c>
      <c r="M12" s="175"/>
      <c r="N12" s="173">
        <v>3800</v>
      </c>
      <c r="O12" s="174"/>
      <c r="Q12" s="175" t="s">
        <v>167</v>
      </c>
      <c r="R12" s="175"/>
      <c r="S12" s="173"/>
      <c r="T12" s="174"/>
    </row>
    <row r="13" spans="2:20" hidden="1">
      <c r="B13" s="175" t="s">
        <v>140</v>
      </c>
      <c r="C13" s="175"/>
      <c r="D13" s="173">
        <v>61</v>
      </c>
      <c r="E13" s="174"/>
      <c r="G13" s="175" t="s">
        <v>141</v>
      </c>
      <c r="H13" s="175"/>
      <c r="I13" s="173"/>
      <c r="J13" s="174"/>
      <c r="L13" s="175" t="s">
        <v>164</v>
      </c>
      <c r="M13" s="175"/>
      <c r="N13" s="173">
        <v>3800</v>
      </c>
      <c r="O13" s="174"/>
      <c r="Q13" s="175" t="s">
        <v>168</v>
      </c>
      <c r="R13" s="175"/>
      <c r="S13" s="173"/>
      <c r="T13" s="174"/>
    </row>
    <row r="14" spans="2:20" hidden="1">
      <c r="B14" s="175" t="s">
        <v>142</v>
      </c>
      <c r="C14" s="175"/>
      <c r="D14" s="173" t="s">
        <v>143</v>
      </c>
      <c r="E14" s="174"/>
      <c r="G14" s="175" t="s">
        <v>144</v>
      </c>
      <c r="H14" s="175"/>
      <c r="I14" s="145"/>
      <c r="J14" s="146"/>
      <c r="L14" s="175" t="s">
        <v>140</v>
      </c>
      <c r="M14" s="175"/>
      <c r="N14" s="173">
        <v>61</v>
      </c>
      <c r="O14" s="174"/>
      <c r="Q14" s="175" t="s">
        <v>141</v>
      </c>
      <c r="R14" s="175"/>
      <c r="S14" s="173"/>
      <c r="T14" s="174"/>
    </row>
    <row r="15" spans="2:20" hidden="1">
      <c r="B15" s="175" t="s">
        <v>145</v>
      </c>
      <c r="C15" s="175"/>
      <c r="D15" s="173">
        <v>5000</v>
      </c>
      <c r="E15" s="174"/>
      <c r="G15" s="175" t="s">
        <v>146</v>
      </c>
      <c r="H15" s="175"/>
      <c r="I15" s="173"/>
      <c r="J15" s="174"/>
      <c r="L15" s="175" t="s">
        <v>142</v>
      </c>
      <c r="M15" s="175"/>
      <c r="N15" s="173" t="s">
        <v>143</v>
      </c>
      <c r="O15" s="174"/>
      <c r="Q15" s="175" t="s">
        <v>144</v>
      </c>
      <c r="R15" s="175"/>
      <c r="S15" s="145"/>
      <c r="T15" s="146"/>
    </row>
    <row r="16" spans="2:20" ht="11.25" hidden="1" thickBot="1">
      <c r="B16" s="170" t="s">
        <v>147</v>
      </c>
      <c r="C16" s="170"/>
      <c r="D16" s="171" t="s">
        <v>148</v>
      </c>
      <c r="E16" s="172"/>
      <c r="G16" s="170" t="s">
        <v>149</v>
      </c>
      <c r="H16" s="170"/>
      <c r="I16" s="171"/>
      <c r="J16" s="172"/>
      <c r="L16" s="175" t="s">
        <v>145</v>
      </c>
      <c r="M16" s="175"/>
      <c r="N16" s="173">
        <v>5000</v>
      </c>
      <c r="O16" s="174"/>
      <c r="Q16" s="175" t="s">
        <v>146</v>
      </c>
      <c r="R16" s="175"/>
      <c r="S16" s="173"/>
      <c r="T16" s="174"/>
    </row>
    <row r="17" spans="2:25" ht="12" hidden="1" thickTop="1" thickBot="1">
      <c r="L17" s="170" t="s">
        <v>147</v>
      </c>
      <c r="M17" s="170"/>
      <c r="N17" s="171" t="s">
        <v>148</v>
      </c>
      <c r="O17" s="172"/>
      <c r="Q17" s="170" t="s">
        <v>149</v>
      </c>
      <c r="R17" s="170"/>
      <c r="S17" s="171"/>
      <c r="T17" s="172"/>
    </row>
    <row r="19" spans="2:25">
      <c r="B19" s="147" t="s">
        <v>150</v>
      </c>
    </row>
    <row r="21" spans="2:25" ht="11.25" thickBot="1">
      <c r="B21" s="148"/>
      <c r="C21" s="148"/>
      <c r="D21" s="148"/>
      <c r="E21" s="148"/>
      <c r="G21" s="148"/>
      <c r="H21" s="148"/>
      <c r="I21" s="148"/>
      <c r="J21" s="148"/>
      <c r="L21" s="148"/>
      <c r="M21" s="148"/>
      <c r="N21" s="148"/>
      <c r="O21" s="148"/>
      <c r="Q21" s="148"/>
      <c r="R21" s="148"/>
      <c r="S21" s="148"/>
      <c r="T21" s="148"/>
      <c r="V21" s="148"/>
      <c r="W21" s="148"/>
      <c r="X21" s="148"/>
      <c r="Y21" s="148"/>
    </row>
    <row r="22" spans="2:25" ht="12.75" thickTop="1" thickBot="1">
      <c r="B22" s="168" t="s">
        <v>194</v>
      </c>
      <c r="C22" s="168"/>
      <c r="D22" s="168"/>
      <c r="E22" s="168"/>
      <c r="G22" s="168" t="s">
        <v>195</v>
      </c>
      <c r="H22" s="168"/>
      <c r="I22" s="168"/>
      <c r="J22" s="168"/>
      <c r="L22" s="178" t="s">
        <v>195</v>
      </c>
      <c r="M22" s="178"/>
      <c r="N22" s="178"/>
      <c r="O22" s="178"/>
      <c r="Q22" s="168" t="s">
        <v>194</v>
      </c>
      <c r="R22" s="168"/>
      <c r="S22" s="168"/>
      <c r="T22" s="168"/>
      <c r="V22" s="178" t="s">
        <v>195</v>
      </c>
      <c r="W22" s="178"/>
      <c r="X22" s="178"/>
      <c r="Y22" s="178"/>
    </row>
    <row r="23" spans="2:25" ht="12" thickTop="1">
      <c r="B23" s="161" t="s">
        <v>122</v>
      </c>
      <c r="C23" s="161"/>
      <c r="D23" s="167">
        <f ca="1">TODAY()</f>
        <v>43171</v>
      </c>
      <c r="E23" s="169"/>
      <c r="G23" s="161" t="s">
        <v>122</v>
      </c>
      <c r="H23" s="161"/>
      <c r="I23" s="167">
        <f ca="1">TODAY()</f>
        <v>43171</v>
      </c>
      <c r="J23" s="169"/>
      <c r="L23" s="161" t="s">
        <v>122</v>
      </c>
      <c r="M23" s="161"/>
      <c r="N23" s="167">
        <f ca="1">TODAY()</f>
        <v>43171</v>
      </c>
      <c r="O23" s="169"/>
      <c r="Q23" s="161" t="s">
        <v>122</v>
      </c>
      <c r="R23" s="161"/>
      <c r="S23" s="167">
        <f ca="1">TODAY()-1</f>
        <v>43170</v>
      </c>
      <c r="T23" s="169"/>
      <c r="V23" s="161" t="s">
        <v>122</v>
      </c>
      <c r="W23" s="161"/>
      <c r="X23" s="167">
        <f ca="1">TODAY()-1</f>
        <v>43170</v>
      </c>
      <c r="Y23" s="169"/>
    </row>
    <row r="24" spans="2:25" ht="11.25">
      <c r="B24" s="161" t="s">
        <v>124</v>
      </c>
      <c r="C24" s="161"/>
      <c r="D24" s="162" t="s">
        <v>189</v>
      </c>
      <c r="E24" s="163"/>
      <c r="G24" s="161" t="s">
        <v>124</v>
      </c>
      <c r="H24" s="161"/>
      <c r="I24" s="162" t="s">
        <v>189</v>
      </c>
      <c r="J24" s="163"/>
      <c r="L24" s="161" t="s">
        <v>124</v>
      </c>
      <c r="M24" s="161"/>
      <c r="N24" s="162" t="s">
        <v>36</v>
      </c>
      <c r="O24" s="163"/>
      <c r="Q24" s="161" t="s">
        <v>124</v>
      </c>
      <c r="R24" s="161"/>
      <c r="S24" s="162" t="s">
        <v>36</v>
      </c>
      <c r="T24" s="163"/>
      <c r="V24" s="161" t="s">
        <v>124</v>
      </c>
      <c r="W24" s="161"/>
      <c r="X24" s="162" t="s">
        <v>36</v>
      </c>
      <c r="Y24" s="163"/>
    </row>
    <row r="25" spans="2:25" ht="11.25">
      <c r="B25" s="161" t="s">
        <v>127</v>
      </c>
      <c r="C25" s="161"/>
      <c r="D25" s="162" t="s">
        <v>5</v>
      </c>
      <c r="E25" s="163"/>
      <c r="G25" s="161" t="s">
        <v>127</v>
      </c>
      <c r="H25" s="161"/>
      <c r="I25" s="162" t="s">
        <v>5</v>
      </c>
      <c r="J25" s="163"/>
      <c r="L25" s="161" t="s">
        <v>127</v>
      </c>
      <c r="M25" s="161"/>
      <c r="N25" s="162" t="s">
        <v>202</v>
      </c>
      <c r="O25" s="163"/>
      <c r="Q25" s="161" t="s">
        <v>127</v>
      </c>
      <c r="R25" s="161"/>
      <c r="S25" s="162" t="s">
        <v>193</v>
      </c>
      <c r="T25" s="163"/>
      <c r="V25" s="161" t="s">
        <v>127</v>
      </c>
      <c r="W25" s="161"/>
      <c r="X25" s="162" t="s">
        <v>193</v>
      </c>
      <c r="Y25" s="163"/>
    </row>
    <row r="26" spans="2:25" ht="11.25">
      <c r="B26" s="161" t="s">
        <v>129</v>
      </c>
      <c r="C26" s="161"/>
      <c r="D26" s="162">
        <f>D31*D33</f>
        <v>388800</v>
      </c>
      <c r="E26" s="163"/>
      <c r="G26" s="161" t="s">
        <v>179</v>
      </c>
      <c r="H26" s="161"/>
      <c r="I26" s="162">
        <f>I31*I33</f>
        <v>271800</v>
      </c>
      <c r="J26" s="163"/>
      <c r="L26" s="161" t="s">
        <v>129</v>
      </c>
      <c r="M26" s="161"/>
      <c r="N26" s="162">
        <f>N31*N33</f>
        <v>275000</v>
      </c>
      <c r="O26" s="163"/>
      <c r="Q26" s="161" t="s">
        <v>129</v>
      </c>
      <c r="R26" s="161"/>
      <c r="S26" s="162">
        <f>S31*S33</f>
        <v>235799.99999999997</v>
      </c>
      <c r="T26" s="163"/>
      <c r="V26" s="161" t="s">
        <v>129</v>
      </c>
      <c r="W26" s="161"/>
      <c r="X26" s="162">
        <f>X31*X33</f>
        <v>235799.99999999997</v>
      </c>
      <c r="Y26" s="163"/>
    </row>
    <row r="27" spans="2:25" ht="11.25">
      <c r="B27" s="161" t="s">
        <v>131</v>
      </c>
      <c r="C27" s="161"/>
      <c r="D27" s="162" t="s">
        <v>132</v>
      </c>
      <c r="E27" s="163"/>
      <c r="G27" s="161" t="s">
        <v>131</v>
      </c>
      <c r="H27" s="161"/>
      <c r="I27" s="162" t="s">
        <v>206</v>
      </c>
      <c r="J27" s="163"/>
      <c r="L27" s="161" t="s">
        <v>131</v>
      </c>
      <c r="M27" s="161"/>
      <c r="N27" s="162" t="s">
        <v>196</v>
      </c>
      <c r="O27" s="163"/>
      <c r="Q27" s="161" t="s">
        <v>131</v>
      </c>
      <c r="R27" s="161"/>
      <c r="S27" s="162" t="s">
        <v>197</v>
      </c>
      <c r="T27" s="163"/>
      <c r="V27" s="161" t="s">
        <v>131</v>
      </c>
      <c r="W27" s="161"/>
      <c r="X27" s="162" t="s">
        <v>196</v>
      </c>
      <c r="Y27" s="163"/>
    </row>
    <row r="28" spans="2:25" ht="11.25">
      <c r="B28" s="161" t="s">
        <v>134</v>
      </c>
      <c r="C28" s="161"/>
      <c r="D28" s="167">
        <v>43182</v>
      </c>
      <c r="E28" s="163"/>
      <c r="G28" s="161" t="s">
        <v>134</v>
      </c>
      <c r="H28" s="161"/>
      <c r="I28" s="167">
        <v>43182</v>
      </c>
      <c r="J28" s="163"/>
      <c r="L28" s="161" t="s">
        <v>134</v>
      </c>
      <c r="M28" s="161"/>
      <c r="N28" s="167">
        <v>43219</v>
      </c>
      <c r="O28" s="163"/>
      <c r="Q28" s="161" t="s">
        <v>134</v>
      </c>
      <c r="R28" s="161"/>
      <c r="S28" s="167">
        <v>43201</v>
      </c>
      <c r="T28" s="163"/>
      <c r="V28" s="161" t="s">
        <v>134</v>
      </c>
      <c r="W28" s="161"/>
      <c r="X28" s="167">
        <v>43201</v>
      </c>
      <c r="Y28" s="163"/>
    </row>
    <row r="29" spans="2:25" ht="11.25">
      <c r="B29" s="161" t="s">
        <v>136</v>
      </c>
      <c r="C29" s="161"/>
      <c r="D29" s="162">
        <v>3856</v>
      </c>
      <c r="E29" s="163"/>
      <c r="G29" s="161" t="s">
        <v>136</v>
      </c>
      <c r="H29" s="161"/>
      <c r="I29" s="162">
        <v>3856</v>
      </c>
      <c r="J29" s="163"/>
      <c r="L29" s="161" t="s">
        <v>136</v>
      </c>
      <c r="M29" s="161"/>
      <c r="N29" s="162">
        <v>3760</v>
      </c>
      <c r="O29" s="163"/>
      <c r="Q29" s="161" t="s">
        <v>136</v>
      </c>
      <c r="R29" s="161"/>
      <c r="S29" s="162">
        <v>524</v>
      </c>
      <c r="T29" s="163"/>
      <c r="V29" s="161" t="s">
        <v>136</v>
      </c>
      <c r="W29" s="161"/>
      <c r="X29" s="162">
        <v>524</v>
      </c>
      <c r="Y29" s="163"/>
    </row>
    <row r="30" spans="2:25" ht="11.25">
      <c r="B30" s="161" t="s">
        <v>138</v>
      </c>
      <c r="C30" s="161"/>
      <c r="D30" s="162">
        <v>3800</v>
      </c>
      <c r="E30" s="163"/>
      <c r="G30" s="161" t="s">
        <v>138</v>
      </c>
      <c r="H30" s="161"/>
      <c r="I30" s="162">
        <v>3930</v>
      </c>
      <c r="J30" s="163"/>
      <c r="L30" s="161" t="s">
        <v>138</v>
      </c>
      <c r="M30" s="161"/>
      <c r="N30" s="162">
        <v>3700</v>
      </c>
      <c r="O30" s="163"/>
      <c r="Q30" s="161" t="s">
        <v>138</v>
      </c>
      <c r="R30" s="161"/>
      <c r="S30" s="162">
        <v>524</v>
      </c>
      <c r="T30" s="163"/>
      <c r="V30" s="161" t="s">
        <v>138</v>
      </c>
      <c r="W30" s="161"/>
      <c r="X30" s="162">
        <v>524</v>
      </c>
      <c r="Y30" s="163"/>
    </row>
    <row r="31" spans="2:25" ht="11.25">
      <c r="B31" s="161" t="s">
        <v>140</v>
      </c>
      <c r="C31" s="161"/>
      <c r="D31" s="162">
        <v>38.880000000000003</v>
      </c>
      <c r="E31" s="163"/>
      <c r="G31" s="161" t="s">
        <v>207</v>
      </c>
      <c r="H31" s="161"/>
      <c r="I31" s="162">
        <v>27.18</v>
      </c>
      <c r="J31" s="163"/>
      <c r="L31" s="161" t="s">
        <v>140</v>
      </c>
      <c r="M31" s="161"/>
      <c r="N31" s="162">
        <v>55</v>
      </c>
      <c r="O31" s="163"/>
      <c r="Q31" s="161" t="s">
        <v>140</v>
      </c>
      <c r="R31" s="161"/>
      <c r="S31" s="162">
        <v>23.58</v>
      </c>
      <c r="T31" s="163"/>
      <c r="V31" s="161" t="s">
        <v>140</v>
      </c>
      <c r="W31" s="161"/>
      <c r="X31" s="162">
        <v>23.58</v>
      </c>
      <c r="Y31" s="163"/>
    </row>
    <row r="32" spans="2:25" ht="11.25">
      <c r="B32" s="161" t="s">
        <v>142</v>
      </c>
      <c r="C32" s="161"/>
      <c r="D32" s="162" t="s">
        <v>205</v>
      </c>
      <c r="E32" s="163"/>
      <c r="G32" s="161" t="s">
        <v>208</v>
      </c>
      <c r="H32" s="161"/>
      <c r="I32" s="162" t="s">
        <v>205</v>
      </c>
      <c r="J32" s="163"/>
      <c r="L32" s="161" t="s">
        <v>142</v>
      </c>
      <c r="M32" s="161"/>
      <c r="N32" s="162" t="s">
        <v>201</v>
      </c>
      <c r="O32" s="163"/>
      <c r="Q32" s="161" t="s">
        <v>142</v>
      </c>
      <c r="R32" s="161"/>
      <c r="S32" s="162" t="s">
        <v>198</v>
      </c>
      <c r="T32" s="163"/>
      <c r="V32" s="161" t="s">
        <v>142</v>
      </c>
      <c r="W32" s="161"/>
      <c r="X32" s="162" t="s">
        <v>198</v>
      </c>
      <c r="Y32" s="163"/>
    </row>
    <row r="33" spans="2:25" ht="11.25">
      <c r="B33" s="161" t="s">
        <v>145</v>
      </c>
      <c r="C33" s="161"/>
      <c r="D33" s="162">
        <v>10000</v>
      </c>
      <c r="E33" s="163"/>
      <c r="G33" s="161" t="s">
        <v>209</v>
      </c>
      <c r="H33" s="161"/>
      <c r="I33" s="162">
        <v>10000</v>
      </c>
      <c r="J33" s="163"/>
      <c r="L33" s="161" t="s">
        <v>145</v>
      </c>
      <c r="M33" s="161"/>
      <c r="N33" s="162">
        <v>5000</v>
      </c>
      <c r="O33" s="163"/>
      <c r="Q33" s="161" t="s">
        <v>145</v>
      </c>
      <c r="R33" s="161"/>
      <c r="S33" s="162">
        <v>10000</v>
      </c>
      <c r="T33" s="163"/>
      <c r="V33" s="161" t="s">
        <v>145</v>
      </c>
      <c r="W33" s="161"/>
      <c r="X33" s="162">
        <v>10000</v>
      </c>
      <c r="Y33" s="163"/>
    </row>
    <row r="34" spans="2:25" ht="12" thickBot="1">
      <c r="B34" s="164" t="s">
        <v>147</v>
      </c>
      <c r="C34" s="164"/>
      <c r="D34" s="165" t="s">
        <v>148</v>
      </c>
      <c r="E34" s="166"/>
      <c r="G34" s="164" t="s">
        <v>147</v>
      </c>
      <c r="H34" s="164"/>
      <c r="I34" s="165" t="s">
        <v>148</v>
      </c>
      <c r="J34" s="166"/>
      <c r="L34" s="164" t="s">
        <v>147</v>
      </c>
      <c r="M34" s="164"/>
      <c r="N34" s="165" t="s">
        <v>148</v>
      </c>
      <c r="O34" s="166"/>
      <c r="Q34" s="164" t="s">
        <v>147</v>
      </c>
      <c r="R34" s="164"/>
      <c r="S34" s="165" t="s">
        <v>148</v>
      </c>
      <c r="T34" s="166"/>
      <c r="V34" s="164" t="s">
        <v>147</v>
      </c>
      <c r="W34" s="164"/>
      <c r="X34" s="165" t="s">
        <v>148</v>
      </c>
      <c r="Y34" s="166"/>
    </row>
    <row r="35" spans="2:25" ht="11.25" thickTop="1"/>
    <row r="36" spans="2:25" ht="12" thickBot="1">
      <c r="B36" s="168" t="s">
        <v>121</v>
      </c>
      <c r="C36" s="168"/>
      <c r="D36" s="168"/>
      <c r="E36" s="168"/>
    </row>
    <row r="37" spans="2:25" ht="12" thickTop="1">
      <c r="B37" s="161" t="s">
        <v>122</v>
      </c>
      <c r="C37" s="161"/>
      <c r="D37" s="167">
        <f ca="1">TODAY()</f>
        <v>43171</v>
      </c>
      <c r="E37" s="169"/>
    </row>
    <row r="38" spans="2:25" ht="11.25">
      <c r="B38" s="161" t="s">
        <v>124</v>
      </c>
      <c r="C38" s="161"/>
      <c r="D38" s="162" t="s">
        <v>189</v>
      </c>
      <c r="E38" s="163"/>
    </row>
    <row r="39" spans="2:25" ht="11.25">
      <c r="B39" s="161" t="s">
        <v>127</v>
      </c>
      <c r="C39" s="161"/>
      <c r="D39" s="162" t="s">
        <v>213</v>
      </c>
      <c r="E39" s="163"/>
    </row>
    <row r="40" spans="2:25" ht="11.25">
      <c r="B40" s="161" t="s">
        <v>179</v>
      </c>
      <c r="C40" s="161"/>
      <c r="D40" s="162">
        <f>D45*D47</f>
        <v>210000</v>
      </c>
      <c r="E40" s="163"/>
    </row>
    <row r="41" spans="2:25" ht="11.25">
      <c r="B41" s="161" t="s">
        <v>131</v>
      </c>
      <c r="C41" s="161"/>
      <c r="D41" s="162" t="s">
        <v>196</v>
      </c>
      <c r="E41" s="163"/>
    </row>
    <row r="42" spans="2:25" ht="11.25">
      <c r="B42" s="161" t="s">
        <v>134</v>
      </c>
      <c r="C42" s="161"/>
      <c r="D42" s="167">
        <v>43196</v>
      </c>
      <c r="E42" s="163"/>
    </row>
    <row r="43" spans="2:25" ht="11.25">
      <c r="B43" s="161" t="s">
        <v>136</v>
      </c>
      <c r="C43" s="161"/>
      <c r="D43" s="162">
        <v>14280</v>
      </c>
      <c r="E43" s="163"/>
    </row>
    <row r="44" spans="2:25" ht="11.25">
      <c r="B44" s="161" t="s">
        <v>138</v>
      </c>
      <c r="C44" s="161"/>
      <c r="D44" s="162">
        <v>13750</v>
      </c>
      <c r="E44" s="163"/>
    </row>
    <row r="45" spans="2:25" ht="11.25">
      <c r="B45" s="161" t="s">
        <v>207</v>
      </c>
      <c r="C45" s="161"/>
      <c r="D45" s="162">
        <v>42</v>
      </c>
      <c r="E45" s="163"/>
    </row>
    <row r="46" spans="2:25" ht="11.25">
      <c r="B46" s="161" t="s">
        <v>208</v>
      </c>
      <c r="C46" s="161"/>
      <c r="D46" s="162" t="s">
        <v>212</v>
      </c>
      <c r="E46" s="163"/>
    </row>
    <row r="47" spans="2:25" ht="11.25">
      <c r="B47" s="161" t="s">
        <v>209</v>
      </c>
      <c r="C47" s="161"/>
      <c r="D47" s="162">
        <v>5000</v>
      </c>
      <c r="E47" s="163"/>
    </row>
    <row r="48" spans="2:25" ht="12" thickBot="1">
      <c r="B48" s="164" t="s">
        <v>147</v>
      </c>
      <c r="C48" s="164"/>
      <c r="D48" s="165" t="s">
        <v>148</v>
      </c>
      <c r="E48" s="166"/>
    </row>
    <row r="49" ht="11.25" thickTop="1"/>
  </sheetData>
  <mergeCells count="251"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31"/>
  <sheetViews>
    <sheetView zoomScaleNormal="100" workbookViewId="0">
      <selection activeCell="C20" sqref="C20:S22"/>
    </sheetView>
  </sheetViews>
  <sheetFormatPr defaultColWidth="9" defaultRowHeight="11.25"/>
  <cols>
    <col min="1" max="1" width="8.125" style="6" customWidth="1"/>
    <col min="2" max="2" width="27" style="6" customWidth="1"/>
    <col min="3" max="3" width="9.125" style="6" customWidth="1"/>
    <col min="4" max="6" width="9" style="6"/>
    <col min="7" max="7" width="9.75" style="6" bestFit="1" customWidth="1"/>
    <col min="8" max="8" width="15" style="6" customWidth="1"/>
    <col min="9" max="10" width="22.625" style="6" customWidth="1"/>
    <col min="11" max="11" width="7.25" style="6" customWidth="1"/>
    <col min="12" max="12" width="9" style="6" customWidth="1"/>
    <col min="13" max="13" width="7.75" style="6" customWidth="1"/>
    <col min="14" max="14" width="10" style="6" customWidth="1"/>
    <col min="15" max="15" width="8.625" style="6" customWidth="1"/>
    <col min="16" max="16" width="9" style="6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>
      <c r="B1" s="182" t="s">
        <v>37</v>
      </c>
      <c r="C1" s="182"/>
    </row>
    <row r="2" spans="1:25" ht="12" thickTop="1">
      <c r="B2" s="3" t="s">
        <v>0</v>
      </c>
      <c r="C2" s="4">
        <v>43111</v>
      </c>
    </row>
    <row r="3" spans="1:25" ht="13.5">
      <c r="A3" s="47" t="s">
        <v>200</v>
      </c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>
      <c r="A8" s="42"/>
      <c r="B8" s="24" t="s">
        <v>171</v>
      </c>
      <c r="C8" s="19" t="s">
        <v>160</v>
      </c>
      <c r="D8" s="19" t="s">
        <v>22</v>
      </c>
      <c r="E8" s="21">
        <f t="shared" ref="E8:E22" ca="1" si="0">TODAY()</f>
        <v>43171</v>
      </c>
      <c r="F8" s="21">
        <f t="shared" ref="F8:F9" ca="1" si="1">E8+H8</f>
        <v>43251</v>
      </c>
      <c r="G8" s="19">
        <v>3800</v>
      </c>
      <c r="H8" s="19">
        <v>80</v>
      </c>
      <c r="I8" s="22">
        <f t="shared" ref="I8" si="2">H8/365</f>
        <v>0.21917808219178081</v>
      </c>
      <c r="J8" s="22">
        <v>0</v>
      </c>
      <c r="K8" s="23">
        <v>0.3</v>
      </c>
      <c r="L8" s="24">
        <f>_xll.dnetGBlackScholesNGreeks("price",$Q8,$P8,$G8,$I8,$C$3,$J8,$K8,$C$4)*R8</f>
        <v>-172.15488696459238</v>
      </c>
      <c r="M8" s="25"/>
      <c r="N8" s="24">
        <f t="shared" ref="N8" si="3">M8/10000*I8*P8</f>
        <v>0</v>
      </c>
      <c r="O8" s="24">
        <f t="shared" ref="O8" si="4">IF(L8&lt;=0,ABS(L8)+N8,L8-N8)</f>
        <v>172.15488696459238</v>
      </c>
      <c r="P8" s="20">
        <f>RTD("wdf.rtq",,D8,"LastPrice")</f>
        <v>3720</v>
      </c>
      <c r="Q8" s="19" t="s">
        <v>27</v>
      </c>
      <c r="R8" s="19">
        <f t="shared" ref="R8" si="5">IF(S8="中金买入",1,-1)</f>
        <v>-1</v>
      </c>
      <c r="S8" s="19" t="s">
        <v>31</v>
      </c>
      <c r="T8" s="26">
        <f t="shared" ref="T8" si="6">O8/P8</f>
        <v>4.6278195420589349E-2</v>
      </c>
      <c r="U8" s="24">
        <f>_xll.dnetGBlackScholesNGreeks("delta",$Q8,$P8,$G8,$I8,$C$3,$J8,$K8,$C$4)*R8</f>
        <v>-0.46556810874562871</v>
      </c>
      <c r="V8" s="24">
        <f>_xll.dnetGBlackScholesNGreeks("vega",$Q8,$P8,$G8,$I8,$C$3,$J8,$K8,$C$4)*R8</f>
        <v>-6.8945775897318526</v>
      </c>
    </row>
    <row r="9" spans="1:25">
      <c r="A9" s="42"/>
      <c r="B9" s="13" t="s">
        <v>172</v>
      </c>
      <c r="C9" s="10" t="s">
        <v>161</v>
      </c>
      <c r="D9" s="10" t="s">
        <v>22</v>
      </c>
      <c r="E9" s="8">
        <f t="shared" ca="1" si="0"/>
        <v>43171</v>
      </c>
      <c r="F9" s="8">
        <f t="shared" ca="1" si="1"/>
        <v>43343</v>
      </c>
      <c r="G9" s="10">
        <v>62.9</v>
      </c>
      <c r="H9" s="10">
        <v>172</v>
      </c>
      <c r="I9" s="12">
        <f t="shared" ref="I9" si="7">H9/365</f>
        <v>0.47123287671232877</v>
      </c>
      <c r="J9" s="12">
        <v>0</v>
      </c>
      <c r="K9" s="9">
        <v>0.252</v>
      </c>
      <c r="L9" s="13">
        <f>_xll.dnetGBlackScholesNGreeks("price",$Q9,$P9,$G9,$I9,$C$3,$J9,$K9,$C$4)*R9</f>
        <v>4.2262951749094029</v>
      </c>
      <c r="M9" s="15"/>
      <c r="N9" s="13">
        <f t="shared" ref="N9" si="8">M9/10000*I9*P9</f>
        <v>0</v>
      </c>
      <c r="O9" s="13">
        <f t="shared" ref="O9" si="9">IF(L9&lt;=0,ABS(L9)+N9,L9-N9)</f>
        <v>4.2262951749094029</v>
      </c>
      <c r="P9" s="11">
        <v>62.77</v>
      </c>
      <c r="Q9" s="10" t="s">
        <v>24</v>
      </c>
      <c r="R9" s="10">
        <f t="shared" ref="R9" si="10">IF(S9="中金买入",1,-1)</f>
        <v>1</v>
      </c>
      <c r="S9" s="10" t="s">
        <v>151</v>
      </c>
      <c r="T9" s="14">
        <f t="shared" ref="T9" si="11">O9/P9</f>
        <v>6.7329857812799154E-2</v>
      </c>
      <c r="U9" s="13">
        <f>_xll.dnetGBlackScholesNGreeks("delta",$Q9,$P9,$G9,$I9,$C$3,$J9,$K9,$C$4)*R9</f>
        <v>0.52473865178725987</v>
      </c>
      <c r="V9" s="13">
        <f>_xll.dnetGBlackScholesNGreeks("vega",$Q9,$P9,$G9,$I9,$C$3,$J9,$K9,$C$4)*R9</f>
        <v>0.16981641553135773</v>
      </c>
    </row>
    <row r="10" spans="1:25" ht="10.5" customHeight="1">
      <c r="A10" s="42"/>
      <c r="B10" s="13" t="s">
        <v>172</v>
      </c>
      <c r="C10" s="10" t="s">
        <v>161</v>
      </c>
      <c r="D10" s="10" t="s">
        <v>201</v>
      </c>
      <c r="E10" s="8">
        <f t="shared" ca="1" si="0"/>
        <v>43171</v>
      </c>
      <c r="F10" s="8">
        <f t="shared" ref="F10:F11" ca="1" si="12">E10+H10</f>
        <v>43232</v>
      </c>
      <c r="G10" s="10">
        <v>100</v>
      </c>
      <c r="H10" s="10">
        <v>61</v>
      </c>
      <c r="I10" s="12">
        <f t="shared" ref="I10" si="13">(H10-4)/365</f>
        <v>0.15616438356164383</v>
      </c>
      <c r="J10" s="12">
        <v>0</v>
      </c>
      <c r="K10" s="9">
        <v>0.13</v>
      </c>
      <c r="L10" s="13">
        <f>_xll.dnetGBlackScholesNGreeks("price",$Q10,$P10,$G10,$I10,$C$3,$J10,$K10,$C$4)*R10</f>
        <v>2.0428676525355272</v>
      </c>
      <c r="M10" s="15">
        <v>0</v>
      </c>
      <c r="N10" s="13">
        <f t="shared" ref="N10:N11" si="14">M10/10000*I10*P10</f>
        <v>0</v>
      </c>
      <c r="O10" s="13">
        <f t="shared" ref="O10:O11" si="15">IF(L10&lt;=0,ABS(L10)+N10,L10-N10)</f>
        <v>2.0428676525355272</v>
      </c>
      <c r="P10" s="11">
        <v>100</v>
      </c>
      <c r="Q10" s="10" t="s">
        <v>85</v>
      </c>
      <c r="R10" s="10">
        <f t="shared" ref="R10:R11" si="16">IF(S10="中金买入",1,-1)</f>
        <v>1</v>
      </c>
      <c r="S10" s="10" t="s">
        <v>151</v>
      </c>
      <c r="T10" s="14">
        <f t="shared" ref="T10:T11" si="17">O10/P10</f>
        <v>2.0428676525355273E-2</v>
      </c>
      <c r="U10" s="13">
        <f>_xll.dnetGBlackScholesNGreeks("delta",$Q10,$P10,$G10,$I10,$C$3,$J10,$K10,$C$4)*R10</f>
        <v>-0.48822647344302084</v>
      </c>
      <c r="V10" s="13">
        <f>_xll.dnetGBlackScholesNGreeks("vega",$Q10,$P10,$G10,$I10,$C$3,$J10,$K10,$C$4)*R10</f>
        <v>0.15710900561579066</v>
      </c>
    </row>
    <row r="11" spans="1:25" ht="10.5" customHeight="1">
      <c r="A11" s="42"/>
      <c r="B11" s="13" t="s">
        <v>172</v>
      </c>
      <c r="C11" s="10" t="s">
        <v>161</v>
      </c>
      <c r="D11" s="10" t="s">
        <v>201</v>
      </c>
      <c r="E11" s="8">
        <f t="shared" ca="1" si="0"/>
        <v>43171</v>
      </c>
      <c r="F11" s="8">
        <f t="shared" ca="1" si="12"/>
        <v>43232</v>
      </c>
      <c r="G11" s="10">
        <v>100</v>
      </c>
      <c r="H11" s="10">
        <v>61</v>
      </c>
      <c r="I11" s="12">
        <f>(H11)/365</f>
        <v>0.16712328767123288</v>
      </c>
      <c r="J11" s="12">
        <v>0</v>
      </c>
      <c r="K11" s="9">
        <v>0.17</v>
      </c>
      <c r="L11" s="13">
        <f>_xll.dnetGBlackScholesNGreeks("price",$Q11,$P11,$G11,$I11,$C$3,$J11,$K11,$C$4)*R11</f>
        <v>2.7627301409094542</v>
      </c>
      <c r="M11" s="15">
        <v>0</v>
      </c>
      <c r="N11" s="13">
        <f t="shared" si="14"/>
        <v>0</v>
      </c>
      <c r="O11" s="13">
        <f t="shared" si="15"/>
        <v>2.7627301409094542</v>
      </c>
      <c r="P11" s="11">
        <v>100</v>
      </c>
      <c r="Q11" s="10" t="s">
        <v>85</v>
      </c>
      <c r="R11" s="10">
        <f t="shared" si="16"/>
        <v>1</v>
      </c>
      <c r="S11" s="10" t="s">
        <v>151</v>
      </c>
      <c r="T11" s="14">
        <f t="shared" si="17"/>
        <v>2.7627301409094543E-2</v>
      </c>
      <c r="U11" s="13">
        <f>_xll.dnetGBlackScholesNGreeks("delta",$Q11,$P11,$G11,$I11,$C$3,$J11,$K11,$C$4)*R11</f>
        <v>-0.48451792062316201</v>
      </c>
      <c r="V11" s="13">
        <f>_xll.dnetGBlackScholesNGreeks("vega",$Q11,$P11,$G11,$I11,$C$3,$J11,$K11,$C$4)*R11</f>
        <v>0.1624480254032683</v>
      </c>
    </row>
    <row r="12" spans="1:25" ht="10.5" customHeight="1">
      <c r="A12" s="42"/>
      <c r="B12" s="13"/>
      <c r="C12" s="10"/>
      <c r="D12" s="10"/>
      <c r="E12" s="8"/>
      <c r="F12" s="8"/>
      <c r="G12" s="10"/>
      <c r="H12" s="10"/>
      <c r="I12" s="12"/>
      <c r="J12" s="12"/>
      <c r="K12" s="9"/>
      <c r="L12" s="13"/>
      <c r="M12" s="15"/>
      <c r="N12" s="13"/>
      <c r="O12" s="13"/>
      <c r="P12" s="11"/>
      <c r="Q12" s="10"/>
      <c r="R12" s="10"/>
      <c r="S12" s="10"/>
      <c r="T12" s="14"/>
      <c r="U12" s="13"/>
      <c r="V12" s="13"/>
    </row>
    <row r="13" spans="1:25" ht="10.5" customHeight="1">
      <c r="A13" s="42"/>
      <c r="B13" s="13" t="s">
        <v>172</v>
      </c>
      <c r="C13" s="10" t="s">
        <v>161</v>
      </c>
      <c r="D13" s="10" t="s">
        <v>201</v>
      </c>
      <c r="E13" s="8">
        <f t="shared" ca="1" si="0"/>
        <v>43171</v>
      </c>
      <c r="F13" s="8">
        <f t="shared" ref="F13:F14" ca="1" si="18">E13+H13</f>
        <v>43201</v>
      </c>
      <c r="G13" s="10">
        <v>3900</v>
      </c>
      <c r="H13" s="10">
        <v>30</v>
      </c>
      <c r="I13" s="12">
        <f>(H13)/365</f>
        <v>8.2191780821917804E-2</v>
      </c>
      <c r="J13" s="12">
        <v>0</v>
      </c>
      <c r="K13" s="9">
        <v>0.18</v>
      </c>
      <c r="L13" s="13">
        <f>_xll.dnetGBlackScholesNGreeks("price",$Q13,$P13,$G13,$I13,$C$3,$J13,$K13,$C$4)*R13</f>
        <v>7.3465210402178514</v>
      </c>
      <c r="M13" s="15">
        <v>0</v>
      </c>
      <c r="N13" s="13">
        <f t="shared" ref="N13:N14" si="19">M13/10000*I13*P13</f>
        <v>0</v>
      </c>
      <c r="O13" s="13">
        <f t="shared" ref="O13:O14" si="20">IF(L13&lt;=0,ABS(L13)+N13,L13-N13)</f>
        <v>7.3465210402178514</v>
      </c>
      <c r="P13" s="11">
        <f>RTD("wdf.rtq",,D13,"LastPrice")</f>
        <v>3631</v>
      </c>
      <c r="Q13" s="10" t="s">
        <v>39</v>
      </c>
      <c r="R13" s="10">
        <f t="shared" ref="R13:R14" si="21">IF(S13="中金买入",1,-1)</f>
        <v>1</v>
      </c>
      <c r="S13" s="10" t="s">
        <v>151</v>
      </c>
      <c r="T13" s="14">
        <f t="shared" ref="T13:T14" si="22">O13/P13</f>
        <v>2.0232776205502206E-3</v>
      </c>
      <c r="U13" s="13">
        <f>_xll.dnetGBlackScholesNGreeks("delta",$Q13,$P13,$G13,$I13,$C$3,$J13,$K13,$C$4)*R13</f>
        <v>8.6910111767224407E-2</v>
      </c>
      <c r="V13" s="13">
        <f>_xll.dnetGBlackScholesNGreeks("vega",$Q13,$P13,$G13,$I13,$C$3,$J13,$K13,$C$4)*R13</f>
        <v>1.6445735004264463</v>
      </c>
    </row>
    <row r="14" spans="1:25" ht="10.5" customHeight="1">
      <c r="A14" s="42"/>
      <c r="B14" s="13" t="s">
        <v>172</v>
      </c>
      <c r="C14" s="10" t="s">
        <v>161</v>
      </c>
      <c r="D14" s="10" t="s">
        <v>201</v>
      </c>
      <c r="E14" s="8">
        <f t="shared" ca="1" si="0"/>
        <v>43171</v>
      </c>
      <c r="F14" s="8">
        <f t="shared" ca="1" si="18"/>
        <v>43261</v>
      </c>
      <c r="G14" s="10">
        <v>3900</v>
      </c>
      <c r="H14" s="10">
        <v>90</v>
      </c>
      <c r="I14" s="12">
        <f>(H14)/365</f>
        <v>0.24657534246575341</v>
      </c>
      <c r="J14" s="12">
        <v>0</v>
      </c>
      <c r="K14" s="9">
        <v>0.18</v>
      </c>
      <c r="L14" s="13">
        <f>_xll.dnetGBlackScholesNGreeks("price",$Q14,$P14,$G14,$I14,$C$3,$J14,$K14,$C$4)*R14</f>
        <v>40.238331482998206</v>
      </c>
      <c r="M14" s="15">
        <v>0</v>
      </c>
      <c r="N14" s="13">
        <f t="shared" si="19"/>
        <v>0</v>
      </c>
      <c r="O14" s="13">
        <f t="shared" si="20"/>
        <v>40.238331482998206</v>
      </c>
      <c r="P14" s="11">
        <f>RTD("wdf.rtq",,D14,"LastPrice")</f>
        <v>3631</v>
      </c>
      <c r="Q14" s="10" t="s">
        <v>39</v>
      </c>
      <c r="R14" s="10">
        <f t="shared" si="21"/>
        <v>1</v>
      </c>
      <c r="S14" s="10" t="s">
        <v>151</v>
      </c>
      <c r="T14" s="14">
        <f t="shared" si="22"/>
        <v>1.1081886941062574E-2</v>
      </c>
      <c r="U14" s="13">
        <f>_xll.dnetGBlackScholesNGreeks("delta",$Q14,$P14,$G14,$I14,$C$3,$J14,$K14,$C$4)*R14</f>
        <v>0.22404722894862061</v>
      </c>
      <c r="V14" s="13">
        <f>_xll.dnetGBlackScholesNGreeks("vega",$Q14,$P14,$G14,$I14,$C$3,$J14,$K14,$C$4)*R14</f>
        <v>5.3787887209944643</v>
      </c>
    </row>
    <row r="15" spans="1:25" ht="10.5" customHeight="1">
      <c r="A15" s="42"/>
      <c r="B15" s="13" t="s">
        <v>172</v>
      </c>
      <c r="C15" s="10" t="s">
        <v>161</v>
      </c>
      <c r="D15" s="10" t="s">
        <v>201</v>
      </c>
      <c r="E15" s="8">
        <f t="shared" ca="1" si="0"/>
        <v>43171</v>
      </c>
      <c r="F15" s="8">
        <f t="shared" ref="F15:F18" ca="1" si="23">E15+H15</f>
        <v>43201</v>
      </c>
      <c r="G15" s="10">
        <v>3950</v>
      </c>
      <c r="H15" s="10">
        <v>30</v>
      </c>
      <c r="I15" s="12">
        <f>(H15)/365</f>
        <v>8.2191780821917804E-2</v>
      </c>
      <c r="J15" s="12">
        <v>0</v>
      </c>
      <c r="K15" s="9">
        <v>0.18</v>
      </c>
      <c r="L15" s="13">
        <f>_xll.dnetGBlackScholesNGreeks("price",$Q15,$P15,$G15,$I15,$C$3,$J15,$K15,$C$4)*R15</f>
        <v>4.2046161326081801</v>
      </c>
      <c r="M15" s="15">
        <v>0</v>
      </c>
      <c r="N15" s="13">
        <f t="shared" ref="N15:N18" si="24">M15/10000*I15*P15</f>
        <v>0</v>
      </c>
      <c r="O15" s="13">
        <f t="shared" ref="O15:O18" si="25">IF(L15&lt;=0,ABS(L15)+N15,L15-N15)</f>
        <v>4.2046161326081801</v>
      </c>
      <c r="P15" s="11">
        <f>RTD("wdf.rtq",,D15,"LastPrice")</f>
        <v>3631</v>
      </c>
      <c r="Q15" s="10" t="s">
        <v>39</v>
      </c>
      <c r="R15" s="10">
        <f t="shared" ref="R15:R18" si="26">IF(S15="中金买入",1,-1)</f>
        <v>1</v>
      </c>
      <c r="S15" s="10" t="s">
        <v>151</v>
      </c>
      <c r="T15" s="14">
        <f t="shared" ref="T15:T18" si="27">O15/P15</f>
        <v>1.1579774532107354E-3</v>
      </c>
      <c r="U15" s="13">
        <f>_xll.dnetGBlackScholesNGreeks("delta",$Q15,$P15,$G15,$I15,$C$3,$J15,$K15,$C$4)*R15</f>
        <v>5.4049482312734654E-2</v>
      </c>
      <c r="V15" s="13">
        <f>_xll.dnetGBlackScholesNGreeks("vega",$Q15,$P15,$G15,$I15,$C$3,$J15,$K15,$C$4)*R15</f>
        <v>1.1412296532259063</v>
      </c>
    </row>
    <row r="16" spans="1:25" ht="10.5" customHeight="1">
      <c r="A16" s="42"/>
      <c r="B16" s="13" t="s">
        <v>172</v>
      </c>
      <c r="C16" s="10" t="s">
        <v>161</v>
      </c>
      <c r="D16" s="10" t="s">
        <v>201</v>
      </c>
      <c r="E16" s="8">
        <f t="shared" ca="1" si="0"/>
        <v>43171</v>
      </c>
      <c r="F16" s="8">
        <f t="shared" ca="1" si="23"/>
        <v>43261</v>
      </c>
      <c r="G16" s="10">
        <v>3950</v>
      </c>
      <c r="H16" s="10">
        <v>90</v>
      </c>
      <c r="I16" s="12">
        <f>(H16)/365</f>
        <v>0.24657534246575341</v>
      </c>
      <c r="J16" s="12">
        <v>0</v>
      </c>
      <c r="K16" s="9">
        <v>0.18</v>
      </c>
      <c r="L16" s="13">
        <f>_xll.dnetGBlackScholesNGreeks("price",$Q16,$P16,$G16,$I16,$C$3,$J16,$K16,$C$4)*R16</f>
        <v>31.276785753387458</v>
      </c>
      <c r="M16" s="15">
        <v>0</v>
      </c>
      <c r="N16" s="13">
        <f t="shared" si="24"/>
        <v>0</v>
      </c>
      <c r="O16" s="13">
        <f t="shared" si="25"/>
        <v>31.276785753387458</v>
      </c>
      <c r="P16" s="11">
        <f>RTD("wdf.rtq",,D16,"LastPrice")</f>
        <v>3631</v>
      </c>
      <c r="Q16" s="10" t="s">
        <v>39</v>
      </c>
      <c r="R16" s="10">
        <f t="shared" si="26"/>
        <v>1</v>
      </c>
      <c r="S16" s="10" t="s">
        <v>151</v>
      </c>
      <c r="T16" s="14">
        <f t="shared" si="27"/>
        <v>8.6138214688481016E-3</v>
      </c>
      <c r="U16" s="13">
        <f>_xll.dnetGBlackScholesNGreeks("delta",$Q16,$P16,$G16,$I16,$C$3,$J16,$K16,$C$4)*R16</f>
        <v>0.18383775741313002</v>
      </c>
      <c r="V16" s="13">
        <f>_xll.dnetGBlackScholesNGreeks("vega",$Q16,$P16,$G16,$I16,$C$3,$J16,$K16,$C$4)*R16</f>
        <v>4.780412838650534</v>
      </c>
    </row>
    <row r="17" spans="1:22" ht="10.5" customHeight="1">
      <c r="A17" s="42"/>
      <c r="B17" s="13" t="s">
        <v>172</v>
      </c>
      <c r="C17" s="10" t="s">
        <v>161</v>
      </c>
      <c r="D17" s="10" t="s">
        <v>201</v>
      </c>
      <c r="E17" s="8">
        <f t="shared" ca="1" si="0"/>
        <v>43171</v>
      </c>
      <c r="F17" s="8">
        <f t="shared" ca="1" si="23"/>
        <v>43201</v>
      </c>
      <c r="G17" s="10">
        <v>4000</v>
      </c>
      <c r="H17" s="10">
        <v>30</v>
      </c>
      <c r="I17" s="12">
        <f>(H17)/365</f>
        <v>8.2191780821917804E-2</v>
      </c>
      <c r="J17" s="12">
        <v>0</v>
      </c>
      <c r="K17" s="9">
        <v>0.18</v>
      </c>
      <c r="L17" s="13">
        <f>_xll.dnetGBlackScholesNGreeks("price",$Q17,$P17,$G17,$I17,$C$3,$J17,$K17,$C$4)*R17</f>
        <v>2.3116610386501151</v>
      </c>
      <c r="M17" s="15">
        <v>0</v>
      </c>
      <c r="N17" s="13">
        <f t="shared" si="24"/>
        <v>0</v>
      </c>
      <c r="O17" s="13">
        <f t="shared" si="25"/>
        <v>2.3116610386501151</v>
      </c>
      <c r="P17" s="11">
        <f>RTD("wdf.rtq",,D17,"LastPrice")</f>
        <v>3631</v>
      </c>
      <c r="Q17" s="10" t="s">
        <v>39</v>
      </c>
      <c r="R17" s="10">
        <f t="shared" si="26"/>
        <v>1</v>
      </c>
      <c r="S17" s="10" t="s">
        <v>151</v>
      </c>
      <c r="T17" s="14">
        <f t="shared" si="27"/>
        <v>6.3664583824018595E-4</v>
      </c>
      <c r="U17" s="13">
        <f>_xll.dnetGBlackScholesNGreeks("delta",$Q17,$P17,$G17,$I17,$C$3,$J17,$K17,$C$4)*R17</f>
        <v>3.2122604032736035E-2</v>
      </c>
      <c r="V17" s="13">
        <f>_xll.dnetGBlackScholesNGreeks("vega",$Q17,$P17,$G17,$I17,$C$3,$J17,$K17,$C$4)*R17</f>
        <v>0.75000943299415468</v>
      </c>
    </row>
    <row r="18" spans="1:22" ht="10.5" customHeight="1">
      <c r="A18" s="42"/>
      <c r="B18" s="13" t="s">
        <v>172</v>
      </c>
      <c r="C18" s="10" t="s">
        <v>161</v>
      </c>
      <c r="D18" s="10" t="s">
        <v>201</v>
      </c>
      <c r="E18" s="8">
        <f t="shared" ca="1" si="0"/>
        <v>43171</v>
      </c>
      <c r="F18" s="8">
        <f t="shared" ca="1" si="23"/>
        <v>43261</v>
      </c>
      <c r="G18" s="10">
        <v>4000</v>
      </c>
      <c r="H18" s="10">
        <v>90</v>
      </c>
      <c r="I18" s="12">
        <f>(H18)/365</f>
        <v>0.24657534246575341</v>
      </c>
      <c r="J18" s="12">
        <v>0</v>
      </c>
      <c r="K18" s="9">
        <v>0.18</v>
      </c>
      <c r="L18" s="13">
        <f>_xll.dnetGBlackScholesNGreeks("price",$Q18,$P18,$G18,$I18,$C$3,$J18,$K18,$C$4)*R18</f>
        <v>24.043433724086754</v>
      </c>
      <c r="M18" s="15">
        <v>0</v>
      </c>
      <c r="N18" s="13">
        <f t="shared" si="24"/>
        <v>0</v>
      </c>
      <c r="O18" s="13">
        <f t="shared" si="25"/>
        <v>24.043433724086754</v>
      </c>
      <c r="P18" s="11">
        <f>RTD("wdf.rtq",,D18,"LastPrice")</f>
        <v>3631</v>
      </c>
      <c r="Q18" s="10" t="s">
        <v>39</v>
      </c>
      <c r="R18" s="10">
        <f t="shared" si="26"/>
        <v>1</v>
      </c>
      <c r="S18" s="10" t="s">
        <v>151</v>
      </c>
      <c r="T18" s="14">
        <f t="shared" si="27"/>
        <v>6.6217112982888335E-3</v>
      </c>
      <c r="U18" s="13">
        <f>_xll.dnetGBlackScholesNGreeks("delta",$Q18,$P18,$G18,$I18,$C$3,$J18,$K18,$C$4)*R18</f>
        <v>0.14886311204236335</v>
      </c>
      <c r="V18" s="13">
        <f>_xll.dnetGBlackScholesNGreeks("vega",$Q18,$P18,$G18,$I18,$C$3,$J18,$K18,$C$4)*R18</f>
        <v>4.171146682807688</v>
      </c>
    </row>
    <row r="19" spans="1:22">
      <c r="A19" s="42"/>
      <c r="B19" s="103"/>
      <c r="C19" s="104"/>
      <c r="D19" s="104"/>
      <c r="E19" s="105"/>
      <c r="F19" s="105"/>
      <c r="G19" s="104"/>
      <c r="H19" s="104"/>
      <c r="I19" s="106"/>
      <c r="J19" s="106"/>
      <c r="K19" s="107"/>
      <c r="L19" s="103"/>
      <c r="M19" s="108"/>
      <c r="N19" s="103"/>
      <c r="O19" s="103"/>
      <c r="P19" s="109"/>
      <c r="Q19" s="104"/>
      <c r="R19" s="104"/>
      <c r="S19" s="104"/>
      <c r="T19" s="110"/>
      <c r="U19" s="103"/>
      <c r="V19" s="103"/>
    </row>
    <row r="20" spans="1:22" ht="10.5" customHeight="1">
      <c r="A20" s="42"/>
      <c r="B20" s="13" t="s">
        <v>172</v>
      </c>
      <c r="C20" s="10" t="s">
        <v>161</v>
      </c>
      <c r="D20" s="10" t="s">
        <v>221</v>
      </c>
      <c r="E20" s="8">
        <f t="shared" ca="1" si="0"/>
        <v>43171</v>
      </c>
      <c r="F20" s="8">
        <f t="shared" ref="F20:F22" ca="1" si="28">E20+H20</f>
        <v>43201</v>
      </c>
      <c r="G20" s="10">
        <v>450</v>
      </c>
      <c r="H20" s="10">
        <v>30</v>
      </c>
      <c r="I20" s="12">
        <f>(H20)/365</f>
        <v>8.2191780821917804E-2</v>
      </c>
      <c r="J20" s="12">
        <v>0</v>
      </c>
      <c r="K20" s="9">
        <v>0.25</v>
      </c>
      <c r="L20" s="13">
        <f>_xll.dnetGBlackScholesNGreeks("price",$Q20,$P20,$G20,$I20,$C$3,$J20,$K20,$C$4)*R20</f>
        <v>1.3996336695490186</v>
      </c>
      <c r="M20" s="15">
        <v>0</v>
      </c>
      <c r="N20" s="13">
        <f t="shared" ref="N20:N22" si="29">M20/10000*I20*P20</f>
        <v>0</v>
      </c>
      <c r="O20" s="13">
        <f t="shared" ref="O20:O22" si="30">IF(L20&lt;=0,ABS(L20)+N20,L20-N20)</f>
        <v>1.3996336695490186</v>
      </c>
      <c r="P20" s="11">
        <f>RTD("wdf.rtq",,D20,"LastPrice")</f>
        <v>495.5</v>
      </c>
      <c r="Q20" s="10" t="s">
        <v>85</v>
      </c>
      <c r="R20" s="10">
        <f t="shared" ref="R20:R22" si="31">IF(S20="中金买入",1,-1)</f>
        <v>1</v>
      </c>
      <c r="S20" s="10" t="s">
        <v>151</v>
      </c>
      <c r="T20" s="14">
        <f t="shared" ref="T20:T22" si="32">O20/P20</f>
        <v>2.8246895450030648E-3</v>
      </c>
      <c r="U20" s="13">
        <f>_xll.dnetGBlackScholesNGreeks("delta",$Q20,$P20,$G20,$I20,$C$3,$J20,$K20,$C$4)*R20</f>
        <v>-8.3698939378962223E-2</v>
      </c>
      <c r="V20" s="13">
        <f>_xll.dnetGBlackScholesNGreeks("vega",$Q20,$P20,$G20,$I20,$C$3,$J20,$K20,$C$4)*R20</f>
        <v>0.2182917240144242</v>
      </c>
    </row>
    <row r="21" spans="1:22" ht="10.5" customHeight="1">
      <c r="A21" s="42"/>
      <c r="B21" s="13" t="s">
        <v>172</v>
      </c>
      <c r="C21" s="10" t="s">
        <v>161</v>
      </c>
      <c r="D21" s="10" t="s">
        <v>221</v>
      </c>
      <c r="E21" s="8">
        <f t="shared" ca="1" si="0"/>
        <v>43171</v>
      </c>
      <c r="F21" s="8">
        <f t="shared" ca="1" si="28"/>
        <v>43201</v>
      </c>
      <c r="G21" s="10">
        <v>460</v>
      </c>
      <c r="H21" s="10">
        <v>30</v>
      </c>
      <c r="I21" s="12">
        <f>(H21)/365</f>
        <v>8.2191780821917804E-2</v>
      </c>
      <c r="J21" s="12">
        <v>0</v>
      </c>
      <c r="K21" s="9">
        <v>0.25</v>
      </c>
      <c r="L21" s="13">
        <f>_xll.dnetGBlackScholesNGreeks("price",$Q21,$P21,$G21,$I21,$C$3,$J21,$K21,$C$4)*R21</f>
        <v>2.6490086171861691</v>
      </c>
      <c r="M21" s="15">
        <v>0</v>
      </c>
      <c r="N21" s="13">
        <f t="shared" si="29"/>
        <v>0</v>
      </c>
      <c r="O21" s="13">
        <f t="shared" si="30"/>
        <v>2.6490086171861691</v>
      </c>
      <c r="P21" s="11">
        <f>RTD("wdf.rtq",,D21,"LastPrice")</f>
        <v>495.5</v>
      </c>
      <c r="Q21" s="10" t="s">
        <v>85</v>
      </c>
      <c r="R21" s="10">
        <f t="shared" si="31"/>
        <v>1</v>
      </c>
      <c r="S21" s="10" t="s">
        <v>151</v>
      </c>
      <c r="T21" s="14">
        <f t="shared" si="32"/>
        <v>5.3461324262082119E-3</v>
      </c>
      <c r="U21" s="13">
        <f>_xll.dnetGBlackScholesNGreeks("delta",$Q21,$P21,$G21,$I21,$C$3,$J21,$K21,$C$4)*R21</f>
        <v>-0.14138895102959737</v>
      </c>
      <c r="V21" s="13">
        <f>_xll.dnetGBlackScholesNGreeks("vega",$Q21,$P21,$G21,$I21,$C$3,$J21,$K21,$C$4)*R21</f>
        <v>0.31796312012681938</v>
      </c>
    </row>
    <row r="22" spans="1:22" ht="10.5" customHeight="1">
      <c r="A22" s="42"/>
      <c r="B22" s="13" t="s">
        <v>172</v>
      </c>
      <c r="C22" s="10" t="s">
        <v>161</v>
      </c>
      <c r="D22" s="10" t="s">
        <v>221</v>
      </c>
      <c r="E22" s="8">
        <f t="shared" ca="1" si="0"/>
        <v>43171</v>
      </c>
      <c r="F22" s="8">
        <f t="shared" ca="1" si="28"/>
        <v>43201</v>
      </c>
      <c r="G22" s="10">
        <v>470</v>
      </c>
      <c r="H22" s="10">
        <v>30</v>
      </c>
      <c r="I22" s="12">
        <f>(H22)/365</f>
        <v>8.2191780821917804E-2</v>
      </c>
      <c r="J22" s="12">
        <v>0</v>
      </c>
      <c r="K22" s="9">
        <v>0.25</v>
      </c>
      <c r="L22" s="13">
        <f>_xll.dnetGBlackScholesNGreeks("price",$Q22,$P22,$G22,$I22,$C$3,$J22,$K22,$C$4)*R22</f>
        <v>4.6289387207178834</v>
      </c>
      <c r="M22" s="15">
        <v>0</v>
      </c>
      <c r="N22" s="13">
        <f t="shared" si="29"/>
        <v>0</v>
      </c>
      <c r="O22" s="13">
        <f t="shared" si="30"/>
        <v>4.6289387207178834</v>
      </c>
      <c r="P22" s="11">
        <f>RTD("wdf.rtq",,D22,"LastPrice")</f>
        <v>495.5</v>
      </c>
      <c r="Q22" s="10" t="s">
        <v>85</v>
      </c>
      <c r="R22" s="10">
        <f t="shared" si="31"/>
        <v>1</v>
      </c>
      <c r="S22" s="10" t="s">
        <v>151</v>
      </c>
      <c r="T22" s="14">
        <f t="shared" si="32"/>
        <v>9.3419550367666668E-3</v>
      </c>
      <c r="U22" s="13">
        <f>_xll.dnetGBlackScholesNGreeks("delta",$Q22,$P22,$G22,$I22,$C$3,$J22,$K22,$C$4)*R22</f>
        <v>-0.21939983036958211</v>
      </c>
      <c r="V22" s="13">
        <f>_xll.dnetGBlackScholesNGreeks("vega",$Q22,$P22,$G22,$I22,$C$3,$J22,$K22,$C$4)*R22</f>
        <v>0.41951424293390005</v>
      </c>
    </row>
    <row r="23" spans="1:22">
      <c r="A23" s="42"/>
      <c r="B23" s="103"/>
      <c r="C23" s="104"/>
      <c r="D23" s="104"/>
      <c r="E23" s="105"/>
      <c r="F23" s="105"/>
      <c r="G23" s="104"/>
      <c r="H23" s="104"/>
      <c r="I23" s="106"/>
      <c r="J23" s="106"/>
      <c r="K23" s="107"/>
      <c r="L23" s="103"/>
      <c r="M23" s="108"/>
      <c r="N23" s="103"/>
      <c r="O23" s="103"/>
      <c r="P23" s="109"/>
      <c r="Q23" s="104"/>
      <c r="R23" s="104"/>
      <c r="S23" s="104"/>
      <c r="T23" s="110"/>
      <c r="U23" s="103"/>
      <c r="V23" s="103"/>
    </row>
    <row r="24" spans="1:22">
      <c r="A24" s="42"/>
      <c r="B24" s="103"/>
      <c r="C24" s="104"/>
      <c r="D24" s="104"/>
      <c r="E24" s="105"/>
      <c r="F24" s="105"/>
      <c r="G24" s="104"/>
      <c r="H24" s="104"/>
      <c r="I24" s="106"/>
      <c r="J24" s="106"/>
      <c r="K24" s="107"/>
      <c r="L24" s="103"/>
      <c r="M24" s="108"/>
      <c r="N24" s="103"/>
      <c r="O24" s="103"/>
      <c r="P24" s="159"/>
      <c r="Q24" s="104"/>
      <c r="R24" s="104"/>
      <c r="S24" s="104"/>
      <c r="T24" s="110"/>
      <c r="U24" s="103"/>
      <c r="V24" s="103"/>
    </row>
    <row r="25" spans="1:22">
      <c r="A25" s="42"/>
      <c r="B25" s="103"/>
      <c r="C25" s="104"/>
      <c r="D25" s="104"/>
      <c r="E25" s="105"/>
      <c r="F25" s="105"/>
      <c r="G25" s="104"/>
      <c r="H25" s="104"/>
      <c r="I25" s="106"/>
      <c r="J25" s="106"/>
      <c r="K25" s="107"/>
      <c r="L25" s="103"/>
      <c r="M25" s="108"/>
      <c r="N25" s="103"/>
      <c r="O25" s="103"/>
      <c r="P25" s="159"/>
      <c r="Q25" s="104"/>
      <c r="R25" s="104"/>
      <c r="S25" s="104"/>
      <c r="T25" s="110"/>
      <c r="U25" s="103"/>
      <c r="V25" s="103"/>
    </row>
    <row r="26" spans="1:22">
      <c r="A26" s="42"/>
      <c r="B26" s="103"/>
      <c r="C26" s="104"/>
      <c r="D26" s="104"/>
      <c r="E26" s="105"/>
      <c r="F26" s="105"/>
      <c r="G26" s="104"/>
      <c r="H26" s="104"/>
      <c r="I26" s="106"/>
      <c r="J26" s="106"/>
      <c r="K26" s="107"/>
      <c r="L26" s="103"/>
      <c r="M26" s="108"/>
      <c r="N26" s="103"/>
      <c r="O26" s="103"/>
      <c r="P26" s="159"/>
      <c r="Q26" s="104"/>
      <c r="R26" s="104"/>
      <c r="S26" s="104"/>
      <c r="T26" s="110"/>
      <c r="U26" s="103"/>
      <c r="V26" s="103"/>
    </row>
    <row r="27" spans="1:22" ht="15">
      <c r="A27" s="42"/>
      <c r="B27" s="103"/>
      <c r="C27" s="104"/>
      <c r="D27" s="104"/>
      <c r="E27" s="105"/>
      <c r="F27" s="105"/>
      <c r="G27" s="104"/>
      <c r="H27" s="104"/>
      <c r="I27" s="158"/>
      <c r="J27" s="106"/>
      <c r="K27" s="107"/>
      <c r="L27" s="103"/>
      <c r="M27" s="108"/>
      <c r="N27" s="103"/>
      <c r="O27" s="103"/>
      <c r="P27" s="109"/>
      <c r="Q27" s="104"/>
      <c r="R27" s="104"/>
      <c r="S27" s="104"/>
      <c r="T27" s="110"/>
      <c r="U27" s="103"/>
      <c r="V27" s="103"/>
    </row>
    <row r="28" spans="1:22">
      <c r="A28" s="42"/>
      <c r="B28" s="103"/>
      <c r="C28" s="104"/>
      <c r="D28" s="104"/>
      <c r="E28" s="105"/>
      <c r="F28" s="105"/>
      <c r="G28" s="104"/>
      <c r="H28" s="104"/>
      <c r="I28" s="106"/>
      <c r="J28" s="106"/>
      <c r="K28" s="107"/>
      <c r="L28" s="103"/>
      <c r="M28" s="108"/>
      <c r="N28" s="103"/>
      <c r="O28" s="103"/>
      <c r="P28" s="109"/>
      <c r="Q28" s="104"/>
      <c r="R28" s="104"/>
      <c r="S28" s="104"/>
      <c r="T28" s="110"/>
      <c r="U28" s="103"/>
      <c r="V28" s="103"/>
    </row>
    <row r="29" spans="1:22">
      <c r="A29" s="42"/>
      <c r="B29" s="103"/>
      <c r="C29" s="104"/>
      <c r="D29" s="104"/>
      <c r="E29" s="105"/>
      <c r="F29" s="105"/>
      <c r="G29" s="104"/>
      <c r="H29" s="104"/>
      <c r="I29" s="106"/>
      <c r="J29" s="106"/>
      <c r="K29" s="107"/>
      <c r="L29" s="103"/>
      <c r="M29" s="108"/>
      <c r="N29" s="103"/>
      <c r="O29" s="103"/>
      <c r="P29" s="109"/>
      <c r="Q29" s="104"/>
      <c r="R29" s="104"/>
      <c r="S29" s="104"/>
      <c r="T29" s="110"/>
      <c r="U29" s="103"/>
      <c r="V29" s="103"/>
    </row>
    <row r="30" spans="1:22">
      <c r="A30" s="42"/>
      <c r="B30" s="103"/>
      <c r="C30" s="104"/>
      <c r="D30" s="104"/>
      <c r="E30" s="105"/>
      <c r="F30" s="105"/>
      <c r="G30" s="104"/>
      <c r="H30" s="104"/>
      <c r="I30" s="106"/>
      <c r="J30" s="106"/>
      <c r="K30" s="107"/>
      <c r="L30" s="103"/>
      <c r="M30" s="108"/>
      <c r="N30" s="103"/>
      <c r="O30" s="103"/>
      <c r="P30" s="109"/>
      <c r="Q30" s="104"/>
      <c r="R30" s="104"/>
      <c r="S30" s="104"/>
      <c r="T30" s="110"/>
      <c r="U30" s="103"/>
      <c r="V30" s="103"/>
    </row>
    <row r="31" spans="1:22">
      <c r="A31" s="42"/>
      <c r="B31" s="103"/>
      <c r="C31" s="104"/>
      <c r="D31" s="104"/>
      <c r="E31" s="105"/>
      <c r="F31" s="105"/>
      <c r="G31" s="104"/>
      <c r="H31" s="104"/>
      <c r="I31" s="106"/>
      <c r="J31" s="106"/>
      <c r="K31" s="107"/>
      <c r="L31" s="103"/>
      <c r="M31" s="108"/>
      <c r="N31" s="103"/>
      <c r="O31" s="103"/>
      <c r="P31" s="109"/>
      <c r="Q31" s="104"/>
      <c r="R31" s="104"/>
      <c r="S31" s="104"/>
      <c r="T31" s="110"/>
      <c r="U31" s="103"/>
      <c r="V31" s="103"/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S8:S31</xm:sqref>
        </x14:dataValidation>
        <x14:dataValidation type="list" allowBlank="1" showInputMessage="1" showErrorMessage="1">
          <x14:formula1>
            <xm:f>configs!$C$1:$C$2</xm:f>
          </x14:formula1>
          <xm:sqref>Q8:Q31</xm:sqref>
        </x14:dataValidation>
        <x14:dataValidation type="list" allowBlank="1" showInputMessage="1">
          <x14:formula1>
            <xm:f>configs!$A$1:$A$36</xm:f>
          </x14:formula1>
          <xm:sqref>C8:C31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zoomScale="85" zoomScaleNormal="85" workbookViewId="0">
      <selection activeCell="C11" sqref="C11:V28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183" t="s">
        <v>37</v>
      </c>
      <c r="C1" s="182"/>
    </row>
    <row r="2" spans="1:22" ht="12" thickTop="1">
      <c r="B2" s="29" t="s">
        <v>0</v>
      </c>
      <c r="C2" s="4">
        <v>43061</v>
      </c>
    </row>
    <row r="3" spans="1:22">
      <c r="B3" s="29" t="s">
        <v>1</v>
      </c>
      <c r="C3" s="29">
        <v>0.02</v>
      </c>
    </row>
    <row r="4" spans="1:22" ht="12" thickBot="1">
      <c r="B4" s="30" t="s">
        <v>18</v>
      </c>
      <c r="C4" s="30">
        <v>0.01</v>
      </c>
    </row>
    <row r="5" spans="1:22" ht="12" thickTop="1"/>
    <row r="6" spans="1:22" ht="12" thickBot="1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>
      <c r="A7" s="47"/>
      <c r="B7" s="48" t="s">
        <v>29</v>
      </c>
      <c r="C7" s="48" t="s">
        <v>2</v>
      </c>
      <c r="D7" s="49" t="s">
        <v>181</v>
      </c>
      <c r="E7" s="49" t="s">
        <v>183</v>
      </c>
      <c r="F7" s="49" t="s">
        <v>10</v>
      </c>
      <c r="G7" s="49" t="s">
        <v>7</v>
      </c>
      <c r="H7" s="49" t="s">
        <v>11</v>
      </c>
      <c r="I7" s="49" t="s">
        <v>12</v>
      </c>
      <c r="J7" s="49" t="s">
        <v>47</v>
      </c>
      <c r="K7" s="49" t="s">
        <v>13</v>
      </c>
      <c r="L7" s="49" t="s">
        <v>14</v>
      </c>
      <c r="M7" s="49" t="s">
        <v>26</v>
      </c>
      <c r="N7" s="49" t="s">
        <v>28</v>
      </c>
      <c r="O7" s="49" t="s">
        <v>182</v>
      </c>
      <c r="P7" s="49" t="s">
        <v>8</v>
      </c>
      <c r="Q7" s="49" t="s">
        <v>23</v>
      </c>
      <c r="R7" s="49"/>
      <c r="S7" s="49" t="s">
        <v>30</v>
      </c>
      <c r="T7" s="48" t="s">
        <v>33</v>
      </c>
      <c r="U7" s="48" t="s">
        <v>16</v>
      </c>
      <c r="V7" s="48" t="s">
        <v>17</v>
      </c>
    </row>
    <row r="8" spans="1:22" ht="14.25" thickTop="1">
      <c r="A8" s="50"/>
      <c r="B8" s="51" t="s">
        <v>173</v>
      </c>
      <c r="C8" s="52" t="s">
        <v>160</v>
      </c>
      <c r="D8" s="52" t="s">
        <v>159</v>
      </c>
      <c r="E8" s="54">
        <f ca="1">TODAY()</f>
        <v>43171</v>
      </c>
      <c r="F8" s="54">
        <f ca="1">E8+H8</f>
        <v>43201</v>
      </c>
      <c r="G8" s="52">
        <v>100</v>
      </c>
      <c r="H8" s="52">
        <v>30</v>
      </c>
      <c r="I8" s="55">
        <f>H8/365</f>
        <v>8.2191780821917804E-2</v>
      </c>
      <c r="J8" s="55">
        <v>0</v>
      </c>
      <c r="K8" s="56">
        <v>0.32</v>
      </c>
      <c r="L8" s="51">
        <f>_xll.dnetGBlackScholesNGreeks("price",$Q8,$P8,$G8,$I8,$C$3,$J8,$K8,$C$4)*R8</f>
        <v>-3.6526499295562971</v>
      </c>
      <c r="M8" s="57"/>
      <c r="N8" s="51"/>
      <c r="O8" s="51">
        <f t="shared" ref="O8:O12" si="0">IF(L8&lt;=0,ABS(L8)+N8,L8-N8)</f>
        <v>3.6526499295562971</v>
      </c>
      <c r="P8" s="53">
        <v>100</v>
      </c>
      <c r="Q8" s="52" t="s">
        <v>39</v>
      </c>
      <c r="R8" s="52">
        <f>IF(S8="中金买入",1,-1)</f>
        <v>-1</v>
      </c>
      <c r="S8" s="56" t="s">
        <v>20</v>
      </c>
      <c r="T8" s="58"/>
      <c r="U8" s="51">
        <f>_xll.dnetGBlackScholesNGreeks("delta",$Q8,$P8,$G8,$I8,$C$3,$J8,$K8,$C$4)*R8</f>
        <v>-0.51744199617651532</v>
      </c>
      <c r="V8" s="51">
        <f>_xll.dnetGBlackScholesNGreeks("vega",$Q8,$P8,$G8,$I8,$C$3,$J8,$K8,$C$4)*R8</f>
        <v>-0.11406523569462124</v>
      </c>
    </row>
    <row r="9" spans="1:22" ht="13.5">
      <c r="A9" s="50"/>
      <c r="B9" s="59" t="s">
        <v>174</v>
      </c>
      <c r="C9" s="60" t="s">
        <v>160</v>
      </c>
      <c r="D9" s="60" t="s">
        <v>159</v>
      </c>
      <c r="E9" s="62">
        <f ca="1">E8</f>
        <v>43171</v>
      </c>
      <c r="F9" s="62">
        <f ca="1">F8</f>
        <v>43201</v>
      </c>
      <c r="G9" s="60">
        <v>100</v>
      </c>
      <c r="H9" s="60">
        <f>H8</f>
        <v>30</v>
      </c>
      <c r="I9" s="63">
        <f>H9/365</f>
        <v>8.2191780821917804E-2</v>
      </c>
      <c r="J9" s="63">
        <f>J8</f>
        <v>0</v>
      </c>
      <c r="K9" s="64">
        <v>0.3</v>
      </c>
      <c r="L9" s="59">
        <f>_xll.dnetGBlackScholesNGreeks("price",$Q9,$P9,$G9,$I9,$C$3,$J9,$K9,$C$4)*R9</f>
        <v>3.4245046917201378</v>
      </c>
      <c r="M9" s="65"/>
      <c r="N9" s="59"/>
      <c r="O9" s="59">
        <f t="shared" si="0"/>
        <v>3.4245046917201378</v>
      </c>
      <c r="P9" s="61">
        <v>100</v>
      </c>
      <c r="Q9" s="60" t="s">
        <v>39</v>
      </c>
      <c r="R9" s="60">
        <f>IF(S9="中金买入",1,-1)</f>
        <v>1</v>
      </c>
      <c r="S9" s="64" t="s">
        <v>151</v>
      </c>
      <c r="T9" s="66"/>
      <c r="U9" s="59">
        <f>_xll.dnetGBlackScholesNGreeks("delta",$Q9,$P9,$G9,$I9,$C$3,$J9,$K9,$C$4)*R9</f>
        <v>0.51630126926376363</v>
      </c>
      <c r="V9" s="59">
        <f>_xll.dnetGBlackScholesNGreeks("vega",$Q9,$P9,$G9,$I9,$C$3,$J9,$K9,$C$4)*R9</f>
        <v>0.11407976820886745</v>
      </c>
    </row>
    <row r="10" spans="1:22" ht="14.25" thickBot="1">
      <c r="A10" s="50"/>
      <c r="B10" s="67" t="s">
        <v>175</v>
      </c>
      <c r="C10" s="68" t="s">
        <v>160</v>
      </c>
      <c r="D10" s="68" t="str">
        <f>D9</f>
        <v>RB1805</v>
      </c>
      <c r="E10" s="70">
        <f ca="1">E9</f>
        <v>43171</v>
      </c>
      <c r="F10" s="70">
        <f ca="1">F9</f>
        <v>43201</v>
      </c>
      <c r="G10" s="68" t="str">
        <f>G8 &amp; "|" &amp; G9</f>
        <v>100|100</v>
      </c>
      <c r="H10" s="68">
        <f>H9</f>
        <v>30</v>
      </c>
      <c r="I10" s="71">
        <f>I9</f>
        <v>8.2191780821917804E-2</v>
      </c>
      <c r="J10" s="71"/>
      <c r="K10" s="68"/>
      <c r="L10" s="67">
        <f>L9+L8</f>
        <v>-0.22814523783615925</v>
      </c>
      <c r="M10" s="68"/>
      <c r="N10" s="67">
        <f>M10/10000*I10*P10</f>
        <v>0</v>
      </c>
      <c r="O10" s="67">
        <f t="shared" si="0"/>
        <v>0.22814523783615925</v>
      </c>
      <c r="P10" s="69">
        <f>P9</f>
        <v>100</v>
      </c>
      <c r="Q10" s="68"/>
      <c r="R10" s="68"/>
      <c r="S10" s="64" t="s">
        <v>151</v>
      </c>
      <c r="T10" s="72">
        <f>O10/P10</f>
        <v>2.2814523783615927E-3</v>
      </c>
      <c r="U10" s="72">
        <f>U9+U8</f>
        <v>-1.1407269127516884E-3</v>
      </c>
      <c r="V10" s="72">
        <f>V9+V8</f>
        <v>1.4532514246212713E-5</v>
      </c>
    </row>
    <row r="11" spans="1:22" ht="14.25" thickTop="1">
      <c r="A11" s="73"/>
      <c r="B11" s="51" t="s">
        <v>173</v>
      </c>
      <c r="C11" s="52" t="s">
        <v>160</v>
      </c>
      <c r="D11" s="52" t="s">
        <v>215</v>
      </c>
      <c r="E11" s="54">
        <f ca="1">TODAY()</f>
        <v>43171</v>
      </c>
      <c r="F11" s="54">
        <f ca="1">E11+H11</f>
        <v>43201</v>
      </c>
      <c r="G11" s="52">
        <v>3300</v>
      </c>
      <c r="H11" s="52">
        <v>30</v>
      </c>
      <c r="I11" s="55">
        <f>H11/365</f>
        <v>8.2191780821917804E-2</v>
      </c>
      <c r="J11" s="55">
        <v>0</v>
      </c>
      <c r="K11" s="56">
        <v>0.22500000000000001</v>
      </c>
      <c r="L11" s="51">
        <f>_xll.dnetGBlackScholesNGreeks("price",$Q11,$P11,$G11,$I11,$C$3,$J11,$K11,$C$4)*R11</f>
        <v>-6.8061219697542299</v>
      </c>
      <c r="M11" s="57"/>
      <c r="N11" s="51"/>
      <c r="O11" s="51">
        <f t="shared" si="0"/>
        <v>6.8061219697542299</v>
      </c>
      <c r="P11" s="188">
        <f>RTD("wdf.rtq",,D11,"LastPrice")</f>
        <v>3631</v>
      </c>
      <c r="Q11" s="52" t="s">
        <v>85</v>
      </c>
      <c r="R11" s="52">
        <f>IF(S11="中金买入",1,-1)</f>
        <v>-1</v>
      </c>
      <c r="S11" s="56" t="s">
        <v>20</v>
      </c>
      <c r="T11" s="58"/>
      <c r="U11" s="51">
        <f>_xll.dnetGBlackScholesNGreeks("delta",$Q11,$P11,$G11,$I11,$C$3,$J11,$K11,$C$4)*R11</f>
        <v>6.4896748453691089E-2</v>
      </c>
      <c r="V11" s="51">
        <f>_xll.dnetGBlackScholesNGreeks("vega",$Q11,$P11,$G11,$I11,$C$3,$J11,$K11,$C$4)*R11</f>
        <v>-1.3170168461589924</v>
      </c>
    </row>
    <row r="12" spans="1:22" ht="13.5">
      <c r="A12" s="73"/>
      <c r="B12" s="59" t="s">
        <v>174</v>
      </c>
      <c r="C12" s="60" t="s">
        <v>160</v>
      </c>
      <c r="D12" s="60" t="str">
        <f>D11</f>
        <v>rb1810</v>
      </c>
      <c r="E12" s="62">
        <f ca="1">E11</f>
        <v>43171</v>
      </c>
      <c r="F12" s="62">
        <f ca="1">F11</f>
        <v>43201</v>
      </c>
      <c r="G12" s="60">
        <v>4000</v>
      </c>
      <c r="H12" s="60">
        <f>H11</f>
        <v>30</v>
      </c>
      <c r="I12" s="63">
        <f>H12/365</f>
        <v>8.2191780821917804E-2</v>
      </c>
      <c r="J12" s="63">
        <f>J11</f>
        <v>0</v>
      </c>
      <c r="K12" s="64">
        <v>0.2</v>
      </c>
      <c r="L12" s="59">
        <f>_xll.dnetGBlackScholesNGreeks("price",$Q12,$P12,$G12,$I12,$C$3,$J12,$K12,$C$4)*R12</f>
        <v>4.1066513156679605</v>
      </c>
      <c r="M12" s="65"/>
      <c r="N12" s="59"/>
      <c r="O12" s="59">
        <f t="shared" si="0"/>
        <v>4.1066513156679605</v>
      </c>
      <c r="P12" s="111">
        <f>P11</f>
        <v>3631</v>
      </c>
      <c r="Q12" s="60" t="s">
        <v>39</v>
      </c>
      <c r="R12" s="60">
        <f>IF(S12="中金买入",1,-1)</f>
        <v>1</v>
      </c>
      <c r="S12" s="64" t="s">
        <v>151</v>
      </c>
      <c r="T12" s="66"/>
      <c r="U12" s="59">
        <f>_xll.dnetGBlackScholesNGreeks("delta",$Q12,$P12,$G12,$I12,$C$3,$J12,$K12,$C$4)*R12</f>
        <v>4.8445993718360114E-2</v>
      </c>
      <c r="V12" s="59">
        <f>_xll.dnetGBlackScholesNGreeks("vega",$Q12,$P12,$G12,$I12,$C$3,$J12,$K12,$C$4)*R12</f>
        <v>1.0463556089013224</v>
      </c>
    </row>
    <row r="13" spans="1:22" ht="14.25" thickBot="1">
      <c r="A13" s="73"/>
      <c r="B13" s="67" t="s">
        <v>175</v>
      </c>
      <c r="C13" s="68" t="s">
        <v>160</v>
      </c>
      <c r="D13" s="68" t="str">
        <f>D12</f>
        <v>rb1810</v>
      </c>
      <c r="E13" s="70">
        <f ca="1">E12</f>
        <v>43171</v>
      </c>
      <c r="F13" s="70">
        <f ca="1">F12</f>
        <v>43201</v>
      </c>
      <c r="G13" s="68" t="str">
        <f>G11 &amp; "|" &amp; G12</f>
        <v>3300|4000</v>
      </c>
      <c r="H13" s="68">
        <f>H12</f>
        <v>30</v>
      </c>
      <c r="I13" s="71">
        <f>I12</f>
        <v>8.2191780821917804E-2</v>
      </c>
      <c r="J13" s="71"/>
      <c r="K13" s="68"/>
      <c r="L13" s="67">
        <f>L12+L11</f>
        <v>-2.6994706540862694</v>
      </c>
      <c r="M13" s="68"/>
      <c r="N13" s="67">
        <f>M13/10000*I13*P13</f>
        <v>0</v>
      </c>
      <c r="O13" s="67">
        <f>IF(L13&lt;=0,ABS(L13)+N13,L13-N13)</f>
        <v>2.6994706540862694</v>
      </c>
      <c r="P13" s="189">
        <f>P12</f>
        <v>3631</v>
      </c>
      <c r="Q13" s="68"/>
      <c r="R13" s="68"/>
      <c r="S13" s="64" t="s">
        <v>151</v>
      </c>
      <c r="T13" s="72">
        <f>O13/P13</f>
        <v>7.4345102012841348E-4</v>
      </c>
      <c r="U13" s="72">
        <f>U12+U11</f>
        <v>0.1133427421720512</v>
      </c>
      <c r="V13" s="72">
        <f>V12+V11</f>
        <v>-0.27066123725767</v>
      </c>
    </row>
    <row r="14" spans="1:22" ht="14.25" thickTop="1">
      <c r="A14" s="73"/>
      <c r="B14" s="51" t="s">
        <v>173</v>
      </c>
      <c r="C14" s="52" t="s">
        <v>160</v>
      </c>
      <c r="D14" s="52" t="s">
        <v>215</v>
      </c>
      <c r="E14" s="54">
        <f ca="1">TODAY()</f>
        <v>43171</v>
      </c>
      <c r="F14" s="54">
        <f ca="1">E14+H14</f>
        <v>43201</v>
      </c>
      <c r="G14" s="52">
        <v>3400</v>
      </c>
      <c r="H14" s="52">
        <v>30</v>
      </c>
      <c r="I14" s="55">
        <f>H14/365</f>
        <v>8.2191780821917804E-2</v>
      </c>
      <c r="J14" s="55">
        <v>0</v>
      </c>
      <c r="K14" s="56">
        <v>0.22500000000000001</v>
      </c>
      <c r="L14" s="51">
        <f>_xll.dnetGBlackScholesNGreeks("price",$Q14,$P14,$G14,$I14,$C$3,$J14,$K14,$C$4)*R14</f>
        <v>-18.173002034076262</v>
      </c>
      <c r="M14" s="57"/>
      <c r="N14" s="51"/>
      <c r="O14" s="51">
        <f t="shared" ref="O14:O28" si="1">IF(L14&lt;=0,ABS(L14)+N14,L14-N14)</f>
        <v>18.173002034076262</v>
      </c>
      <c r="P14" s="188">
        <f>RTD("wdf.rtq",,D14,"LastPrice")</f>
        <v>3631</v>
      </c>
      <c r="Q14" s="52" t="s">
        <v>85</v>
      </c>
      <c r="R14" s="52">
        <f>IF(S14="中金买入",1,-1)</f>
        <v>-1</v>
      </c>
      <c r="S14" s="56" t="s">
        <v>20</v>
      </c>
      <c r="T14" s="58"/>
      <c r="U14" s="51">
        <f>_xll.dnetGBlackScholesNGreeks("delta",$Q14,$P14,$G14,$I14,$C$3,$J14,$K14,$C$4)*R14</f>
        <v>0.14632497301363401</v>
      </c>
      <c r="V14" s="51">
        <f>_xll.dnetGBlackScholesNGreeks("vega",$Q14,$P14,$G14,$I14,$C$3,$J14,$K14,$C$4)*R14</f>
        <v>-2.3842803278670033</v>
      </c>
    </row>
    <row r="15" spans="1:22" ht="13.5">
      <c r="A15" s="73"/>
      <c r="B15" s="59" t="s">
        <v>174</v>
      </c>
      <c r="C15" s="60" t="s">
        <v>160</v>
      </c>
      <c r="D15" s="60" t="str">
        <f>D14</f>
        <v>rb1810</v>
      </c>
      <c r="E15" s="62">
        <f ca="1">E14</f>
        <v>43171</v>
      </c>
      <c r="F15" s="62">
        <f ca="1">F14</f>
        <v>43201</v>
      </c>
      <c r="G15" s="60">
        <v>4000</v>
      </c>
      <c r="H15" s="60">
        <f>H14</f>
        <v>30</v>
      </c>
      <c r="I15" s="63">
        <f>H15/365</f>
        <v>8.2191780821917804E-2</v>
      </c>
      <c r="J15" s="63">
        <f>J14</f>
        <v>0</v>
      </c>
      <c r="K15" s="64">
        <v>0.2</v>
      </c>
      <c r="L15" s="59">
        <f>_xll.dnetGBlackScholesNGreeks("price",$Q15,$P15,$G15,$I15,$C$3,$J15,$K15,$C$4)*R15</f>
        <v>4.1066513156679605</v>
      </c>
      <c r="M15" s="65"/>
      <c r="N15" s="59"/>
      <c r="O15" s="59">
        <f t="shared" si="1"/>
        <v>4.1066513156679605</v>
      </c>
      <c r="P15" s="111">
        <f>P14</f>
        <v>3631</v>
      </c>
      <c r="Q15" s="60" t="s">
        <v>39</v>
      </c>
      <c r="R15" s="60">
        <f>IF(S15="中金买入",1,-1)</f>
        <v>1</v>
      </c>
      <c r="S15" s="64" t="s">
        <v>151</v>
      </c>
      <c r="T15" s="66"/>
      <c r="U15" s="59">
        <f>_xll.dnetGBlackScholesNGreeks("delta",$Q15,$P15,$G15,$I15,$C$3,$J15,$K15,$C$4)*R15</f>
        <v>4.8445993718360114E-2</v>
      </c>
      <c r="V15" s="59">
        <f>_xll.dnetGBlackScholesNGreeks("vega",$Q15,$P15,$G15,$I15,$C$3,$J15,$K15,$C$4)*R15</f>
        <v>1.0463556089013224</v>
      </c>
    </row>
    <row r="16" spans="1:22" ht="14.25" thickBot="1">
      <c r="A16" s="73"/>
      <c r="B16" s="67" t="s">
        <v>175</v>
      </c>
      <c r="C16" s="68" t="s">
        <v>160</v>
      </c>
      <c r="D16" s="68" t="str">
        <f>D15</f>
        <v>rb1810</v>
      </c>
      <c r="E16" s="70">
        <f ca="1">E15</f>
        <v>43171</v>
      </c>
      <c r="F16" s="70">
        <f ca="1">F15</f>
        <v>43201</v>
      </c>
      <c r="G16" s="68" t="str">
        <f>G14 &amp; "|" &amp; G15</f>
        <v>3400|4000</v>
      </c>
      <c r="H16" s="68">
        <f>H15</f>
        <v>30</v>
      </c>
      <c r="I16" s="71">
        <f>I15</f>
        <v>8.2191780821917804E-2</v>
      </c>
      <c r="J16" s="71"/>
      <c r="K16" s="68"/>
      <c r="L16" s="67">
        <f>L15+L14</f>
        <v>-14.066350718408302</v>
      </c>
      <c r="M16" s="68"/>
      <c r="N16" s="67">
        <f>M16/10000*I16*P16</f>
        <v>0</v>
      </c>
      <c r="O16" s="67">
        <f t="shared" si="1"/>
        <v>14.066350718408302</v>
      </c>
      <c r="P16" s="189">
        <f>P15</f>
        <v>3631</v>
      </c>
      <c r="Q16" s="68"/>
      <c r="R16" s="68"/>
      <c r="S16" s="64" t="s">
        <v>151</v>
      </c>
      <c r="T16" s="72">
        <f>O16/P16</f>
        <v>3.8739605393578358E-3</v>
      </c>
      <c r="U16" s="72">
        <f>U15+U14</f>
        <v>0.19477096673199412</v>
      </c>
      <c r="V16" s="72">
        <f>V15+V14</f>
        <v>-1.3379247189656809</v>
      </c>
    </row>
    <row r="17" spans="1:22" ht="14.25" thickTop="1">
      <c r="A17" s="73"/>
      <c r="B17" s="51" t="s">
        <v>173</v>
      </c>
      <c r="C17" s="52" t="s">
        <v>160</v>
      </c>
      <c r="D17" s="52" t="s">
        <v>215</v>
      </c>
      <c r="E17" s="54">
        <f ca="1">TODAY()</f>
        <v>43171</v>
      </c>
      <c r="F17" s="54">
        <f ca="1">E17+H17</f>
        <v>43201</v>
      </c>
      <c r="G17" s="52">
        <v>3500</v>
      </c>
      <c r="H17" s="52">
        <v>30</v>
      </c>
      <c r="I17" s="55">
        <f>H17/365</f>
        <v>8.2191780821917804E-2</v>
      </c>
      <c r="J17" s="55">
        <v>0</v>
      </c>
      <c r="K17" s="56">
        <v>0.22500000000000001</v>
      </c>
      <c r="L17" s="51">
        <f>_xll.dnetGBlackScholesNGreeks("price",$Q17,$P17,$G17,$I17,$C$3,$J17,$K17,$C$4)*R17</f>
        <v>-40.659101592352954</v>
      </c>
      <c r="M17" s="57"/>
      <c r="N17" s="51"/>
      <c r="O17" s="51">
        <f t="shared" si="1"/>
        <v>40.659101592352954</v>
      </c>
      <c r="P17" s="188">
        <f>RTD("wdf.rtq",,D17,"LastPrice")</f>
        <v>3631</v>
      </c>
      <c r="Q17" s="52" t="s">
        <v>85</v>
      </c>
      <c r="R17" s="52">
        <f>IF(S17="中金买入",1,-1)</f>
        <v>-1</v>
      </c>
      <c r="S17" s="56" t="s">
        <v>20</v>
      </c>
      <c r="T17" s="58"/>
      <c r="U17" s="51">
        <f>_xll.dnetGBlackScholesNGreeks("delta",$Q17,$P17,$G17,$I17,$C$3,$J17,$K17,$C$4)*R17</f>
        <v>0.27317224400462692</v>
      </c>
      <c r="V17" s="51">
        <f>_xll.dnetGBlackScholesNGreeks("vega",$Q17,$P17,$G17,$I17,$C$3,$J17,$K17,$C$4)*R17</f>
        <v>-3.4581527973694506</v>
      </c>
    </row>
    <row r="18" spans="1:22" ht="13.5">
      <c r="A18" s="73"/>
      <c r="B18" s="59" t="s">
        <v>174</v>
      </c>
      <c r="C18" s="60" t="s">
        <v>160</v>
      </c>
      <c r="D18" s="60" t="str">
        <f>D17</f>
        <v>rb1810</v>
      </c>
      <c r="E18" s="62">
        <f ca="1">E17</f>
        <v>43171</v>
      </c>
      <c r="F18" s="62">
        <f ca="1">F17</f>
        <v>43201</v>
      </c>
      <c r="G18" s="60">
        <v>4000</v>
      </c>
      <c r="H18" s="60">
        <f>H17</f>
        <v>30</v>
      </c>
      <c r="I18" s="63">
        <f>H18/365</f>
        <v>8.2191780821917804E-2</v>
      </c>
      <c r="J18" s="63">
        <f>J17</f>
        <v>0</v>
      </c>
      <c r="K18" s="64">
        <v>0.2</v>
      </c>
      <c r="L18" s="59">
        <f>_xll.dnetGBlackScholesNGreeks("price",$Q18,$P18,$G18,$I18,$C$3,$J18,$K18,$C$4)*R18</f>
        <v>4.1066513156679605</v>
      </c>
      <c r="M18" s="65"/>
      <c r="N18" s="59"/>
      <c r="O18" s="59">
        <f t="shared" si="1"/>
        <v>4.1066513156679605</v>
      </c>
      <c r="P18" s="111">
        <f>P17</f>
        <v>3631</v>
      </c>
      <c r="Q18" s="60" t="s">
        <v>39</v>
      </c>
      <c r="R18" s="60">
        <f>IF(S18="中金买入",1,-1)</f>
        <v>1</v>
      </c>
      <c r="S18" s="64" t="s">
        <v>151</v>
      </c>
      <c r="T18" s="66"/>
      <c r="U18" s="59">
        <f>_xll.dnetGBlackScholesNGreeks("delta",$Q18,$P18,$G18,$I18,$C$3,$J18,$K18,$C$4)*R18</f>
        <v>4.8445993718360114E-2</v>
      </c>
      <c r="V18" s="59">
        <f>_xll.dnetGBlackScholesNGreeks("vega",$Q18,$P18,$G18,$I18,$C$3,$J18,$K18,$C$4)*R18</f>
        <v>1.0463556089013224</v>
      </c>
    </row>
    <row r="19" spans="1:22" ht="14.25" thickBot="1">
      <c r="A19" s="73"/>
      <c r="B19" s="67" t="s">
        <v>175</v>
      </c>
      <c r="C19" s="68" t="s">
        <v>160</v>
      </c>
      <c r="D19" s="68" t="str">
        <f>D18</f>
        <v>rb1810</v>
      </c>
      <c r="E19" s="70">
        <f ca="1">E18</f>
        <v>43171</v>
      </c>
      <c r="F19" s="70">
        <f ca="1">F18</f>
        <v>43201</v>
      </c>
      <c r="G19" s="68" t="str">
        <f>G17 &amp; "|" &amp; G18</f>
        <v>3500|4000</v>
      </c>
      <c r="H19" s="68">
        <f>H18</f>
        <v>30</v>
      </c>
      <c r="I19" s="71">
        <f>I18</f>
        <v>8.2191780821917804E-2</v>
      </c>
      <c r="J19" s="71"/>
      <c r="K19" s="68"/>
      <c r="L19" s="67">
        <f>L18+L17</f>
        <v>-36.552450276684993</v>
      </c>
      <c r="M19" s="68"/>
      <c r="N19" s="67">
        <f>M19/10000*I19*P19</f>
        <v>0</v>
      </c>
      <c r="O19" s="67">
        <f t="shared" si="1"/>
        <v>36.552450276684993</v>
      </c>
      <c r="P19" s="189">
        <f>P18</f>
        <v>3631</v>
      </c>
      <c r="Q19" s="68"/>
      <c r="R19" s="68"/>
      <c r="S19" s="64" t="s">
        <v>151</v>
      </c>
      <c r="T19" s="72">
        <f>O19/P19</f>
        <v>1.0066772315253372E-2</v>
      </c>
      <c r="U19" s="72">
        <f>U18+U17</f>
        <v>0.32161823772298703</v>
      </c>
      <c r="V19" s="72">
        <f>V18+V17</f>
        <v>-2.4117971884681282</v>
      </c>
    </row>
    <row r="20" spans="1:22" s="114" customFormat="1" ht="14.25" thickTop="1">
      <c r="A20" s="113"/>
      <c r="B20" s="51" t="s">
        <v>173</v>
      </c>
      <c r="C20" s="52" t="s">
        <v>160</v>
      </c>
      <c r="D20" s="52" t="s">
        <v>215</v>
      </c>
      <c r="E20" s="54">
        <f ca="1">TODAY()</f>
        <v>43171</v>
      </c>
      <c r="F20" s="54">
        <f ca="1">E20+H20</f>
        <v>43261</v>
      </c>
      <c r="G20" s="52">
        <v>3300</v>
      </c>
      <c r="H20" s="52">
        <v>90</v>
      </c>
      <c r="I20" s="55">
        <f>H20/365</f>
        <v>0.24657534246575341</v>
      </c>
      <c r="J20" s="55">
        <v>0</v>
      </c>
      <c r="K20" s="56">
        <v>0.22500000000000001</v>
      </c>
      <c r="L20" s="51">
        <f>_xll.dnetGBlackScholesNGreeks("price",$Q20,$P20,$G20,$I20,$C$3,$J20,$K20,$C$4)*R20</f>
        <v>-41.863617046984245</v>
      </c>
      <c r="M20" s="57"/>
      <c r="N20" s="51"/>
      <c r="O20" s="51">
        <f t="shared" si="1"/>
        <v>41.863617046984245</v>
      </c>
      <c r="P20" s="188">
        <f>RTD("wdf.rtq",,D20,"LastPrice")</f>
        <v>3631</v>
      </c>
      <c r="Q20" s="52" t="s">
        <v>85</v>
      </c>
      <c r="R20" s="52">
        <f>IF(S20="中金买入",1,-1)</f>
        <v>-1</v>
      </c>
      <c r="S20" s="56" t="s">
        <v>20</v>
      </c>
      <c r="T20" s="58"/>
      <c r="U20" s="51">
        <f>_xll.dnetGBlackScholesNGreeks("delta",$Q20,$P20,$G20,$I20,$C$3,$J20,$K20,$C$4)*R20</f>
        <v>0.18015344563195868</v>
      </c>
      <c r="V20" s="51">
        <f>_xll.dnetGBlackScholesNGreeks("vega",$Q20,$P20,$G20,$I20,$C$3,$J20,$K20,$C$4)*R20</f>
        <v>-4.7223700483854714</v>
      </c>
    </row>
    <row r="21" spans="1:22" s="112" customFormat="1" ht="13.5">
      <c r="A21" s="115"/>
      <c r="B21" s="59" t="s">
        <v>174</v>
      </c>
      <c r="C21" s="60" t="s">
        <v>160</v>
      </c>
      <c r="D21" s="60" t="str">
        <f>D20</f>
        <v>rb1810</v>
      </c>
      <c r="E21" s="62">
        <f ca="1">E20</f>
        <v>43171</v>
      </c>
      <c r="F21" s="62">
        <f ca="1">F20</f>
        <v>43261</v>
      </c>
      <c r="G21" s="60">
        <v>4000</v>
      </c>
      <c r="H21" s="60">
        <f>H20</f>
        <v>90</v>
      </c>
      <c r="I21" s="63">
        <f>H21/365</f>
        <v>0.24657534246575341</v>
      </c>
      <c r="J21" s="63">
        <f>J20</f>
        <v>0</v>
      </c>
      <c r="K21" s="64">
        <v>0.2</v>
      </c>
      <c r="L21" s="59">
        <f>_xll.dnetGBlackScholesNGreeks("price",$Q21,$P21,$G21,$I21,$C$3,$J21,$K21,$C$4)*R21</f>
        <v>32.902748271303267</v>
      </c>
      <c r="M21" s="65"/>
      <c r="N21" s="59"/>
      <c r="O21" s="59">
        <f t="shared" si="1"/>
        <v>32.902748271303267</v>
      </c>
      <c r="P21" s="111">
        <f>P20</f>
        <v>3631</v>
      </c>
      <c r="Q21" s="60" t="s">
        <v>39</v>
      </c>
      <c r="R21" s="60">
        <f>IF(S21="中金买入",1,-1)</f>
        <v>1</v>
      </c>
      <c r="S21" s="64" t="s">
        <v>151</v>
      </c>
      <c r="T21" s="66"/>
      <c r="U21" s="59">
        <f>_xll.dnetGBlackScholesNGreeks("delta",$Q21,$P21,$G21,$I21,$C$3,$J21,$K21,$C$4)*R21</f>
        <v>0.17663458627339423</v>
      </c>
      <c r="V21" s="59">
        <f>_xll.dnetGBlackScholesNGreeks("vega",$Q21,$P21,$G21,$I21,$C$3,$J21,$K21,$C$4)*R21</f>
        <v>4.6629129153503754</v>
      </c>
    </row>
    <row r="22" spans="1:22" s="112" customFormat="1" ht="14.25" thickBot="1">
      <c r="A22" s="115"/>
      <c r="B22" s="67" t="s">
        <v>175</v>
      </c>
      <c r="C22" s="68" t="s">
        <v>160</v>
      </c>
      <c r="D22" s="68" t="str">
        <f>D21</f>
        <v>rb1810</v>
      </c>
      <c r="E22" s="70">
        <f ca="1">E21</f>
        <v>43171</v>
      </c>
      <c r="F22" s="70">
        <f ca="1">F21</f>
        <v>43261</v>
      </c>
      <c r="G22" s="68" t="str">
        <f>G20 &amp; "|" &amp; G21</f>
        <v>3300|4000</v>
      </c>
      <c r="H22" s="68">
        <f>H21</f>
        <v>90</v>
      </c>
      <c r="I22" s="71">
        <f>I21</f>
        <v>0.24657534246575341</v>
      </c>
      <c r="J22" s="71"/>
      <c r="K22" s="68"/>
      <c r="L22" s="67">
        <f>L21+L20</f>
        <v>-8.9608687756809786</v>
      </c>
      <c r="M22" s="68"/>
      <c r="N22" s="67">
        <f>M22/10000*I22*P22</f>
        <v>0</v>
      </c>
      <c r="O22" s="67">
        <f t="shared" si="1"/>
        <v>8.9608687756809786</v>
      </c>
      <c r="P22" s="189">
        <f>P21</f>
        <v>3631</v>
      </c>
      <c r="Q22" s="68"/>
      <c r="R22" s="68"/>
      <c r="S22" s="64" t="s">
        <v>151</v>
      </c>
      <c r="T22" s="72">
        <f>O22/P22</f>
        <v>2.46787903488873E-3</v>
      </c>
      <c r="U22" s="72">
        <f>U21+U20</f>
        <v>0.35678803190535291</v>
      </c>
      <c r="V22" s="72">
        <f>V21+V20</f>
        <v>-5.9457133035095922E-2</v>
      </c>
    </row>
    <row r="23" spans="1:22" s="112" customFormat="1" ht="14.25" thickTop="1">
      <c r="A23" s="115"/>
      <c r="B23" s="51" t="s">
        <v>173</v>
      </c>
      <c r="C23" s="52" t="s">
        <v>160</v>
      </c>
      <c r="D23" s="52" t="s">
        <v>215</v>
      </c>
      <c r="E23" s="54">
        <f ca="1">TODAY()</f>
        <v>43171</v>
      </c>
      <c r="F23" s="54">
        <f ca="1">E23+H23</f>
        <v>43261</v>
      </c>
      <c r="G23" s="52">
        <v>3400</v>
      </c>
      <c r="H23" s="52">
        <v>90</v>
      </c>
      <c r="I23" s="55">
        <f>H23/365</f>
        <v>0.24657534246575341</v>
      </c>
      <c r="J23" s="55">
        <v>0</v>
      </c>
      <c r="K23" s="56">
        <v>0.22500000000000001</v>
      </c>
      <c r="L23" s="51">
        <f>_xll.dnetGBlackScholesNGreeks("price",$Q23,$P23,$G23,$I23,$C$3,$J23,$K23,$C$4)*R23</f>
        <v>-67.091660877726554</v>
      </c>
      <c r="M23" s="57"/>
      <c r="N23" s="51"/>
      <c r="O23" s="51">
        <f t="shared" si="1"/>
        <v>67.091660877726554</v>
      </c>
      <c r="P23" s="188">
        <f>RTD("wdf.rtq",,D23,"LastPrice")</f>
        <v>3631</v>
      </c>
      <c r="Q23" s="52" t="s">
        <v>85</v>
      </c>
      <c r="R23" s="52">
        <f>IF(S23="中金买入",1,-1)</f>
        <v>-1</v>
      </c>
      <c r="S23" s="56" t="s">
        <v>20</v>
      </c>
      <c r="T23" s="58"/>
      <c r="U23" s="51">
        <f>_xll.dnetGBlackScholesNGreeks("delta",$Q23,$P23,$G23,$I23,$C$3,$J23,$K23,$C$4)*R23</f>
        <v>0.25844607577028</v>
      </c>
      <c r="V23" s="51">
        <f>_xll.dnetGBlackScholesNGreeks("vega",$Q23,$P23,$G23,$I23,$C$3,$J23,$K23,$C$4)*R23</f>
        <v>-5.8146443099124667</v>
      </c>
    </row>
    <row r="24" spans="1:22" s="112" customFormat="1" ht="13.5">
      <c r="A24" s="115"/>
      <c r="B24" s="59" t="s">
        <v>174</v>
      </c>
      <c r="C24" s="60" t="s">
        <v>160</v>
      </c>
      <c r="D24" s="60" t="str">
        <f>D23</f>
        <v>rb1810</v>
      </c>
      <c r="E24" s="62">
        <f ca="1">E23</f>
        <v>43171</v>
      </c>
      <c r="F24" s="62">
        <f ca="1">F23</f>
        <v>43261</v>
      </c>
      <c r="G24" s="60">
        <v>4000</v>
      </c>
      <c r="H24" s="60">
        <f>H23</f>
        <v>90</v>
      </c>
      <c r="I24" s="63">
        <f>H24/365</f>
        <v>0.24657534246575341</v>
      </c>
      <c r="J24" s="63">
        <f>J23</f>
        <v>0</v>
      </c>
      <c r="K24" s="64">
        <v>0.2</v>
      </c>
      <c r="L24" s="59">
        <f>_xll.dnetGBlackScholesNGreeks("price",$Q24,$P24,$G24,$I24,$C$3,$J24,$K24,$C$4)*R24</f>
        <v>32.902748271303267</v>
      </c>
      <c r="M24" s="65"/>
      <c r="N24" s="59"/>
      <c r="O24" s="59">
        <f t="shared" si="1"/>
        <v>32.902748271303267</v>
      </c>
      <c r="P24" s="111">
        <f>P23</f>
        <v>3631</v>
      </c>
      <c r="Q24" s="60" t="s">
        <v>39</v>
      </c>
      <c r="R24" s="60">
        <f>IF(S24="中金买入",1,-1)</f>
        <v>1</v>
      </c>
      <c r="S24" s="64" t="s">
        <v>151</v>
      </c>
      <c r="T24" s="66"/>
      <c r="U24" s="59">
        <f>_xll.dnetGBlackScholesNGreeks("delta",$Q24,$P24,$G24,$I24,$C$3,$J24,$K24,$C$4)*R24</f>
        <v>0.17663458627339423</v>
      </c>
      <c r="V24" s="59">
        <f>_xll.dnetGBlackScholesNGreeks("vega",$Q24,$P24,$G24,$I24,$C$3,$J24,$K24,$C$4)*R24</f>
        <v>4.6629129153503754</v>
      </c>
    </row>
    <row r="25" spans="1:22" s="112" customFormat="1" ht="14.25" thickBot="1">
      <c r="A25" s="115"/>
      <c r="B25" s="67" t="s">
        <v>175</v>
      </c>
      <c r="C25" s="68" t="s">
        <v>160</v>
      </c>
      <c r="D25" s="68" t="str">
        <f>D24</f>
        <v>rb1810</v>
      </c>
      <c r="E25" s="70">
        <f ca="1">E24</f>
        <v>43171</v>
      </c>
      <c r="F25" s="70">
        <f ca="1">F24</f>
        <v>43261</v>
      </c>
      <c r="G25" s="68" t="str">
        <f>G23 &amp; "|" &amp; G24</f>
        <v>3400|4000</v>
      </c>
      <c r="H25" s="68">
        <f>H24</f>
        <v>90</v>
      </c>
      <c r="I25" s="71">
        <f>I24</f>
        <v>0.24657534246575341</v>
      </c>
      <c r="J25" s="71"/>
      <c r="K25" s="68"/>
      <c r="L25" s="67">
        <f>L24+L23</f>
        <v>-34.188912606423287</v>
      </c>
      <c r="M25" s="68"/>
      <c r="N25" s="67">
        <f>M25/10000*I25*P25</f>
        <v>0</v>
      </c>
      <c r="O25" s="67">
        <f t="shared" si="1"/>
        <v>34.188912606423287</v>
      </c>
      <c r="P25" s="189">
        <f>P24</f>
        <v>3631</v>
      </c>
      <c r="Q25" s="68"/>
      <c r="R25" s="68"/>
      <c r="S25" s="64" t="s">
        <v>151</v>
      </c>
      <c r="T25" s="72">
        <f>O25/P25</f>
        <v>9.4158393297778253E-3</v>
      </c>
      <c r="U25" s="72">
        <f>U24+U23</f>
        <v>0.43508066204367424</v>
      </c>
      <c r="V25" s="72">
        <f>V24+V23</f>
        <v>-1.1517313945620913</v>
      </c>
    </row>
    <row r="26" spans="1:22" s="112" customFormat="1" ht="14.25" thickTop="1">
      <c r="A26" s="115"/>
      <c r="B26" s="51" t="s">
        <v>173</v>
      </c>
      <c r="C26" s="52" t="s">
        <v>160</v>
      </c>
      <c r="D26" s="52" t="s">
        <v>215</v>
      </c>
      <c r="E26" s="54">
        <f ca="1">TODAY()</f>
        <v>43171</v>
      </c>
      <c r="F26" s="54">
        <f ca="1">E26+H26</f>
        <v>43261</v>
      </c>
      <c r="G26" s="52">
        <v>3500</v>
      </c>
      <c r="H26" s="52">
        <v>90</v>
      </c>
      <c r="I26" s="55">
        <f>H26/365</f>
        <v>0.24657534246575341</v>
      </c>
      <c r="J26" s="55">
        <v>0</v>
      </c>
      <c r="K26" s="56">
        <v>0.22500000000000001</v>
      </c>
      <c r="L26" s="51">
        <f>_xll.dnetGBlackScholesNGreeks("price",$Q26,$P26,$G26,$I26,$C$3,$J26,$K26,$C$4)*R26</f>
        <v>-101.34358518359682</v>
      </c>
      <c r="M26" s="57"/>
      <c r="N26" s="51"/>
      <c r="O26" s="51">
        <f t="shared" si="1"/>
        <v>101.34358518359682</v>
      </c>
      <c r="P26" s="188">
        <f>RTD("wdf.rtq",,D26,"LastPrice")</f>
        <v>3631</v>
      </c>
      <c r="Q26" s="52" t="s">
        <v>85</v>
      </c>
      <c r="R26" s="52">
        <f>IF(S26="中金买入",1,-1)</f>
        <v>-1</v>
      </c>
      <c r="S26" s="56" t="s">
        <v>20</v>
      </c>
      <c r="T26" s="58"/>
      <c r="U26" s="51">
        <f>_xll.dnetGBlackScholesNGreeks("delta",$Q26,$P26,$G26,$I26,$C$3,$J26,$K26,$C$4)*R26</f>
        <v>0.34848956814812482</v>
      </c>
      <c r="V26" s="51">
        <f>_xll.dnetGBlackScholesNGreeks("vega",$Q26,$P26,$G26,$I26,$C$3,$J26,$K26,$C$4)*R26</f>
        <v>-6.6462960759097314</v>
      </c>
    </row>
    <row r="27" spans="1:22" s="112" customFormat="1" ht="13.5">
      <c r="A27" s="115"/>
      <c r="B27" s="59" t="s">
        <v>174</v>
      </c>
      <c r="C27" s="60" t="s">
        <v>160</v>
      </c>
      <c r="D27" s="60" t="str">
        <f>D26</f>
        <v>rb1810</v>
      </c>
      <c r="E27" s="62">
        <f ca="1">E26</f>
        <v>43171</v>
      </c>
      <c r="F27" s="62">
        <f ca="1">F26</f>
        <v>43261</v>
      </c>
      <c r="G27" s="60">
        <v>4000</v>
      </c>
      <c r="H27" s="60">
        <f>H26</f>
        <v>90</v>
      </c>
      <c r="I27" s="63">
        <f>H27/365</f>
        <v>0.24657534246575341</v>
      </c>
      <c r="J27" s="63">
        <f>J26</f>
        <v>0</v>
      </c>
      <c r="K27" s="64">
        <v>0.2</v>
      </c>
      <c r="L27" s="59">
        <f>_xll.dnetGBlackScholesNGreeks("price",$Q27,$P27,$G27,$I27,$C$3,$J27,$K27,$C$4)*R27</f>
        <v>32.902748271303267</v>
      </c>
      <c r="M27" s="65"/>
      <c r="N27" s="59"/>
      <c r="O27" s="59">
        <f t="shared" si="1"/>
        <v>32.902748271303267</v>
      </c>
      <c r="P27" s="111">
        <f>P26</f>
        <v>3631</v>
      </c>
      <c r="Q27" s="60" t="s">
        <v>39</v>
      </c>
      <c r="R27" s="60">
        <f>IF(S27="中金买入",1,-1)</f>
        <v>1</v>
      </c>
      <c r="S27" s="64" t="s">
        <v>151</v>
      </c>
      <c r="T27" s="66"/>
      <c r="U27" s="59">
        <f>_xll.dnetGBlackScholesNGreeks("delta",$Q27,$P27,$G27,$I27,$C$3,$J27,$K27,$C$4)*R27</f>
        <v>0.17663458627339423</v>
      </c>
      <c r="V27" s="59">
        <f>_xll.dnetGBlackScholesNGreeks("vega",$Q27,$P27,$G27,$I27,$C$3,$J27,$K27,$C$4)*R27</f>
        <v>4.6629129153503754</v>
      </c>
    </row>
    <row r="28" spans="1:22" s="112" customFormat="1" ht="14.25" thickBot="1">
      <c r="A28" s="115"/>
      <c r="B28" s="67" t="s">
        <v>175</v>
      </c>
      <c r="C28" s="68" t="s">
        <v>160</v>
      </c>
      <c r="D28" s="68" t="str">
        <f>D27</f>
        <v>rb1810</v>
      </c>
      <c r="E28" s="70">
        <f ca="1">E27</f>
        <v>43171</v>
      </c>
      <c r="F28" s="70">
        <f ca="1">F27</f>
        <v>43261</v>
      </c>
      <c r="G28" s="68" t="str">
        <f>G26 &amp; "|" &amp; G27</f>
        <v>3500|4000</v>
      </c>
      <c r="H28" s="68">
        <f>H27</f>
        <v>90</v>
      </c>
      <c r="I28" s="71">
        <f>I27</f>
        <v>0.24657534246575341</v>
      </c>
      <c r="J28" s="71"/>
      <c r="K28" s="68"/>
      <c r="L28" s="67">
        <f>L27+L26</f>
        <v>-68.440836912293548</v>
      </c>
      <c r="M28" s="68"/>
      <c r="N28" s="67">
        <f>M28/10000*I28*P28</f>
        <v>0</v>
      </c>
      <c r="O28" s="67">
        <f t="shared" si="1"/>
        <v>68.440836912293548</v>
      </c>
      <c r="P28" s="189">
        <f>P27</f>
        <v>3631</v>
      </c>
      <c r="Q28" s="68"/>
      <c r="R28" s="68"/>
      <c r="S28" s="64" t="s">
        <v>151</v>
      </c>
      <c r="T28" s="72">
        <f>O28/P28</f>
        <v>1.8849032473779552E-2</v>
      </c>
      <c r="U28" s="72">
        <f>U27+U26</f>
        <v>0.52512415442151905</v>
      </c>
      <c r="V28" s="72">
        <f>V27+V26</f>
        <v>-1.9833831605593559</v>
      </c>
    </row>
    <row r="29" spans="1:22" s="126" customFormat="1" ht="13.5">
      <c r="A29" s="116"/>
      <c r="B29" s="117"/>
      <c r="C29" s="118"/>
      <c r="D29" s="118"/>
      <c r="E29" s="119"/>
      <c r="F29" s="119"/>
      <c r="G29" s="120"/>
      <c r="H29" s="118"/>
      <c r="I29" s="121"/>
      <c r="J29" s="121"/>
      <c r="K29" s="122"/>
      <c r="L29" s="117"/>
      <c r="M29" s="123"/>
      <c r="N29" s="117"/>
      <c r="O29" s="117"/>
      <c r="P29" s="124"/>
      <c r="Q29" s="118"/>
      <c r="R29" s="118"/>
      <c r="S29" s="122"/>
      <c r="T29" s="125"/>
      <c r="U29" s="117"/>
      <c r="V29" s="117"/>
    </row>
    <row r="30" spans="1:22" s="112" customFormat="1" ht="13.5">
      <c r="A30" s="127"/>
      <c r="B30" s="59"/>
      <c r="C30" s="60"/>
      <c r="D30" s="60"/>
      <c r="E30" s="62"/>
      <c r="F30" s="62"/>
      <c r="G30" s="61"/>
      <c r="H30" s="60"/>
      <c r="I30" s="63"/>
      <c r="J30" s="63"/>
      <c r="K30" s="64"/>
      <c r="L30" s="59"/>
      <c r="M30" s="65"/>
      <c r="N30" s="59"/>
      <c r="O30" s="59"/>
      <c r="P30" s="61"/>
      <c r="Q30" s="60"/>
      <c r="R30" s="60"/>
      <c r="S30" s="64"/>
      <c r="T30" s="66"/>
      <c r="U30" s="59"/>
      <c r="V30" s="59"/>
    </row>
    <row r="31" spans="1:22" s="112" customFormat="1" ht="13.5">
      <c r="A31" s="127"/>
      <c r="B31" s="67"/>
      <c r="C31" s="68"/>
      <c r="D31" s="68"/>
      <c r="E31" s="70"/>
      <c r="F31" s="70"/>
      <c r="G31" s="68"/>
      <c r="H31" s="68"/>
      <c r="I31" s="71"/>
      <c r="J31" s="71"/>
      <c r="K31" s="68"/>
      <c r="L31" s="67"/>
      <c r="M31" s="68"/>
      <c r="N31" s="67"/>
      <c r="O31" s="67"/>
      <c r="P31" s="69"/>
      <c r="Q31" s="68"/>
      <c r="R31" s="68"/>
      <c r="S31" s="64"/>
      <c r="T31" s="72"/>
      <c r="U31" s="72"/>
      <c r="V31" s="72"/>
    </row>
    <row r="32" spans="1:22" s="112" customFormat="1" ht="13.5">
      <c r="A32" s="127"/>
      <c r="B32" s="59"/>
      <c r="C32" s="60"/>
      <c r="D32" s="60"/>
      <c r="E32" s="62"/>
      <c r="F32" s="62"/>
      <c r="G32" s="61"/>
      <c r="H32" s="60"/>
      <c r="I32" s="63"/>
      <c r="J32" s="63"/>
      <c r="K32" s="64"/>
      <c r="L32" s="59"/>
      <c r="M32" s="65"/>
      <c r="N32" s="59"/>
      <c r="O32" s="59"/>
      <c r="P32" s="111"/>
      <c r="Q32" s="60"/>
      <c r="R32" s="60"/>
      <c r="S32" s="64"/>
      <c r="T32" s="66"/>
      <c r="U32" s="59"/>
      <c r="V32" s="59"/>
    </row>
    <row r="33" spans="1:22" s="112" customFormat="1" ht="13.5">
      <c r="A33" s="127"/>
      <c r="B33" s="59"/>
      <c r="C33" s="60"/>
      <c r="D33" s="60"/>
      <c r="E33" s="62"/>
      <c r="F33" s="62"/>
      <c r="G33" s="61"/>
      <c r="H33" s="60"/>
      <c r="I33" s="63"/>
      <c r="J33" s="63"/>
      <c r="K33" s="64"/>
      <c r="L33" s="59"/>
      <c r="M33" s="65"/>
      <c r="N33" s="59"/>
      <c r="O33" s="59"/>
      <c r="P33" s="61"/>
      <c r="Q33" s="60"/>
      <c r="R33" s="60"/>
      <c r="S33" s="64"/>
      <c r="T33" s="66"/>
      <c r="U33" s="59"/>
      <c r="V33" s="59"/>
    </row>
    <row r="34" spans="1:22" s="112" customFormat="1" ht="13.5">
      <c r="A34" s="127"/>
      <c r="B34" s="67"/>
      <c r="C34" s="68"/>
      <c r="D34" s="68"/>
      <c r="E34" s="70"/>
      <c r="F34" s="70"/>
      <c r="G34" s="68"/>
      <c r="H34" s="68"/>
      <c r="I34" s="71"/>
      <c r="J34" s="71"/>
      <c r="K34" s="68"/>
      <c r="L34" s="67"/>
      <c r="M34" s="68"/>
      <c r="N34" s="67"/>
      <c r="O34" s="67"/>
      <c r="P34" s="69"/>
      <c r="Q34" s="68"/>
      <c r="R34" s="68"/>
      <c r="S34" s="64"/>
      <c r="T34" s="72"/>
      <c r="U34" s="72"/>
      <c r="V34" s="72"/>
    </row>
    <row r="35" spans="1:22" s="112" customFormat="1" ht="13.5">
      <c r="A35" s="127"/>
      <c r="B35" s="59"/>
      <c r="C35" s="60"/>
      <c r="D35" s="60"/>
      <c r="E35" s="62"/>
      <c r="F35" s="62"/>
      <c r="G35" s="61"/>
      <c r="H35" s="60"/>
      <c r="I35" s="63"/>
      <c r="J35" s="63"/>
      <c r="K35" s="64"/>
      <c r="L35" s="59"/>
      <c r="M35" s="65"/>
      <c r="N35" s="59"/>
      <c r="O35" s="59"/>
      <c r="P35" s="111"/>
      <c r="Q35" s="60"/>
      <c r="R35" s="60"/>
      <c r="S35" s="64"/>
      <c r="T35" s="66"/>
      <c r="U35" s="59"/>
      <c r="V35" s="59"/>
    </row>
    <row r="36" spans="1:22" s="112" customFormat="1" ht="13.5">
      <c r="A36" s="127"/>
      <c r="B36" s="59"/>
      <c r="C36" s="60"/>
      <c r="D36" s="60"/>
      <c r="E36" s="62"/>
      <c r="F36" s="62"/>
      <c r="G36" s="61"/>
      <c r="H36" s="60"/>
      <c r="I36" s="63"/>
      <c r="J36" s="63"/>
      <c r="K36" s="64"/>
      <c r="L36" s="59"/>
      <c r="M36" s="65"/>
      <c r="N36" s="59"/>
      <c r="O36" s="59"/>
      <c r="P36" s="61"/>
      <c r="Q36" s="60"/>
      <c r="R36" s="60"/>
      <c r="S36" s="64"/>
      <c r="T36" s="66"/>
      <c r="U36" s="59"/>
      <c r="V36" s="59"/>
    </row>
    <row r="37" spans="1:22" s="136" customFormat="1" ht="14.25" thickBot="1">
      <c r="A37" s="128"/>
      <c r="B37" s="129"/>
      <c r="C37" s="130"/>
      <c r="D37" s="130"/>
      <c r="E37" s="131"/>
      <c r="F37" s="131"/>
      <c r="G37" s="130"/>
      <c r="H37" s="130"/>
      <c r="I37" s="132"/>
      <c r="J37" s="132"/>
      <c r="K37" s="130"/>
      <c r="L37" s="129"/>
      <c r="M37" s="130"/>
      <c r="N37" s="129"/>
      <c r="O37" s="129"/>
      <c r="P37" s="133"/>
      <c r="Q37" s="130"/>
      <c r="R37" s="130"/>
      <c r="S37" s="134"/>
      <c r="T37" s="135"/>
      <c r="U37" s="135"/>
      <c r="V37" s="135"/>
    </row>
    <row r="38" spans="1:22">
      <c r="B38" s="37"/>
      <c r="C38" s="32"/>
      <c r="D38" s="32"/>
      <c r="E38" s="34"/>
      <c r="F38" s="34"/>
      <c r="G38" s="32"/>
      <c r="H38" s="32"/>
      <c r="I38" s="35"/>
      <c r="J38" s="35"/>
      <c r="K38" s="36"/>
      <c r="L38" s="37"/>
      <c r="M38" s="38"/>
      <c r="N38" s="37"/>
      <c r="O38" s="37"/>
      <c r="P38" s="33"/>
      <c r="Q38" s="32"/>
      <c r="R38" s="32"/>
      <c r="S38" s="36"/>
      <c r="T38" s="39"/>
      <c r="U38" s="37"/>
      <c r="V38" s="37"/>
    </row>
    <row r="39" spans="1:22">
      <c r="B39" s="37"/>
      <c r="C39" s="32"/>
      <c r="D39" s="32"/>
      <c r="E39" s="34"/>
      <c r="F39" s="34"/>
      <c r="G39" s="32"/>
      <c r="H39" s="32"/>
      <c r="I39" s="35"/>
      <c r="J39" s="35"/>
      <c r="K39" s="36"/>
      <c r="L39" s="37"/>
      <c r="M39" s="38"/>
      <c r="N39" s="37"/>
      <c r="O39" s="37"/>
      <c r="P39" s="33"/>
      <c r="Q39" s="32"/>
      <c r="R39" s="32"/>
      <c r="S39" s="36"/>
      <c r="T39" s="39"/>
      <c r="U39" s="37"/>
      <c r="V39" s="37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Q8:Q39</xm:sqref>
        </x14:dataValidation>
        <x14:dataValidation type="list" allowBlank="1" showInputMessage="1" showErrorMessage="1">
          <x14:formula1>
            <xm:f>configs!$B$1:$B$2</xm:f>
          </x14:formula1>
          <xm:sqref>S8:S39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K35" sqref="K35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82" t="s">
        <v>38</v>
      </c>
      <c r="C1" s="182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42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3720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44">
        <v>0.02</v>
      </c>
      <c r="M8" s="21">
        <f ca="1">TODAY()</f>
        <v>43171</v>
      </c>
      <c r="N8" s="21">
        <f ca="1">M8+O8</f>
        <v>43201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-39.621133939458979</v>
      </c>
      <c r="T8" s="25">
        <v>80</v>
      </c>
      <c r="U8" s="24">
        <f>T8/10000*P8*H8</f>
        <v>2.446027397260274</v>
      </c>
      <c r="V8" s="24">
        <f>IF(S8&lt;=0,ABS(S8)+U8,S8-U8)</f>
        <v>42.067161336719252</v>
      </c>
      <c r="W8" s="26">
        <f>V8/H8</f>
        <v>1.1308376703419153E-2</v>
      </c>
      <c r="X8" s="24">
        <f>_xll.dnetStandardBarrierNGreeks("delta",G8,H8,I8,K8,L8*H8,P8,$C$3,Q8,R8,$C$4)</f>
        <v>0.15019976006094282</v>
      </c>
      <c r="Y8" s="24">
        <f>_xll.dnetStandardBarrierNGreeks("vega",G8,H8,I8,K8,L8*H8,P8,$C$3,Q8,R8,$C$4)</f>
        <v>0.88962533834381219</v>
      </c>
    </row>
    <row r="9" spans="1:25">
      <c r="A9" s="42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45">
        <v>5.0000000000000001E-3</v>
      </c>
      <c r="M9" s="8">
        <f ca="1">TODAY()</f>
        <v>43171</v>
      </c>
      <c r="N9" s="8">
        <f ca="1">M9+O9</f>
        <v>43351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45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45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45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I24" sqref="I24"/>
    </sheetView>
  </sheetViews>
  <sheetFormatPr defaultRowHeight="13.5"/>
  <cols>
    <col min="1" max="1" width="10.875" bestFit="1" customWidth="1"/>
  </cols>
  <sheetData>
    <row r="1" spans="1:6" ht="15.75" thickBot="1">
      <c r="A1" s="74">
        <v>43087</v>
      </c>
      <c r="B1" s="75"/>
      <c r="C1" s="76" t="s">
        <v>49</v>
      </c>
      <c r="D1" s="75"/>
      <c r="E1" s="76" t="s">
        <v>50</v>
      </c>
      <c r="F1" s="77"/>
    </row>
    <row r="2" spans="1:6" ht="15.75" thickBot="1">
      <c r="A2" s="78" t="s">
        <v>51</v>
      </c>
      <c r="B2" s="79" t="s">
        <v>52</v>
      </c>
      <c r="C2" s="80" t="s">
        <v>53</v>
      </c>
      <c r="D2" s="80" t="s">
        <v>54</v>
      </c>
      <c r="E2" s="80" t="s">
        <v>55</v>
      </c>
      <c r="F2" s="81" t="s">
        <v>56</v>
      </c>
    </row>
    <row r="3" spans="1:6" ht="15.75" thickBot="1">
      <c r="A3" s="82" t="s">
        <v>57</v>
      </c>
      <c r="B3" s="83" t="s">
        <v>58</v>
      </c>
      <c r="C3" s="84">
        <v>0.20499999999999999</v>
      </c>
      <c r="D3" s="84">
        <v>0.25</v>
      </c>
      <c r="E3" s="84">
        <v>0.21</v>
      </c>
      <c r="F3" s="86">
        <v>0.25</v>
      </c>
    </row>
    <row r="4" spans="1:6" ht="15.75" thickBot="1">
      <c r="A4" s="78" t="s">
        <v>59</v>
      </c>
      <c r="B4" s="79" t="s">
        <v>60</v>
      </c>
      <c r="C4" s="87">
        <v>0.13750000000000001</v>
      </c>
      <c r="D4" s="87">
        <v>0.1825</v>
      </c>
      <c r="E4" s="87">
        <v>0.14499999999999999</v>
      </c>
      <c r="F4" s="88">
        <v>0.185</v>
      </c>
    </row>
    <row r="5" spans="1:6" ht="15.75" thickBot="1">
      <c r="A5" s="82" t="s">
        <v>61</v>
      </c>
      <c r="B5" s="83" t="s">
        <v>62</v>
      </c>
      <c r="C5" s="85"/>
      <c r="D5" s="85"/>
      <c r="E5" s="85"/>
      <c r="F5" s="89"/>
    </row>
    <row r="6" spans="1:6" ht="15.75" thickBot="1">
      <c r="A6" s="78" t="s">
        <v>63</v>
      </c>
      <c r="B6" s="79" t="s">
        <v>64</v>
      </c>
      <c r="C6" s="90">
        <v>0.29499999999999998</v>
      </c>
      <c r="D6" s="90">
        <v>0.35499999999999998</v>
      </c>
      <c r="E6" s="90">
        <v>0.26500000000000001</v>
      </c>
      <c r="F6" s="91">
        <v>0.315</v>
      </c>
    </row>
    <row r="7" spans="1:6" ht="15.75" thickBot="1">
      <c r="A7" s="82" t="s">
        <v>65</v>
      </c>
      <c r="B7" s="83" t="s">
        <v>66</v>
      </c>
      <c r="C7" s="84">
        <v>0.15</v>
      </c>
      <c r="D7" s="84">
        <v>0.19</v>
      </c>
      <c r="E7" s="84">
        <v>0.155</v>
      </c>
      <c r="F7" s="86">
        <v>0.19</v>
      </c>
    </row>
    <row r="8" spans="1:6" ht="15.75" thickBot="1">
      <c r="A8" s="78" t="s">
        <v>67</v>
      </c>
      <c r="B8" s="79" t="s">
        <v>68</v>
      </c>
      <c r="C8" s="90">
        <v>0.32</v>
      </c>
      <c r="D8" s="90">
        <v>0.44</v>
      </c>
      <c r="E8" s="90">
        <v>0.32</v>
      </c>
      <c r="F8" s="91">
        <v>0.42</v>
      </c>
    </row>
    <row r="9" spans="1:6" ht="15.75" thickBot="1">
      <c r="A9" s="82" t="s">
        <v>69</v>
      </c>
      <c r="B9" s="83" t="s">
        <v>70</v>
      </c>
      <c r="C9" s="84">
        <v>0.32</v>
      </c>
      <c r="D9" s="84">
        <v>0.44</v>
      </c>
      <c r="E9" s="84">
        <v>0.32</v>
      </c>
      <c r="F9" s="86">
        <v>0.42</v>
      </c>
    </row>
    <row r="10" spans="1:6" ht="15.75" thickBot="1">
      <c r="A10" s="78" t="s">
        <v>71</v>
      </c>
      <c r="B10" s="79" t="s">
        <v>72</v>
      </c>
      <c r="C10" s="90">
        <v>0.24</v>
      </c>
      <c r="D10" s="90">
        <v>0.32</v>
      </c>
      <c r="E10" s="90">
        <v>0.27</v>
      </c>
      <c r="F10" s="91">
        <v>0.34</v>
      </c>
    </row>
    <row r="11" spans="1:6" ht="15.75" thickBot="1">
      <c r="A11" s="82" t="s">
        <v>73</v>
      </c>
      <c r="B11" s="83" t="s">
        <v>74</v>
      </c>
      <c r="C11" s="84">
        <v>0.32250000000000001</v>
      </c>
      <c r="D11" s="84">
        <v>0.39750000000000002</v>
      </c>
      <c r="E11" s="84">
        <v>0.32500000000000001</v>
      </c>
      <c r="F11" s="86">
        <v>0.39500000000000002</v>
      </c>
    </row>
    <row r="12" spans="1:6" ht="15.75" thickBot="1">
      <c r="A12" s="78" t="s">
        <v>75</v>
      </c>
      <c r="B12" s="79" t="s">
        <v>76</v>
      </c>
      <c r="C12" s="90">
        <v>0.215</v>
      </c>
      <c r="D12" s="90">
        <v>0.28499999999999998</v>
      </c>
      <c r="E12" s="90">
        <v>0.23499999999999999</v>
      </c>
      <c r="F12" s="91">
        <v>0.30499999999999999</v>
      </c>
    </row>
    <row r="13" spans="1:6" ht="15.75" thickBot="1">
      <c r="A13" s="82" t="s">
        <v>77</v>
      </c>
      <c r="B13" s="83" t="s">
        <v>78</v>
      </c>
      <c r="C13" s="84">
        <v>9.2499999999999999E-2</v>
      </c>
      <c r="D13" s="84">
        <v>0.1225</v>
      </c>
      <c r="E13" s="84">
        <v>0.1</v>
      </c>
      <c r="F13" s="86">
        <v>0.13</v>
      </c>
    </row>
    <row r="14" spans="1:6" ht="15.75" thickBot="1">
      <c r="A14" s="78" t="s">
        <v>79</v>
      </c>
      <c r="B14" s="79" t="s">
        <v>80</v>
      </c>
      <c r="C14" s="87">
        <v>0.11</v>
      </c>
      <c r="D14" s="87">
        <v>0.17</v>
      </c>
      <c r="E14" s="87">
        <v>0.14499999999999999</v>
      </c>
      <c r="F14" s="88">
        <v>0.19500000000000001</v>
      </c>
    </row>
    <row r="15" spans="1:6" ht="15.75" thickBot="1">
      <c r="A15" s="82" t="s">
        <v>81</v>
      </c>
      <c r="B15" s="83" t="s">
        <v>82</v>
      </c>
      <c r="C15" s="85"/>
      <c r="D15" s="85"/>
      <c r="E15" s="85"/>
      <c r="F15" s="89"/>
    </row>
    <row r="16" spans="1:6" ht="15.75" thickBot="1">
      <c r="A16" s="78" t="s">
        <v>83</v>
      </c>
      <c r="B16" s="79" t="s">
        <v>84</v>
      </c>
      <c r="C16" s="90">
        <v>0.13</v>
      </c>
      <c r="D16" s="90">
        <v>0.19</v>
      </c>
      <c r="E16" s="90">
        <v>0.185</v>
      </c>
      <c r="F16" s="91">
        <v>0.23499999999999999</v>
      </c>
    </row>
    <row r="17" spans="1:6" ht="15.75" thickBot="1">
      <c r="A17" s="82" t="s">
        <v>85</v>
      </c>
      <c r="B17" s="83" t="s">
        <v>86</v>
      </c>
      <c r="C17" s="92">
        <v>0.14749999999999999</v>
      </c>
      <c r="D17" s="92">
        <v>0.19750000000000001</v>
      </c>
      <c r="E17" s="92">
        <v>0.16</v>
      </c>
      <c r="F17" s="93">
        <v>0.21</v>
      </c>
    </row>
    <row r="18" spans="1:6" ht="15.75" thickBot="1">
      <c r="A18" s="78" t="s">
        <v>87</v>
      </c>
      <c r="B18" s="79" t="s">
        <v>88</v>
      </c>
      <c r="C18" s="94"/>
      <c r="D18" s="94"/>
      <c r="E18" s="94"/>
      <c r="F18" s="95"/>
    </row>
    <row r="19" spans="1:6" ht="15.75" thickBot="1">
      <c r="A19" s="82" t="s">
        <v>89</v>
      </c>
      <c r="B19" s="83" t="s">
        <v>90</v>
      </c>
      <c r="C19" s="85"/>
      <c r="D19" s="85"/>
      <c r="E19" s="85"/>
      <c r="F19" s="89"/>
    </row>
    <row r="20" spans="1:6" ht="15.75" thickBot="1">
      <c r="A20" s="78" t="s">
        <v>91</v>
      </c>
      <c r="B20" s="79" t="s">
        <v>92</v>
      </c>
      <c r="C20" s="87">
        <v>0.09</v>
      </c>
      <c r="D20" s="87">
        <v>0.17</v>
      </c>
      <c r="E20" s="87">
        <v>0.11</v>
      </c>
      <c r="F20" s="88">
        <v>0.19</v>
      </c>
    </row>
    <row r="21" spans="1:6" ht="15.75" thickBot="1">
      <c r="A21" s="82" t="s">
        <v>93</v>
      </c>
      <c r="B21" s="83" t="s">
        <v>94</v>
      </c>
      <c r="C21" s="85"/>
      <c r="D21" s="85"/>
      <c r="E21" s="85"/>
      <c r="F21" s="89"/>
    </row>
    <row r="22" spans="1:6" ht="15.75" thickBot="1">
      <c r="A22" s="78" t="s">
        <v>95</v>
      </c>
      <c r="B22" s="79" t="s">
        <v>96</v>
      </c>
      <c r="C22" s="90">
        <v>0.12</v>
      </c>
      <c r="D22" s="90">
        <v>0.16</v>
      </c>
      <c r="E22" s="90">
        <v>0.13500000000000001</v>
      </c>
      <c r="F22" s="91">
        <v>0.17</v>
      </c>
    </row>
    <row r="23" spans="1:6" ht="15.75" thickBot="1">
      <c r="A23" s="82" t="s">
        <v>97</v>
      </c>
      <c r="B23" s="83" t="s">
        <v>98</v>
      </c>
      <c r="C23" s="84">
        <v>0.12</v>
      </c>
      <c r="D23" s="84">
        <v>0.16</v>
      </c>
      <c r="E23" s="84">
        <v>0.13500000000000001</v>
      </c>
      <c r="F23" s="86">
        <v>0.17499999999999999</v>
      </c>
    </row>
    <row r="24" spans="1:6" ht="15.75" thickBot="1">
      <c r="A24" s="78" t="s">
        <v>39</v>
      </c>
      <c r="B24" s="79" t="s">
        <v>99</v>
      </c>
      <c r="C24" s="90">
        <v>7.7499999999999999E-2</v>
      </c>
      <c r="D24" s="90">
        <v>0.1225</v>
      </c>
      <c r="E24" s="90">
        <v>8.5000000000000006E-2</v>
      </c>
      <c r="F24" s="91">
        <v>0.125</v>
      </c>
    </row>
    <row r="25" spans="1:6" ht="15.75" thickBot="1">
      <c r="A25" s="82" t="s">
        <v>100</v>
      </c>
      <c r="B25" s="83" t="s">
        <v>101</v>
      </c>
      <c r="C25" s="84">
        <v>0.1</v>
      </c>
      <c r="D25" s="84">
        <v>0.15</v>
      </c>
      <c r="E25" s="84">
        <v>0.105</v>
      </c>
      <c r="F25" s="86">
        <v>0.155</v>
      </c>
    </row>
    <row r="26" spans="1:6" ht="15.75" thickBot="1">
      <c r="A26" s="78" t="s">
        <v>102</v>
      </c>
      <c r="B26" s="79" t="s">
        <v>103</v>
      </c>
      <c r="C26" s="87">
        <v>0.2</v>
      </c>
      <c r="D26" s="87">
        <v>0.28000000000000003</v>
      </c>
      <c r="E26" s="87">
        <v>0.2</v>
      </c>
      <c r="F26" s="88">
        <v>0.27</v>
      </c>
    </row>
    <row r="27" spans="1:6" ht="15.75" thickBot="1">
      <c r="A27" s="82" t="s">
        <v>104</v>
      </c>
      <c r="B27" s="83" t="s">
        <v>105</v>
      </c>
      <c r="C27" s="96"/>
      <c r="D27" s="96"/>
      <c r="E27" s="96"/>
      <c r="F27" s="97"/>
    </row>
    <row r="28" spans="1:6" ht="15.75" thickBot="1">
      <c r="A28" s="78" t="s">
        <v>106</v>
      </c>
      <c r="B28" s="79" t="s">
        <v>107</v>
      </c>
      <c r="C28" s="98"/>
      <c r="D28" s="98"/>
      <c r="E28" s="98"/>
      <c r="F28" s="99"/>
    </row>
    <row r="29" spans="1:6" ht="15.75" thickBot="1">
      <c r="A29" s="82" t="s">
        <v>108</v>
      </c>
      <c r="B29" s="83" t="s">
        <v>109</v>
      </c>
      <c r="C29" s="84">
        <v>0.23250000000000001</v>
      </c>
      <c r="D29" s="84">
        <v>0.28749999999999998</v>
      </c>
      <c r="E29" s="84">
        <v>0.22</v>
      </c>
      <c r="F29" s="86">
        <v>0.27</v>
      </c>
    </row>
    <row r="30" spans="1:6" ht="15.75" thickBot="1">
      <c r="A30" s="78" t="s">
        <v>110</v>
      </c>
      <c r="B30" s="79" t="s">
        <v>111</v>
      </c>
      <c r="C30" s="87">
        <v>0.19</v>
      </c>
      <c r="D30" s="87">
        <v>0.23</v>
      </c>
      <c r="E30" s="87">
        <v>0.2</v>
      </c>
      <c r="F30" s="88">
        <v>0.24</v>
      </c>
    </row>
    <row r="31" spans="1:6" ht="15.75" thickBot="1">
      <c r="A31" s="82" t="s">
        <v>112</v>
      </c>
      <c r="B31" s="83" t="s">
        <v>113</v>
      </c>
      <c r="C31" s="85"/>
      <c r="D31" s="85"/>
      <c r="E31" s="85"/>
      <c r="F31" s="89"/>
    </row>
    <row r="32" spans="1:6" ht="15.75" thickBot="1">
      <c r="A32" s="78" t="s">
        <v>114</v>
      </c>
      <c r="B32" s="79" t="s">
        <v>115</v>
      </c>
      <c r="C32" s="90">
        <v>0.3</v>
      </c>
      <c r="D32" s="90">
        <v>0.4</v>
      </c>
      <c r="E32" s="90">
        <v>0.30499999999999999</v>
      </c>
      <c r="F32" s="91">
        <v>0.39500000000000002</v>
      </c>
    </row>
    <row r="33" spans="1:6" ht="15.75" thickBot="1">
      <c r="A33" s="82" t="s">
        <v>116</v>
      </c>
      <c r="B33" s="83" t="s">
        <v>117</v>
      </c>
      <c r="C33" s="84">
        <v>0.1225</v>
      </c>
      <c r="D33" s="84">
        <v>0.16250000000000001</v>
      </c>
      <c r="E33" s="84">
        <v>0.13</v>
      </c>
      <c r="F33" s="86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40" t="s">
        <v>155</v>
      </c>
      <c r="L1" s="40" t="s">
        <v>152</v>
      </c>
      <c r="M1" s="40"/>
      <c r="N1" s="40"/>
      <c r="O1" s="40"/>
      <c r="P1" s="40"/>
    </row>
    <row r="2" spans="1:16">
      <c r="A2" s="16" t="s">
        <v>3</v>
      </c>
      <c r="B2" s="2" t="s">
        <v>21</v>
      </c>
      <c r="C2" s="2" t="s">
        <v>25</v>
      </c>
      <c r="K2" s="40" t="s">
        <v>156</v>
      </c>
      <c r="L2" s="40" t="s">
        <v>157</v>
      </c>
      <c r="M2" s="40"/>
      <c r="N2" s="40"/>
      <c r="O2" s="40"/>
      <c r="P2" s="40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161</v>
      </c>
    </row>
    <row r="10" spans="1:16">
      <c r="A10" s="2" t="s">
        <v>169</v>
      </c>
    </row>
    <row r="11" spans="1:16">
      <c r="A11" s="2" t="s">
        <v>176</v>
      </c>
    </row>
    <row r="12" spans="1:16">
      <c r="A12" s="2" t="s">
        <v>177</v>
      </c>
    </row>
    <row r="13" spans="1:16">
      <c r="A13" s="2" t="s">
        <v>178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84" t="s">
        <v>37</v>
      </c>
      <c r="C1" s="184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3720</v>
      </c>
      <c r="I8" s="19">
        <v>3800</v>
      </c>
      <c r="J8" s="21">
        <f ca="1">TODAY()</f>
        <v>43171</v>
      </c>
      <c r="K8" s="21">
        <f ca="1">J8+L8</f>
        <v>43201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94.030045251423644</v>
      </c>
      <c r="P8" s="25">
        <v>80</v>
      </c>
      <c r="Q8" s="24">
        <f>P8/10000*M8*H8*(-E8)</f>
        <v>2.446027397260274</v>
      </c>
      <c r="R8" s="24">
        <f>O8+Q8</f>
        <v>96.476072648683925</v>
      </c>
      <c r="S8" s="26">
        <f>R8/H8</f>
        <v>2.5934428131366646E-2</v>
      </c>
      <c r="T8" s="24">
        <f>_xll.dnetGBlackScholesNGreeks("delta",$G8,$H8,$I8,$M8,$C$3,$C$4,$N8,$C$4)</f>
        <v>0.42241548856054578</v>
      </c>
      <c r="U8" s="24">
        <f>_xll.dnetGBlackScholesNGreeks("vega",$G8,$H8,$I8,$M8,$C$3,$C$4,$N8)</f>
        <v>4.1711326443905818</v>
      </c>
    </row>
    <row r="9" spans="1:21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43171</v>
      </c>
      <c r="K9" s="8">
        <f ca="1">J9+L9</f>
        <v>43201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43171</v>
      </c>
      <c r="K10" s="8">
        <f ca="1">J10+L10</f>
        <v>43201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2018-03-12T13:46:06Z</dcterms:modified>
</cp:coreProperties>
</file>