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602" activeTab="4"/>
  </bookViews>
  <sheets>
    <sheet name="quate_van" sheetId="6" r:id="rId1"/>
    <sheet name="quote_sf" sheetId="10" r:id="rId2"/>
    <sheet name="recap" sheetId="2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R16" i="1" l="1"/>
  <c r="I16" i="1"/>
  <c r="E16" i="1"/>
  <c r="F16" i="1" s="1"/>
  <c r="R15" i="1"/>
  <c r="I15" i="1"/>
  <c r="E15" i="1"/>
  <c r="F15" i="1" s="1"/>
  <c r="H27" i="9"/>
  <c r="G34" i="9"/>
  <c r="R33" i="9"/>
  <c r="J33" i="9"/>
  <c r="H33" i="9"/>
  <c r="H34" i="9" s="1"/>
  <c r="D33" i="9"/>
  <c r="D34" i="9" s="1"/>
  <c r="R32" i="9"/>
  <c r="I32" i="9"/>
  <c r="E32" i="9"/>
  <c r="F32" i="9" s="1"/>
  <c r="F33" i="9" s="1"/>
  <c r="F34" i="9" s="1"/>
  <c r="G31" i="9"/>
  <c r="R30" i="9"/>
  <c r="J30" i="9"/>
  <c r="H30" i="9"/>
  <c r="H31" i="9" s="1"/>
  <c r="D30" i="9"/>
  <c r="D31" i="9" s="1"/>
  <c r="R29" i="9"/>
  <c r="I29" i="9"/>
  <c r="E29" i="9"/>
  <c r="E30" i="9" s="1"/>
  <c r="E31" i="9" s="1"/>
  <c r="P16" i="1"/>
  <c r="L16" i="1"/>
  <c r="P15" i="1"/>
  <c r="U15" i="1" s="1"/>
  <c r="V16" i="1"/>
  <c r="U16" i="1"/>
  <c r="L15" i="1"/>
  <c r="L29" i="9"/>
  <c r="L32" i="9"/>
  <c r="V32" i="9"/>
  <c r="U32" i="9"/>
  <c r="N15" i="1" l="1"/>
  <c r="O15" i="1" s="1"/>
  <c r="T15" i="1" s="1"/>
  <c r="N16" i="1"/>
  <c r="O16" i="1" s="1"/>
  <c r="T16" i="1" s="1"/>
  <c r="I30" i="9"/>
  <c r="I31" i="9" s="1"/>
  <c r="F29" i="9"/>
  <c r="F30" i="9" s="1"/>
  <c r="F31" i="9" s="1"/>
  <c r="O32" i="9"/>
  <c r="O29" i="9"/>
  <c r="P30" i="9"/>
  <c r="P33" i="9"/>
  <c r="E33" i="9"/>
  <c r="E34" i="9" s="1"/>
  <c r="I33" i="9"/>
  <c r="I34" i="9" s="1"/>
  <c r="V15" i="1"/>
  <c r="V29" i="9"/>
  <c r="U30" i="9"/>
  <c r="L30" i="9"/>
  <c r="U29" i="9"/>
  <c r="U33" i="9"/>
  <c r="L33" i="9"/>
  <c r="V33" i="9"/>
  <c r="V30" i="9"/>
  <c r="V31" i="9" l="1"/>
  <c r="V34" i="9"/>
  <c r="O33" i="9"/>
  <c r="L34" i="9"/>
  <c r="U34" i="9"/>
  <c r="L31" i="9"/>
  <c r="O30" i="9"/>
  <c r="U31" i="9"/>
  <c r="P34" i="9"/>
  <c r="N34" i="9" s="1"/>
  <c r="P31" i="9"/>
  <c r="N31" i="9" s="1"/>
  <c r="O31" i="9" l="1"/>
  <c r="T31" i="9" s="1"/>
  <c r="O34" i="9"/>
  <c r="T34" i="9" s="1"/>
  <c r="G25" i="9" l="1"/>
  <c r="G16" i="9"/>
  <c r="G28" i="9"/>
  <c r="J27" i="9"/>
  <c r="I27" i="9"/>
  <c r="I28" i="9" s="1"/>
  <c r="D27" i="9"/>
  <c r="D28" i="9" s="1"/>
  <c r="R27" i="9"/>
  <c r="I26" i="9"/>
  <c r="E26" i="9"/>
  <c r="E27" i="9" s="1"/>
  <c r="E28" i="9" s="1"/>
  <c r="R26" i="9"/>
  <c r="J24" i="9"/>
  <c r="H24" i="9"/>
  <c r="H25" i="9" s="1"/>
  <c r="D24" i="9"/>
  <c r="D25" i="9" s="1"/>
  <c r="R24" i="9"/>
  <c r="I23" i="9"/>
  <c r="E23" i="9"/>
  <c r="E24" i="9" s="1"/>
  <c r="E25" i="9" s="1"/>
  <c r="R23" i="9"/>
  <c r="G22" i="9"/>
  <c r="J21" i="9"/>
  <c r="H21" i="9"/>
  <c r="I21" i="9" s="1"/>
  <c r="I22" i="9" s="1"/>
  <c r="D21" i="9"/>
  <c r="D22" i="9" s="1"/>
  <c r="R21" i="9"/>
  <c r="I20" i="9"/>
  <c r="E20" i="9"/>
  <c r="F20" i="9" s="1"/>
  <c r="F21" i="9" s="1"/>
  <c r="F22" i="9" s="1"/>
  <c r="R20" i="9"/>
  <c r="G19" i="9"/>
  <c r="J18" i="9"/>
  <c r="H18" i="9"/>
  <c r="H19" i="9" s="1"/>
  <c r="D18" i="9"/>
  <c r="D19" i="9" s="1"/>
  <c r="R18" i="9"/>
  <c r="I17" i="9"/>
  <c r="E17" i="9"/>
  <c r="E18" i="9" s="1"/>
  <c r="E19" i="9" s="1"/>
  <c r="R17" i="9"/>
  <c r="J15" i="9"/>
  <c r="H15" i="9"/>
  <c r="H16" i="9" s="1"/>
  <c r="D15" i="9"/>
  <c r="D16" i="9" s="1"/>
  <c r="R15" i="9"/>
  <c r="I14" i="9"/>
  <c r="E14" i="9"/>
  <c r="E15" i="9" s="1"/>
  <c r="E16" i="9" s="1"/>
  <c r="R14" i="9"/>
  <c r="D12" i="9"/>
  <c r="D13" i="9" s="1"/>
  <c r="G13" i="9"/>
  <c r="J12" i="9"/>
  <c r="H12" i="9"/>
  <c r="H13" i="9" s="1"/>
  <c r="R12" i="9"/>
  <c r="I11" i="9"/>
  <c r="E11" i="9"/>
  <c r="F11" i="9" s="1"/>
  <c r="F12" i="9" s="1"/>
  <c r="F13" i="9" s="1"/>
  <c r="R11" i="9"/>
  <c r="I13" i="1"/>
  <c r="R13" i="1"/>
  <c r="E13" i="1"/>
  <c r="F13" i="1" s="1"/>
  <c r="P13" i="1"/>
  <c r="P20" i="9"/>
  <c r="P26" i="9"/>
  <c r="P11" i="9"/>
  <c r="L11" i="9" s="1"/>
  <c r="P14" i="9"/>
  <c r="V14" i="9" s="1"/>
  <c r="U20" i="9"/>
  <c r="V11" i="9"/>
  <c r="P23" i="9"/>
  <c r="V23" i="9" s="1"/>
  <c r="V20" i="9"/>
  <c r="P17" i="9"/>
  <c r="U14" i="9"/>
  <c r="L23" i="9"/>
  <c r="L20" i="9"/>
  <c r="V17" i="9"/>
  <c r="L26" i="9"/>
  <c r="U13" i="1"/>
  <c r="O23" i="9" l="1"/>
  <c r="O11" i="9"/>
  <c r="O20" i="9"/>
  <c r="O26" i="9"/>
  <c r="F23" i="9"/>
  <c r="F24" i="9" s="1"/>
  <c r="F25" i="9" s="1"/>
  <c r="E21" i="9"/>
  <c r="E22" i="9" s="1"/>
  <c r="H28" i="9"/>
  <c r="P21" i="9"/>
  <c r="P24" i="9"/>
  <c r="P27" i="9"/>
  <c r="F26" i="9"/>
  <c r="F27" i="9" s="1"/>
  <c r="F28" i="9" s="1"/>
  <c r="I24" i="9"/>
  <c r="I25" i="9" s="1"/>
  <c r="H22" i="9"/>
  <c r="P15" i="9"/>
  <c r="P16" i="9" s="1"/>
  <c r="P18" i="9"/>
  <c r="P19" i="9" s="1"/>
  <c r="P12" i="9"/>
  <c r="P13" i="9" s="1"/>
  <c r="I12" i="9"/>
  <c r="F17" i="9"/>
  <c r="F18" i="9" s="1"/>
  <c r="F19" i="9" s="1"/>
  <c r="F14" i="9"/>
  <c r="F15" i="9" s="1"/>
  <c r="F16" i="9" s="1"/>
  <c r="I18" i="9"/>
  <c r="I15" i="9"/>
  <c r="E12" i="9"/>
  <c r="E13" i="9" s="1"/>
  <c r="N13" i="1"/>
  <c r="I11" i="1"/>
  <c r="R11" i="1"/>
  <c r="E11" i="1"/>
  <c r="F11" i="1" s="1"/>
  <c r="R10" i="1"/>
  <c r="I10" i="1"/>
  <c r="E10" i="1"/>
  <c r="F10" i="1" s="1"/>
  <c r="V26" i="9"/>
  <c r="V18" i="9"/>
  <c r="V21" i="9"/>
  <c r="L24" i="9"/>
  <c r="U27" i="9"/>
  <c r="L18" i="9"/>
  <c r="U26" i="9"/>
  <c r="V13" i="1"/>
  <c r="U12" i="9"/>
  <c r="U23" i="9"/>
  <c r="L21" i="9"/>
  <c r="L14" i="9"/>
  <c r="V27" i="9"/>
  <c r="U18" i="9"/>
  <c r="L13" i="1"/>
  <c r="L17" i="9"/>
  <c r="U24" i="9"/>
  <c r="V24" i="9"/>
  <c r="U17" i="9"/>
  <c r="U21" i="9"/>
  <c r="V15" i="9"/>
  <c r="L12" i="9"/>
  <c r="U15" i="9"/>
  <c r="V12" i="9"/>
  <c r="L15" i="9"/>
  <c r="U11" i="9"/>
  <c r="L27" i="9"/>
  <c r="L10" i="1"/>
  <c r="V11" i="1"/>
  <c r="O13" i="1" l="1"/>
  <c r="T13" i="1" s="1"/>
  <c r="O18" i="9"/>
  <c r="O14" i="9"/>
  <c r="O17" i="9"/>
  <c r="O15" i="9"/>
  <c r="O12" i="9"/>
  <c r="O27" i="9"/>
  <c r="O24" i="9"/>
  <c r="O21" i="9"/>
  <c r="V28" i="9"/>
  <c r="L28" i="9"/>
  <c r="U25" i="9"/>
  <c r="V25" i="9"/>
  <c r="L25" i="9"/>
  <c r="U22" i="9"/>
  <c r="V22" i="9"/>
  <c r="L22" i="9"/>
  <c r="U28" i="9"/>
  <c r="P28" i="9"/>
  <c r="N28" i="9" s="1"/>
  <c r="P25" i="9"/>
  <c r="N25" i="9" s="1"/>
  <c r="P22" i="9"/>
  <c r="N22" i="9" s="1"/>
  <c r="L13" i="9"/>
  <c r="I13" i="9"/>
  <c r="N13" i="9" s="1"/>
  <c r="L19" i="9"/>
  <c r="V19" i="9"/>
  <c r="U16" i="9"/>
  <c r="L16" i="9"/>
  <c r="V16" i="9"/>
  <c r="U19" i="9"/>
  <c r="I19" i="9"/>
  <c r="N19" i="9" s="1"/>
  <c r="I16" i="9"/>
  <c r="N16" i="9" s="1"/>
  <c r="V13" i="9"/>
  <c r="U13" i="9"/>
  <c r="N11" i="1"/>
  <c r="N10" i="1"/>
  <c r="O10" i="1" s="1"/>
  <c r="T10" i="1" s="1"/>
  <c r="R9" i="1"/>
  <c r="I9" i="1"/>
  <c r="N9" i="1" s="1"/>
  <c r="E9" i="1"/>
  <c r="F9" i="1" s="1"/>
  <c r="V10" i="1"/>
  <c r="L11" i="1"/>
  <c r="U10" i="1"/>
  <c r="U11" i="1"/>
  <c r="U9" i="1"/>
  <c r="O22" i="9" l="1"/>
  <c r="T22" i="9" s="1"/>
  <c r="O16" i="9"/>
  <c r="T16" i="9" s="1"/>
  <c r="O19" i="9"/>
  <c r="T19" i="9" s="1"/>
  <c r="O25" i="9"/>
  <c r="T25" i="9" s="1"/>
  <c r="O28" i="9"/>
  <c r="T28" i="9" s="1"/>
  <c r="O13" i="9"/>
  <c r="T13" i="9" s="1"/>
  <c r="O11" i="1"/>
  <c r="T11" i="1" s="1"/>
  <c r="V9" i="1"/>
  <c r="O9" i="1" l="1"/>
  <c r="T9" i="1" s="1"/>
  <c r="D40" i="2" l="1"/>
  <c r="D37" i="2"/>
  <c r="I26" i="2"/>
  <c r="I23" i="2"/>
  <c r="X23" i="2" l="1"/>
  <c r="S23" i="2"/>
  <c r="X26" i="2"/>
  <c r="S26" i="2"/>
  <c r="N26" i="2" l="1"/>
  <c r="N23" i="2"/>
  <c r="D23" i="2" l="1"/>
  <c r="D26" i="2" l="1"/>
  <c r="D10" i="9" l="1"/>
  <c r="J9" i="9" l="1"/>
  <c r="N8" i="2" l="1"/>
  <c r="G10" i="9" l="1"/>
  <c r="P10" i="9"/>
  <c r="H9" i="9"/>
  <c r="I9" i="9" s="1"/>
  <c r="I10" i="9" s="1"/>
  <c r="R9" i="9"/>
  <c r="I8" i="9"/>
  <c r="E8" i="9"/>
  <c r="F8" i="9" s="1"/>
  <c r="F9" i="9" s="1"/>
  <c r="F10" i="9" s="1"/>
  <c r="R8" i="9"/>
  <c r="V8" i="9"/>
  <c r="U9" i="9"/>
  <c r="N10" i="9" l="1"/>
  <c r="H10" i="9"/>
  <c r="E9" i="9"/>
  <c r="E10" i="9" s="1"/>
  <c r="L8" i="9"/>
  <c r="U8" i="9"/>
  <c r="L9" i="9"/>
  <c r="V9" i="9"/>
  <c r="O9" i="9" l="1"/>
  <c r="O8" i="9"/>
  <c r="U10" i="9"/>
  <c r="L10" i="9"/>
  <c r="V10" i="9"/>
  <c r="O10" i="9" l="1"/>
  <c r="T10" i="9" s="1"/>
  <c r="D8" i="2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U9" i="7"/>
  <c r="T9" i="7"/>
  <c r="H8" i="8"/>
  <c r="O10" i="7"/>
  <c r="T10" i="7"/>
  <c r="O9" i="7"/>
  <c r="H8" i="7"/>
  <c r="U10" i="7"/>
  <c r="K9" i="8"/>
  <c r="U8" i="8" l="1"/>
  <c r="Q9" i="7"/>
  <c r="R9" i="7" s="1"/>
  <c r="S9" i="7" s="1"/>
  <c r="Q10" i="7"/>
  <c r="R10" i="7" s="1"/>
  <c r="S10" i="7" s="1"/>
  <c r="Q8" i="7"/>
  <c r="Y9" i="8"/>
  <c r="U8" i="7"/>
  <c r="S9" i="8"/>
  <c r="O8" i="7"/>
  <c r="K8" i="8"/>
  <c r="T8" i="7"/>
  <c r="X9" i="8"/>
  <c r="V9" i="8" l="1"/>
  <c r="W9" i="8" s="1"/>
  <c r="R8" i="7"/>
  <c r="S8" i="7" s="1"/>
  <c r="Y8" i="8"/>
  <c r="X8" i="8"/>
  <c r="S8" i="8"/>
  <c r="V8" i="8" l="1"/>
  <c r="W8" i="8" s="1"/>
  <c r="R8" i="1"/>
  <c r="I8" i="1" l="1"/>
  <c r="E8" i="1"/>
  <c r="F8" i="1" s="1"/>
  <c r="P8" i="1"/>
  <c r="N8" i="1" l="1"/>
  <c r="L8" i="1"/>
  <c r="V8" i="1"/>
  <c r="U8" i="1"/>
  <c r="O8" i="1" l="1"/>
  <c r="T8" i="1" s="1"/>
</calcChain>
</file>

<file path=xl/sharedStrings.xml><?xml version="1.0" encoding="utf-8"?>
<sst xmlns="http://schemas.openxmlformats.org/spreadsheetml/2006/main" count="768" uniqueCount="214">
  <si>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</si>
  <si>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</si>
  <si>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</si>
  <si>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</si>
  <si>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</si>
  <si>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</si>
  <si>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</si>
  <si>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</si>
  <si>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</si>
  <si>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</si>
  <si>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</si>
  <si>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</si>
  <si>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</si>
  <si>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</si>
  <si>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</si>
  <si>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</si>
  <si>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</si>
  <si>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</si>
  <si>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</si>
  <si>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</si>
  <si>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</si>
  <si>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</si>
  <si>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</si>
  <si>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</si>
  <si>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</si>
  <si>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</si>
  <si>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</si>
  <si>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</si>
  <si>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</si>
  <si>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</si>
  <si>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</si>
  <si>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</si>
  <si>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</si>
  <si>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</si>
  <si>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</si>
  <si>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</si>
  <si>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</si>
  <si>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</si>
  <si>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</si>
  <si>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</si>
  <si>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</si>
  <si>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</si>
  <si>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</si>
  <si>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</si>
  <si>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</si>
  <si>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</si>
  <si>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</si>
  <si>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</si>
  <si>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</si>
  <si>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</si>
  <si>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</si>
  <si>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</si>
  <si>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</si>
  <si>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</si>
  <si>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</si>
  <si>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</si>
  <si>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</si>
  <si>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</si>
  <si>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</si>
  <si>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</si>
  <si>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</si>
  <si>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</si>
  <si>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</si>
  <si>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</si>
  <si>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</si>
  <si>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</si>
  <si>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</si>
  <si>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</si>
  <si>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</si>
  <si>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</si>
  <si>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</si>
  <si>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</si>
  <si>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</si>
  <si>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</si>
  <si>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</si>
  <si>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</si>
  <si>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</si>
  <si>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</si>
  <si>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</si>
  <si>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</si>
  <si>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</si>
  <si>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</si>
  <si>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</si>
  <si>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</si>
  <si>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</si>
  <si>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</si>
  <si>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</si>
  <si>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</si>
  <si>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</si>
  <si>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</si>
  <si>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</si>
  <si>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</si>
  <si>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</si>
  <si>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</si>
  <si>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</si>
  <si>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</si>
  <si>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</si>
  <si>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</si>
  <si>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</si>
  <si>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</si>
  <si>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</si>
  <si>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</si>
  <si>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</si>
  <si>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</si>
  <si>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</si>
  <si>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</si>
  <si>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</si>
  <si>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</si>
  <si>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</si>
  <si>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</si>
  <si>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</si>
  <si>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</si>
  <si>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</si>
  <si>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</si>
  <si>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</si>
  <si>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</si>
  <si>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</si>
  <si>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</si>
  <si>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</si>
  <si>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</si>
  <si>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</si>
  <si>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</si>
  <si>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</si>
  <si>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</si>
  <si>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</si>
  <si>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</si>
  <si>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</si>
  <si>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</si>
  <si>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</si>
  <si>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</si>
  <si>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</si>
  <si>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</si>
  <si>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</si>
  <si>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</si>
  <si>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</si>
  <si>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</si>
  <si>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</si>
  <si>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</si>
  <si>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</si>
  <si>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</si>
  <si>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</si>
  <si>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</si>
  <si>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</si>
  <si>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</si>
  <si>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</si>
  <si>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</si>
  <si>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</si>
  <si>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</si>
  <si>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</si>
  <si>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</si>
  <si>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</si>
  <si>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</si>
  <si>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</si>
  <si>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</si>
  <si>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</si>
  <si>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</si>
  <si>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</si>
  <si>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</si>
  <si>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</si>
  <si>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</si>
  <si>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</si>
  <si>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</si>
  <si>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</si>
  <si>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</si>
  <si>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</si>
  <si>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</si>
  <si>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</si>
  <si>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</si>
  <si>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</si>
  <si>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</si>
  <si>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</si>
  <si>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</si>
  <si>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</si>
  <si>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</si>
  <si>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</si>
  <si>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</si>
  <si>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</si>
  <si>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</si>
  <si>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</si>
  <si>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权利金总额（元）：</t>
    <phoneticPr fontId="1" type="noConversion"/>
  </si>
  <si>
    <t>起始日期</t>
    <phoneticPr fontId="1" type="noConversion"/>
  </si>
  <si>
    <t>标的</t>
    <phoneticPr fontId="1" type="noConversion"/>
  </si>
  <si>
    <t>期权价格</t>
    <phoneticPr fontId="1" type="noConversion"/>
  </si>
  <si>
    <t>起始日</t>
    <phoneticPr fontId="1" type="noConversion"/>
  </si>
  <si>
    <t>行权价</t>
    <phoneticPr fontId="1" type="noConversion"/>
  </si>
  <si>
    <t>rb1810</t>
  </si>
  <si>
    <t>中金公司</t>
    <phoneticPr fontId="1" type="noConversion"/>
  </si>
  <si>
    <t>华泰长城</t>
    <phoneticPr fontId="1" type="noConversion"/>
  </si>
  <si>
    <t>成交回报1</t>
    <phoneticPr fontId="1" type="noConversion"/>
  </si>
  <si>
    <t>成交回报2</t>
    <phoneticPr fontId="1" type="noConversion"/>
  </si>
  <si>
    <t>看跌期权</t>
    <phoneticPr fontId="1" type="noConversion"/>
  </si>
  <si>
    <t>看涨期权</t>
    <phoneticPr fontId="1" type="noConversion"/>
  </si>
  <si>
    <t>i1805</t>
    <phoneticPr fontId="1" type="noConversion"/>
  </si>
  <si>
    <t>hc1805</t>
  </si>
  <si>
    <t>LME20180122-CICC-MRJH-NI-SWP-4</t>
    <phoneticPr fontId="18" type="noConversion"/>
  </si>
  <si>
    <t>rb1810</t>
    <phoneticPr fontId="1" type="noConversion"/>
  </si>
  <si>
    <t>天物国际</t>
    <phoneticPr fontId="1" type="noConversion"/>
  </si>
  <si>
    <t>rb1805</t>
    <phoneticPr fontId="1" type="noConversion"/>
  </si>
  <si>
    <t>看涨期权</t>
    <phoneticPr fontId="1" type="noConversion"/>
  </si>
  <si>
    <t>权利金（每吨）：</t>
    <phoneticPr fontId="1" type="noConversion"/>
  </si>
  <si>
    <t>标的:</t>
    <phoneticPr fontId="1" type="noConversion"/>
  </si>
  <si>
    <t>交易量（吨）：</t>
    <phoneticPr fontId="1" type="noConversion"/>
  </si>
  <si>
    <t>al1805</t>
    <phoneticPr fontId="1" type="noConversion"/>
  </si>
  <si>
    <t>江铜国贸</t>
    <phoneticPr fontId="1" type="noConversion"/>
  </si>
  <si>
    <t>rb1810</t>
    <phoneticPr fontId="1" type="noConversion"/>
  </si>
  <si>
    <t>`</t>
    <phoneticPr fontId="1" type="noConversion"/>
  </si>
  <si>
    <t>last_trd_date</t>
    <phoneticPr fontId="7" type="noConversion"/>
  </si>
  <si>
    <t>al1807</t>
  </si>
  <si>
    <t>pp1805</t>
  </si>
  <si>
    <t>.</t>
    <phoneticPr fontId="1" type="noConversion"/>
  </si>
  <si>
    <t>i1809</t>
  </si>
  <si>
    <t>i1809</t>
    <phoneticPr fontId="1" type="noConversion"/>
  </si>
  <si>
    <t>92|105</t>
  </si>
  <si>
    <t>95|102.5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</si>
</sst>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###,###,##0.0000"/>
    <numFmt numFmtId="177" formatCode="0.0000"/>
    <numFmt numFmtId="178" formatCode="###,###,##0"/>
    <numFmt numFmtId="179" formatCode="###,###,##0.0"/>
  </numFmts>
  <fonts count="3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b/>
      <sz val="8"/>
      <color theme="4" tint="-0.499984740745262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5" tint="-0.249977111117893"/>
      <name val="宋体"/>
      <family val="3"/>
      <charset val="134"/>
      <scheme val="minor"/>
    </font>
    <font>
      <b/>
      <sz val="8"/>
      <color theme="4" tint="-0.249977111117893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rgb="FF000000"/>
      <name val="Inherit"/>
      <family val="1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70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7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5" fillId="6" borderId="2" xfId="0" applyFont="1" applyFill="1" applyBorder="1"/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4" fillId="9" borderId="2" xfId="0" applyFont="1" applyFill="1" applyBorder="1"/>
    <xf numFmtId="178" fontId="4" fillId="9" borderId="2" xfId="0" applyNumberFormat="1" applyFont="1" applyFill="1" applyBorder="1"/>
    <xf numFmtId="14" fontId="4" fillId="5" borderId="2" xfId="0" applyNumberFormat="1" applyFont="1" applyFill="1" applyBorder="1"/>
    <xf numFmtId="177" fontId="4" fillId="9" borderId="2" xfId="0" applyNumberFormat="1" applyFont="1" applyFill="1" applyBorder="1"/>
    <xf numFmtId="0" fontId="4" fillId="4" borderId="2" xfId="0" applyFont="1" applyFill="1" applyBorder="1"/>
    <xf numFmtId="2" fontId="4" fillId="9" borderId="2" xfId="0" applyNumberFormat="1" applyFont="1" applyFill="1" applyBorder="1"/>
    <xf numFmtId="0" fontId="4" fillId="8" borderId="2" xfId="0" applyFont="1" applyFill="1" applyBorder="1"/>
    <xf numFmtId="10" fontId="4" fillId="9" borderId="2" xfId="1" applyNumberFormat="1" applyFont="1" applyFill="1" applyBorder="1" applyAlignment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10" fillId="6" borderId="0" xfId="0" applyFont="1" applyFill="1"/>
    <xf numFmtId="0" fontId="11" fillId="6" borderId="0" xfId="0" applyFont="1" applyFill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12" fillId="7" borderId="1" xfId="0" applyFont="1" applyFill="1" applyBorder="1"/>
    <xf numFmtId="0" fontId="13" fillId="6" borderId="0" xfId="0" applyFont="1" applyFill="1"/>
    <xf numFmtId="2" fontId="12" fillId="9" borderId="6" xfId="0" applyNumberFormat="1" applyFont="1" applyFill="1" applyBorder="1"/>
    <xf numFmtId="0" fontId="12" fillId="9" borderId="6" xfId="0" applyFont="1" applyFill="1" applyBorder="1"/>
    <xf numFmtId="176" fontId="12" fillId="9" borderId="6" xfId="0" applyNumberFormat="1" applyFont="1" applyFill="1" applyBorder="1"/>
    <xf numFmtId="14" fontId="12" fillId="5" borderId="6" xfId="0" applyNumberFormat="1" applyFont="1" applyFill="1" applyBorder="1"/>
    <xf numFmtId="177" fontId="12" fillId="9" borderId="6" xfId="0" applyNumberFormat="1" applyFont="1" applyFill="1" applyBorder="1"/>
    <xf numFmtId="0" fontId="12" fillId="4" borderId="6" xfId="0" applyFont="1" applyFill="1" applyBorder="1"/>
    <xf numFmtId="0" fontId="12" fillId="8" borderId="6" xfId="0" applyFont="1" applyFill="1" applyBorder="1"/>
    <xf numFmtId="10" fontId="12" fillId="9" borderId="6" xfId="1" applyNumberFormat="1" applyFont="1" applyFill="1" applyBorder="1" applyAlignment="1"/>
    <xf numFmtId="2" fontId="12" fillId="9" borderId="2" xfId="0" applyNumberFormat="1" applyFont="1" applyFill="1" applyBorder="1"/>
    <xf numFmtId="0" fontId="12" fillId="9" borderId="2" xfId="0" applyFont="1" applyFill="1" applyBorder="1"/>
    <xf numFmtId="178" fontId="12" fillId="9" borderId="2" xfId="0" applyNumberFormat="1" applyFont="1" applyFill="1" applyBorder="1"/>
    <xf numFmtId="14" fontId="12" fillId="5" borderId="2" xfId="0" applyNumberFormat="1" applyFont="1" applyFill="1" applyBorder="1"/>
    <xf numFmtId="177" fontId="12" fillId="9" borderId="2" xfId="0" applyNumberFormat="1" applyFont="1" applyFill="1" applyBorder="1"/>
    <xf numFmtId="0" fontId="12" fillId="4" borderId="2" xfId="0" applyFont="1" applyFill="1" applyBorder="1"/>
    <xf numFmtId="0" fontId="12" fillId="8" borderId="2" xfId="0" applyFont="1" applyFill="1" applyBorder="1"/>
    <xf numFmtId="10" fontId="12" fillId="9" borderId="2" xfId="1" applyNumberFormat="1" applyFont="1" applyFill="1" applyBorder="1" applyAlignment="1"/>
    <xf numFmtId="2" fontId="12" fillId="12" borderId="2" xfId="0" applyNumberFormat="1" applyFont="1" applyFill="1" applyBorder="1"/>
    <xf numFmtId="0" fontId="12" fillId="12" borderId="2" xfId="0" applyFont="1" applyFill="1" applyBorder="1"/>
    <xf numFmtId="178" fontId="12" fillId="12" borderId="2" xfId="0" applyNumberFormat="1" applyFont="1" applyFill="1" applyBorder="1"/>
    <xf numFmtId="14" fontId="12" fillId="12" borderId="2" xfId="0" applyNumberFormat="1" applyFont="1" applyFill="1" applyBorder="1"/>
    <xf numFmtId="177" fontId="12" fillId="12" borderId="2" xfId="0" applyNumberFormat="1" applyFont="1" applyFill="1" applyBorder="1"/>
    <xf numFmtId="10" fontId="12" fillId="12" borderId="2" xfId="1" applyNumberFormat="1" applyFont="1" applyFill="1" applyBorder="1" applyAlignment="1"/>
    <xf numFmtId="0" fontId="14" fillId="6" borderId="0" xfId="0" applyFont="1" applyFill="1"/>
    <xf numFmtId="14" fontId="15" fillId="13" borderId="9" xfId="0" applyNumberFormat="1" applyFont="1" applyFill="1" applyBorder="1" applyAlignment="1">
      <alignment horizontal="right" vertical="center" wrapText="1"/>
    </xf>
    <xf numFmtId="0" fontId="16" fillId="13" borderId="9" xfId="0" applyFont="1" applyFill="1" applyBorder="1" applyAlignment="1">
      <alignment vertical="center" wrapText="1"/>
    </xf>
    <xf numFmtId="0" fontId="15" fillId="13" borderId="9" xfId="0" applyFont="1" applyFill="1" applyBorder="1" applyAlignment="1">
      <alignment vertical="center" wrapText="1"/>
    </xf>
    <xf numFmtId="0" fontId="16" fillId="13" borderId="10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horizontal="right" vertical="center" wrapText="1"/>
    </xf>
    <xf numFmtId="0" fontId="17" fillId="14" borderId="12" xfId="0" applyFont="1" applyFill="1" applyBorder="1" applyAlignment="1">
      <alignment horizontal="right" vertical="center" wrapText="1"/>
    </xf>
    <xf numFmtId="0" fontId="17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0" fontId="17" fillId="0" borderId="11" xfId="0" applyNumberFormat="1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10" fontId="17" fillId="0" borderId="12" xfId="0" applyNumberFormat="1" applyFont="1" applyBorder="1" applyAlignment="1">
      <alignment horizontal="right" vertical="center" wrapText="1"/>
    </xf>
    <xf numFmtId="0" fontId="19" fillId="14" borderId="11" xfId="0" applyFont="1" applyFill="1" applyBorder="1" applyAlignment="1">
      <alignment horizontal="right" vertical="center" wrapText="1"/>
    </xf>
    <xf numFmtId="0" fontId="19" fillId="14" borderId="12" xfId="0" applyFont="1" applyFill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10" fontId="17" fillId="14" borderId="11" xfId="0" applyNumberFormat="1" applyFont="1" applyFill="1" applyBorder="1" applyAlignment="1">
      <alignment horizontal="right" vertical="center" wrapText="1"/>
    </xf>
    <xf numFmtId="10" fontId="17" fillId="14" borderId="12" xfId="0" applyNumberFormat="1" applyFont="1" applyFill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2" xfId="0" applyFont="1" applyBorder="1" applyAlignment="1">
      <alignment horizontal="right" vertical="center" wrapText="1"/>
    </xf>
    <xf numFmtId="0" fontId="20" fillId="14" borderId="11" xfId="0" applyFont="1" applyFill="1" applyBorder="1" applyAlignment="1">
      <alignment vertical="center" wrapText="1"/>
    </xf>
    <xf numFmtId="0" fontId="20" fillId="14" borderId="12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8" fillId="14" borderId="11" xfId="0" applyFont="1" applyFill="1" applyBorder="1" applyAlignment="1">
      <alignment horizontal="right" vertical="center" wrapText="1"/>
    </xf>
    <xf numFmtId="0" fontId="18" fillId="14" borderId="1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Border="1"/>
    <xf numFmtId="0" fontId="5" fillId="9" borderId="0" xfId="0" applyFont="1" applyFill="1" applyBorder="1"/>
    <xf numFmtId="14" fontId="5" fillId="5" borderId="0" xfId="0" applyNumberFormat="1" applyFont="1" applyFill="1" applyBorder="1"/>
    <xf numFmtId="177" fontId="5" fillId="9" borderId="0" xfId="0" applyNumberFormat="1" applyFont="1" applyFill="1" applyBorder="1"/>
    <xf numFmtId="0" fontId="5" fillId="4" borderId="0" xfId="0" applyFont="1" applyFill="1" applyBorder="1"/>
    <xf numFmtId="0" fontId="5" fillId="8" borderId="0" xfId="0" applyFont="1" applyFill="1" applyBorder="1"/>
    <xf numFmtId="178" fontId="5" fillId="9" borderId="0" xfId="0" applyNumberFormat="1" applyFont="1" applyFill="1" applyBorder="1"/>
    <xf numFmtId="10" fontId="5" fillId="9" borderId="0" xfId="1" applyNumberFormat="1" applyFont="1" applyFill="1" applyBorder="1" applyAlignment="1"/>
    <xf numFmtId="179" fontId="12" fillId="9" borderId="2" xfId="0" applyNumberFormat="1" applyFont="1" applyFill="1" applyBorder="1"/>
    <xf numFmtId="0" fontId="5" fillId="6" borderId="0" xfId="0" applyFont="1" applyFill="1" applyBorder="1"/>
    <xf numFmtId="0" fontId="14" fillId="6" borderId="16" xfId="0" applyFont="1" applyFill="1" applyBorder="1"/>
    <xf numFmtId="0" fontId="5" fillId="6" borderId="17" xfId="0" applyFont="1" applyFill="1" applyBorder="1"/>
    <xf numFmtId="0" fontId="14" fillId="6" borderId="18" xfId="0" applyFont="1" applyFill="1" applyBorder="1"/>
    <xf numFmtId="0" fontId="14" fillId="6" borderId="15" xfId="0" applyFont="1" applyFill="1" applyBorder="1"/>
    <xf numFmtId="0" fontId="14" fillId="6" borderId="13" xfId="0" applyFont="1" applyFill="1" applyBorder="1"/>
    <xf numFmtId="2" fontId="12" fillId="12" borderId="14" xfId="0" applyNumberFormat="1" applyFont="1" applyFill="1" applyBorder="1"/>
    <xf numFmtId="0" fontId="12" fillId="12" borderId="14" xfId="0" applyFont="1" applyFill="1" applyBorder="1"/>
    <xf numFmtId="14" fontId="12" fillId="12" borderId="14" xfId="0" applyNumberFormat="1" applyFont="1" applyFill="1" applyBorder="1"/>
    <xf numFmtId="177" fontId="12" fillId="12" borderId="14" xfId="0" applyNumberFormat="1" applyFont="1" applyFill="1" applyBorder="1"/>
    <xf numFmtId="178" fontId="12" fillId="12" borderId="14" xfId="0" applyNumberFormat="1" applyFont="1" applyFill="1" applyBorder="1"/>
    <xf numFmtId="0" fontId="12" fillId="4" borderId="14" xfId="0" applyFont="1" applyFill="1" applyBorder="1"/>
    <xf numFmtId="10" fontId="12" fillId="12" borderId="14" xfId="1" applyNumberFormat="1" applyFont="1" applyFill="1" applyBorder="1" applyAlignment="1"/>
    <xf numFmtId="0" fontId="5" fillId="6" borderId="14" xfId="0" applyFont="1" applyFill="1" applyBorder="1"/>
    <xf numFmtId="2" fontId="5" fillId="9" borderId="0" xfId="0" applyNumberFormat="1" applyFont="1" applyFill="1" applyAlignment="1">
      <alignment horizontal="center"/>
    </xf>
    <xf numFmtId="0" fontId="22" fillId="6" borderId="0" xfId="0" applyFont="1" applyFill="1"/>
    <xf numFmtId="0" fontId="26" fillId="10" borderId="0" xfId="0" applyFont="1" applyFill="1" applyBorder="1" applyAlignment="1">
      <alignment horizontal="left"/>
    </xf>
    <xf numFmtId="0" fontId="25" fillId="10" borderId="0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9" fillId="6" borderId="0" xfId="0" applyFont="1" applyFill="1"/>
    <xf numFmtId="0" fontId="22" fillId="6" borderId="1" xfId="0" applyFont="1" applyFill="1" applyBorder="1"/>
    <xf numFmtId="0" fontId="5" fillId="9" borderId="0" xfId="0" applyFont="1" applyFill="1" applyBorder="1" applyAlignment="1">
      <alignment horizontal="center"/>
    </xf>
    <xf numFmtId="14" fontId="5" fillId="9" borderId="0" xfId="0" applyNumberFormat="1" applyFont="1" applyFill="1" applyBorder="1" applyAlignment="1">
      <alignment horizontal="center"/>
    </xf>
    <xf numFmtId="0" fontId="33" fillId="0" borderId="0" xfId="0" applyFont="1" applyAlignment="1">
      <alignment horizontal="left" vertical="center"/>
    </xf>
    <xf numFmtId="2" fontId="5" fillId="9" borderId="0" xfId="0" applyNumberFormat="1" applyFont="1" applyFill="1" applyBorder="1" applyAlignment="1">
      <alignment horizontal="center"/>
    </xf>
    <xf numFmtId="179" fontId="12" fillId="9" borderId="6" xfId="0" applyNumberFormat="1" applyFont="1" applyFill="1" applyBorder="1"/>
    <xf numFmtId="179" fontId="12" fillId="12" borderId="2" xfId="0" applyNumberFormat="1" applyFont="1" applyFill="1" applyBorder="1"/>
    <xf numFmtId="0" fontId="6" fillId="6" borderId="0" xfId="0" applyFont="1" applyFill="1"/>
    <xf numFmtId="43" fontId="5" fillId="6" borderId="0" xfId="2" applyFont="1" applyFill="1" applyAlignment="1"/>
    <xf numFmtId="0" fontId="8" fillId="0" borderId="4" xfId="0" applyFont="1" applyBorder="1" applyAlignment="1">
      <alignment horizontal="center"/>
    </xf>
    <xf numFmtId="0" fontId="31" fillId="10" borderId="0" xfId="0" applyFont="1" applyFill="1" applyBorder="1" applyAlignment="1">
      <alignment horizontal="left" vertical="center"/>
    </xf>
    <xf numFmtId="0" fontId="32" fillId="10" borderId="3" xfId="0" applyFont="1" applyFill="1" applyBorder="1" applyAlignment="1">
      <alignment horizontal="right" vertical="center"/>
    </xf>
    <xf numFmtId="0" fontId="32" fillId="10" borderId="0" xfId="0" applyFont="1" applyFill="1" applyBorder="1" applyAlignment="1">
      <alignment horizontal="right" vertical="center"/>
    </xf>
    <xf numFmtId="0" fontId="31" fillId="10" borderId="1" xfId="0" applyFont="1" applyFill="1" applyBorder="1" applyAlignment="1">
      <alignment horizontal="left" vertical="center"/>
    </xf>
    <xf numFmtId="0" fontId="32" fillId="10" borderId="5" xfId="0" applyFont="1" applyFill="1" applyBorder="1" applyAlignment="1">
      <alignment horizontal="right" vertical="center"/>
    </xf>
    <xf numFmtId="0" fontId="32" fillId="10" borderId="1" xfId="0" applyFont="1" applyFill="1" applyBorder="1" applyAlignment="1">
      <alignment horizontal="right" vertical="center"/>
    </xf>
    <xf numFmtId="14" fontId="32" fillId="10" borderId="3" xfId="0" applyNumberFormat="1" applyFont="1" applyFill="1" applyBorder="1" applyAlignment="1">
      <alignment horizontal="right" vertical="center"/>
    </xf>
    <xf numFmtId="0" fontId="30" fillId="10" borderId="1" xfId="0" applyFont="1" applyFill="1" applyBorder="1" applyAlignment="1">
      <alignment horizontal="center"/>
    </xf>
    <xf numFmtId="14" fontId="32" fillId="10" borderId="0" xfId="0" applyNumberFormat="1" applyFont="1" applyFill="1" applyBorder="1" applyAlignment="1">
      <alignment horizontal="right" vertical="center"/>
    </xf>
    <xf numFmtId="0" fontId="27" fillId="10" borderId="1" xfId="0" applyFont="1" applyFill="1" applyBorder="1" applyAlignment="1">
      <alignment horizontal="left" vertical="center"/>
    </xf>
    <xf numFmtId="0" fontId="28" fillId="10" borderId="5" xfId="0" applyFont="1" applyFill="1" applyBorder="1" applyAlignment="1">
      <alignment horizontal="right" vertical="center"/>
    </xf>
    <xf numFmtId="0" fontId="28" fillId="10" borderId="1" xfId="0" applyFont="1" applyFill="1" applyBorder="1" applyAlignment="1">
      <alignment horizontal="righ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7" fillId="10" borderId="0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25" fillId="10" borderId="1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3621</v>
        <stp/>
        <stp>rb1810</stp>
        <stp>LastPrice</stp>
        <tr r="P17" s="9"/>
        <tr r="P23" s="9"/>
        <tr r="P14" s="9"/>
        <tr r="P11" s="9"/>
        <tr r="P26" s="9"/>
        <tr r="P20" s="9"/>
        <tr r="P13" s="1"/>
        <tr r="P15" s="1"/>
        <tr r="P16" s="1"/>
      </tp>
      <tp>
        <v>3735</v>
        <stp/>
        <stp>RB1805</stp>
        <stp>LastPrice</stp>
        <tr r="P8" s="1"/>
        <tr r="H8" s="7"/>
        <tr r="H8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30"/>
  <sheetViews>
    <sheetView zoomScaleNormal="100" workbookViewId="0">
      <selection activeCell="P30" sqref="P30"/>
    </sheetView>
  </sheetViews>
  <sheetFormatPr defaultColWidth="9" defaultRowHeight="11.25"/>
  <cols>
    <col min="1" max="1" width="9" style="6"/>
    <col min="2" max="6" width="12.625" style="6" customWidth="1"/>
    <col min="7" max="13" width="12.625" style="6" hidden="1" customWidth="1"/>
    <col min="14" max="16" width="12.625" style="6" customWidth="1"/>
    <col min="17" max="17" width="12.625" style="6" hidden="1" customWidth="1"/>
    <col min="18" max="18" width="12.625" style="6" customWidth="1"/>
    <col min="19" max="16384" width="9" style="6"/>
  </cols>
  <sheetData>
    <row r="1" spans="2:18" ht="14.25" customHeight="1" thickBot="1">
      <c r="B1" s="145" t="s">
        <v>158</v>
      </c>
      <c r="C1" s="145"/>
      <c r="D1" s="145"/>
    </row>
    <row r="2" spans="2:18" ht="12" thickTop="1"/>
    <row r="3" spans="2:18" ht="13.5">
      <c r="I3" s="143" t="s">
        <v>206</v>
      </c>
    </row>
    <row r="5" spans="2:18">
      <c r="B5" s="100" t="s">
        <v>2</v>
      </c>
      <c r="C5" s="41" t="s">
        <v>181</v>
      </c>
      <c r="D5" s="41" t="s">
        <v>180</v>
      </c>
      <c r="E5" s="41" t="s">
        <v>10</v>
      </c>
      <c r="F5" s="41" t="s">
        <v>184</v>
      </c>
      <c r="G5" s="41" t="s">
        <v>11</v>
      </c>
      <c r="H5" s="41" t="s">
        <v>12</v>
      </c>
      <c r="I5" s="41" t="s">
        <v>47</v>
      </c>
      <c r="J5" s="41" t="s">
        <v>13</v>
      </c>
      <c r="K5" s="41" t="s">
        <v>14</v>
      </c>
      <c r="L5" s="41" t="s">
        <v>26</v>
      </c>
      <c r="M5" s="41" t="s">
        <v>28</v>
      </c>
      <c r="N5" s="41" t="s">
        <v>182</v>
      </c>
      <c r="O5" s="41" t="s">
        <v>8</v>
      </c>
      <c r="P5" s="41" t="s">
        <v>23</v>
      </c>
      <c r="Q5" s="41"/>
      <c r="R5" s="41" t="s">
        <v>30</v>
      </c>
    </row>
    <row r="6" spans="2:18">
      <c r="B6" s="101" t="s">
        <v>160</v>
      </c>
      <c r="C6" s="101" t="s">
        <v>159</v>
      </c>
      <c r="D6" s="102">
        <v>43105</v>
      </c>
      <c r="E6" s="102">
        <v>43135</v>
      </c>
      <c r="F6" s="101">
        <v>3800</v>
      </c>
      <c r="G6" s="101">
        <v>30</v>
      </c>
      <c r="H6" s="101">
        <v>8.2191780821917804E-2</v>
      </c>
      <c r="I6" s="101">
        <v>0</v>
      </c>
      <c r="J6" s="101">
        <v>0.3</v>
      </c>
      <c r="K6" s="101" t="e">
        <v>#VALUE!</v>
      </c>
      <c r="L6" s="101">
        <v>80</v>
      </c>
      <c r="M6" s="101" t="e">
        <v>#N/A</v>
      </c>
      <c r="N6" s="101" t="e">
        <v>#VALUE!</v>
      </c>
      <c r="O6" s="101" t="e">
        <v>#N/A</v>
      </c>
      <c r="P6" s="101" t="s">
        <v>39</v>
      </c>
      <c r="Q6" s="101">
        <v>-1</v>
      </c>
      <c r="R6" s="101" t="s">
        <v>20</v>
      </c>
    </row>
    <row r="7" spans="2:18">
      <c r="B7" s="101" t="s">
        <v>160</v>
      </c>
      <c r="C7" s="101" t="s">
        <v>159</v>
      </c>
      <c r="D7" s="102">
        <v>43105</v>
      </c>
      <c r="E7" s="102">
        <v>43470</v>
      </c>
      <c r="F7" s="101">
        <v>100</v>
      </c>
      <c r="G7" s="101">
        <v>365</v>
      </c>
      <c r="H7" s="101">
        <v>1</v>
      </c>
      <c r="I7" s="101">
        <v>0</v>
      </c>
      <c r="J7" s="101">
        <v>0.18</v>
      </c>
      <c r="K7" s="101">
        <v>7.0292776883103798</v>
      </c>
      <c r="L7" s="101">
        <v>80</v>
      </c>
      <c r="M7" s="101">
        <v>0.8</v>
      </c>
      <c r="N7" s="101">
        <v>6.22927768831038</v>
      </c>
      <c r="O7" s="101">
        <v>100</v>
      </c>
      <c r="P7" s="101" t="s">
        <v>39</v>
      </c>
      <c r="Q7" s="101">
        <v>1</v>
      </c>
      <c r="R7" s="101" t="s">
        <v>151</v>
      </c>
    </row>
    <row r="8" spans="2:18">
      <c r="B8" s="100" t="s">
        <v>2</v>
      </c>
      <c r="C8" s="41" t="s">
        <v>181</v>
      </c>
      <c r="D8" s="41" t="s">
        <v>180</v>
      </c>
      <c r="E8" s="41" t="s">
        <v>10</v>
      </c>
      <c r="F8" s="41" t="s">
        <v>184</v>
      </c>
      <c r="G8" s="41" t="s">
        <v>11</v>
      </c>
      <c r="H8" s="41" t="s">
        <v>12</v>
      </c>
      <c r="I8" s="41" t="s">
        <v>47</v>
      </c>
      <c r="J8" s="41" t="s">
        <v>13</v>
      </c>
      <c r="K8" s="41" t="s">
        <v>14</v>
      </c>
      <c r="L8" s="41" t="s">
        <v>26</v>
      </c>
      <c r="M8" s="41" t="s">
        <v>28</v>
      </c>
      <c r="N8" s="41" t="s">
        <v>182</v>
      </c>
      <c r="O8" s="41" t="s">
        <v>8</v>
      </c>
      <c r="P8" s="41" t="s">
        <v>23</v>
      </c>
      <c r="Q8" s="41"/>
      <c r="R8" s="41" t="s">
        <v>30</v>
      </c>
    </row>
    <row r="9" spans="2:18">
      <c r="B9" s="101" t="s">
        <v>160</v>
      </c>
      <c r="C9" s="101" t="s">
        <v>185</v>
      </c>
      <c r="D9" s="102">
        <v>43119</v>
      </c>
      <c r="E9" s="102">
        <v>43189</v>
      </c>
      <c r="F9" s="101">
        <v>3650</v>
      </c>
      <c r="G9" s="101">
        <v>70</v>
      </c>
      <c r="H9" s="101">
        <v>0.17808219178082191</v>
      </c>
      <c r="I9" s="101">
        <v>0</v>
      </c>
      <c r="J9" s="101">
        <v>0.19</v>
      </c>
      <c r="K9" s="101">
        <v>82.749480015912013</v>
      </c>
      <c r="L9" s="101"/>
      <c r="M9" s="101">
        <v>0</v>
      </c>
      <c r="N9" s="126">
        <v>82.749480015912013</v>
      </c>
      <c r="O9" s="101">
        <v>3728</v>
      </c>
      <c r="P9" s="101" t="s">
        <v>85</v>
      </c>
      <c r="Q9" s="101">
        <v>1</v>
      </c>
      <c r="R9" s="101" t="s">
        <v>151</v>
      </c>
    </row>
    <row r="10" spans="2:18">
      <c r="B10" s="101" t="s">
        <v>160</v>
      </c>
      <c r="C10" s="101" t="s">
        <v>185</v>
      </c>
      <c r="D10" s="102">
        <v>43119</v>
      </c>
      <c r="E10" s="102">
        <v>43189</v>
      </c>
      <c r="F10" s="101">
        <v>3700</v>
      </c>
      <c r="G10" s="101">
        <v>70</v>
      </c>
      <c r="H10" s="101">
        <v>0.17808219178082191</v>
      </c>
      <c r="I10" s="101">
        <v>0</v>
      </c>
      <c r="J10" s="101">
        <v>0.19</v>
      </c>
      <c r="K10" s="101">
        <v>104.91801880194794</v>
      </c>
      <c r="L10" s="101"/>
      <c r="M10" s="101">
        <v>0</v>
      </c>
      <c r="N10" s="126">
        <v>104.91801880194794</v>
      </c>
      <c r="O10" s="101">
        <v>3728</v>
      </c>
      <c r="P10" s="101" t="s">
        <v>85</v>
      </c>
      <c r="Q10" s="101">
        <v>1</v>
      </c>
      <c r="R10" s="101" t="s">
        <v>151</v>
      </c>
    </row>
    <row r="11" spans="2:18">
      <c r="B11" s="101" t="s">
        <v>160</v>
      </c>
      <c r="C11" s="101" t="s">
        <v>185</v>
      </c>
      <c r="D11" s="102">
        <v>43119</v>
      </c>
      <c r="E11" s="102">
        <v>43189</v>
      </c>
      <c r="F11" s="101">
        <v>3750</v>
      </c>
      <c r="G11" s="101">
        <v>70</v>
      </c>
      <c r="H11" s="101">
        <v>0.17808219178082191</v>
      </c>
      <c r="I11" s="101">
        <v>0</v>
      </c>
      <c r="J11" s="101">
        <v>0.19</v>
      </c>
      <c r="K11" s="101">
        <v>130.42375876594815</v>
      </c>
      <c r="L11" s="101"/>
      <c r="M11" s="101">
        <v>0</v>
      </c>
      <c r="N11" s="126">
        <v>130.42375876594815</v>
      </c>
      <c r="O11" s="101">
        <v>3728</v>
      </c>
      <c r="P11" s="101" t="s">
        <v>85</v>
      </c>
      <c r="Q11" s="101">
        <v>1</v>
      </c>
      <c r="R11" s="101" t="s">
        <v>151</v>
      </c>
    </row>
    <row r="12" spans="2:18">
      <c r="B12" s="101"/>
      <c r="C12" s="101"/>
      <c r="D12" s="102"/>
      <c r="E12" s="102"/>
      <c r="F12" s="101"/>
      <c r="G12" s="101"/>
      <c r="H12" s="101"/>
      <c r="I12" s="101"/>
      <c r="J12" s="101"/>
      <c r="K12" s="101"/>
      <c r="L12" s="101"/>
      <c r="M12" s="101"/>
      <c r="N12" s="126"/>
      <c r="O12" s="101"/>
      <c r="P12" s="101"/>
      <c r="Q12" s="101"/>
      <c r="R12" s="101"/>
    </row>
    <row r="13" spans="2:18">
      <c r="B13" s="41"/>
      <c r="C13" s="41" t="s">
        <v>181</v>
      </c>
      <c r="D13" s="41" t="s">
        <v>180</v>
      </c>
      <c r="E13" s="41" t="s">
        <v>10</v>
      </c>
      <c r="F13" s="41" t="s">
        <v>184</v>
      </c>
      <c r="G13" s="41" t="s">
        <v>11</v>
      </c>
      <c r="H13" s="41" t="s">
        <v>12</v>
      </c>
      <c r="I13" s="41" t="s">
        <v>47</v>
      </c>
      <c r="J13" s="41" t="s">
        <v>13</v>
      </c>
      <c r="K13" s="41" t="s">
        <v>14</v>
      </c>
      <c r="L13" s="41" t="s">
        <v>26</v>
      </c>
      <c r="M13" s="41" t="s">
        <v>28</v>
      </c>
      <c r="N13" s="41" t="s">
        <v>182</v>
      </c>
      <c r="O13" s="41" t="s">
        <v>8</v>
      </c>
      <c r="P13" s="41" t="s">
        <v>23</v>
      </c>
      <c r="Q13" s="41"/>
      <c r="R13" s="41" t="s">
        <v>30</v>
      </c>
    </row>
    <row r="14" spans="2:18">
      <c r="B14" s="137" t="s">
        <v>160</v>
      </c>
      <c r="C14" s="137" t="s">
        <v>193</v>
      </c>
      <c r="D14" s="138">
        <v>43172</v>
      </c>
      <c r="E14" s="138">
        <v>43210</v>
      </c>
      <c r="F14" s="137">
        <v>4000</v>
      </c>
      <c r="G14" s="137">
        <v>38</v>
      </c>
      <c r="H14" s="137">
        <v>9.8630136986301367E-2</v>
      </c>
      <c r="I14" s="137">
        <v>0</v>
      </c>
      <c r="J14" s="137">
        <v>0.155</v>
      </c>
      <c r="K14" s="137">
        <v>19.562648233948153</v>
      </c>
      <c r="L14" s="137">
        <v>0</v>
      </c>
      <c r="M14" s="137">
        <v>0</v>
      </c>
      <c r="N14" s="140">
        <v>19.562648233948153</v>
      </c>
      <c r="O14" s="137">
        <v>3831</v>
      </c>
      <c r="P14" s="137" t="s">
        <v>39</v>
      </c>
      <c r="Q14" s="137">
        <v>1</v>
      </c>
      <c r="R14" s="137" t="s">
        <v>151</v>
      </c>
    </row>
    <row r="15" spans="2:18">
      <c r="B15" s="137" t="s">
        <v>160</v>
      </c>
      <c r="C15" s="137" t="s">
        <v>193</v>
      </c>
      <c r="D15" s="138">
        <v>43172</v>
      </c>
      <c r="E15" s="138">
        <v>43210</v>
      </c>
      <c r="F15" s="137">
        <v>3950</v>
      </c>
      <c r="G15" s="137">
        <v>38</v>
      </c>
      <c r="H15" s="137">
        <v>9.8630136986301367E-2</v>
      </c>
      <c r="I15" s="137">
        <v>0</v>
      </c>
      <c r="J15" s="137">
        <v>0.155</v>
      </c>
      <c r="K15" s="137">
        <v>30.425281860261634</v>
      </c>
      <c r="L15" s="137">
        <v>0</v>
      </c>
      <c r="M15" s="137">
        <v>0</v>
      </c>
      <c r="N15" s="140">
        <v>30.425281860261634</v>
      </c>
      <c r="O15" s="137">
        <v>3831</v>
      </c>
      <c r="P15" s="137" t="s">
        <v>39</v>
      </c>
      <c r="Q15" s="137">
        <v>1</v>
      </c>
      <c r="R15" s="137" t="s">
        <v>151</v>
      </c>
    </row>
    <row r="16" spans="2:18">
      <c r="B16" s="41"/>
      <c r="C16" s="41" t="s">
        <v>181</v>
      </c>
      <c r="D16" s="41" t="s">
        <v>180</v>
      </c>
      <c r="E16" s="41" t="s">
        <v>10</v>
      </c>
      <c r="F16" s="41" t="s">
        <v>184</v>
      </c>
      <c r="G16" s="41" t="s">
        <v>11</v>
      </c>
      <c r="H16" s="41" t="s">
        <v>12</v>
      </c>
      <c r="I16" s="41" t="s">
        <v>47</v>
      </c>
      <c r="J16" s="41" t="s">
        <v>13</v>
      </c>
      <c r="K16" s="41" t="s">
        <v>14</v>
      </c>
      <c r="L16" s="41" t="s">
        <v>26</v>
      </c>
      <c r="M16" s="41" t="s">
        <v>28</v>
      </c>
      <c r="N16" s="41" t="s">
        <v>182</v>
      </c>
      <c r="O16" s="41" t="s">
        <v>8</v>
      </c>
      <c r="P16" s="41" t="s">
        <v>23</v>
      </c>
      <c r="Q16" s="41"/>
      <c r="R16" s="41" t="s">
        <v>30</v>
      </c>
    </row>
    <row r="17" spans="2:18">
      <c r="B17" s="137" t="s">
        <v>160</v>
      </c>
      <c r="C17" s="137" t="s">
        <v>207</v>
      </c>
      <c r="D17" s="138">
        <v>43172</v>
      </c>
      <c r="E17" s="138">
        <v>43262</v>
      </c>
      <c r="F17" s="137">
        <v>12500</v>
      </c>
      <c r="G17" s="137">
        <v>90</v>
      </c>
      <c r="H17" s="137">
        <v>0.24657534246575341</v>
      </c>
      <c r="I17" s="137">
        <v>0</v>
      </c>
      <c r="J17" s="137">
        <v>0.19</v>
      </c>
      <c r="K17" s="137">
        <v>-68.407402851303004</v>
      </c>
      <c r="L17" s="137">
        <v>0</v>
      </c>
      <c r="M17" s="137">
        <v>0</v>
      </c>
      <c r="N17" s="140">
        <v>68.407402851303004</v>
      </c>
      <c r="O17" s="137">
        <v>14010</v>
      </c>
      <c r="P17" s="137" t="s">
        <v>85</v>
      </c>
      <c r="Q17" s="137">
        <v>-1</v>
      </c>
      <c r="R17" s="137" t="s">
        <v>20</v>
      </c>
    </row>
    <row r="18" spans="2:18">
      <c r="B18" s="41"/>
      <c r="C18" s="41" t="s">
        <v>181</v>
      </c>
      <c r="D18" s="41" t="s">
        <v>180</v>
      </c>
      <c r="E18" s="41" t="s">
        <v>10</v>
      </c>
      <c r="F18" s="41" t="s">
        <v>184</v>
      </c>
      <c r="G18" s="41" t="s">
        <v>11</v>
      </c>
      <c r="H18" s="41" t="s">
        <v>12</v>
      </c>
      <c r="I18" s="41" t="s">
        <v>47</v>
      </c>
      <c r="J18" s="41" t="s">
        <v>13</v>
      </c>
      <c r="K18" s="41" t="s">
        <v>14</v>
      </c>
      <c r="L18" s="41" t="s">
        <v>26</v>
      </c>
      <c r="M18" s="41" t="s">
        <v>28</v>
      </c>
      <c r="N18" s="41" t="s">
        <v>182</v>
      </c>
      <c r="O18" s="41" t="s">
        <v>8</v>
      </c>
      <c r="P18" s="41" t="s">
        <v>23</v>
      </c>
      <c r="Q18" s="41"/>
      <c r="R18" s="41" t="s">
        <v>30</v>
      </c>
    </row>
    <row r="19" spans="2:18">
      <c r="B19" s="137" t="s">
        <v>160</v>
      </c>
      <c r="C19" s="137" t="s">
        <v>208</v>
      </c>
      <c r="D19" s="138">
        <v>43172</v>
      </c>
      <c r="E19" s="138">
        <v>43203</v>
      </c>
      <c r="F19" s="137">
        <v>8800</v>
      </c>
      <c r="G19" s="137">
        <v>31</v>
      </c>
      <c r="H19" s="137">
        <v>8.4931506849315067E-2</v>
      </c>
      <c r="I19" s="137">
        <v>0</v>
      </c>
      <c r="J19" s="137">
        <v>0.1875</v>
      </c>
      <c r="K19" s="137">
        <v>-236.0723801769891</v>
      </c>
      <c r="L19" s="137">
        <v>70</v>
      </c>
      <c r="M19" s="137">
        <v>5.2805315068493144</v>
      </c>
      <c r="N19" s="140">
        <v>241.35291168383841</v>
      </c>
      <c r="O19" s="137">
        <v>8882</v>
      </c>
      <c r="P19" s="137" t="s">
        <v>39</v>
      </c>
      <c r="Q19" s="137">
        <v>-1</v>
      </c>
      <c r="R19" s="137" t="s">
        <v>20</v>
      </c>
    </row>
    <row r="20" spans="2:18">
      <c r="B20" s="137" t="s">
        <v>160</v>
      </c>
      <c r="C20" s="137" t="s">
        <v>208</v>
      </c>
      <c r="D20" s="138">
        <v>43172</v>
      </c>
      <c r="E20" s="138">
        <v>43203</v>
      </c>
      <c r="F20" s="137">
        <v>8900</v>
      </c>
      <c r="G20" s="137">
        <v>31</v>
      </c>
      <c r="H20" s="137">
        <v>8.4931506849315067E-2</v>
      </c>
      <c r="I20" s="137">
        <v>0</v>
      </c>
      <c r="J20" s="137">
        <v>0.1875</v>
      </c>
      <c r="K20" s="137">
        <v>-184.6140002711727</v>
      </c>
      <c r="L20" s="137">
        <v>70</v>
      </c>
      <c r="M20" s="137">
        <v>5.2805315068493144</v>
      </c>
      <c r="N20" s="140">
        <v>189.89453177802201</v>
      </c>
      <c r="O20" s="137">
        <v>8882</v>
      </c>
      <c r="P20" s="137" t="s">
        <v>39</v>
      </c>
      <c r="Q20" s="137">
        <v>-1</v>
      </c>
      <c r="R20" s="137" t="s">
        <v>20</v>
      </c>
    </row>
    <row r="21" spans="2:18">
      <c r="B21" s="137" t="s">
        <v>160</v>
      </c>
      <c r="C21" s="137" t="s">
        <v>208</v>
      </c>
      <c r="D21" s="138">
        <v>43172</v>
      </c>
      <c r="E21" s="138">
        <v>43203</v>
      </c>
      <c r="F21" s="137">
        <v>9000</v>
      </c>
      <c r="G21" s="137">
        <v>31</v>
      </c>
      <c r="H21" s="137">
        <v>8.4931506849315067E-2</v>
      </c>
      <c r="I21" s="137">
        <v>0</v>
      </c>
      <c r="J21" s="137">
        <v>0.1875</v>
      </c>
      <c r="K21" s="137">
        <v>-141.29988107518739</v>
      </c>
      <c r="L21" s="137">
        <v>70</v>
      </c>
      <c r="M21" s="137">
        <v>5.2805315068493144</v>
      </c>
      <c r="N21" s="140">
        <v>146.5804125820367</v>
      </c>
      <c r="O21" s="137">
        <v>8882</v>
      </c>
      <c r="P21" s="137" t="s">
        <v>39</v>
      </c>
      <c r="Q21" s="137">
        <v>-1</v>
      </c>
      <c r="R21" s="137" t="s">
        <v>20</v>
      </c>
    </row>
    <row r="22" spans="2:18">
      <c r="B22" s="137" t="s">
        <v>160</v>
      </c>
      <c r="C22" s="137" t="s">
        <v>208</v>
      </c>
      <c r="D22" s="138">
        <v>43172</v>
      </c>
      <c r="E22" s="138">
        <v>43203</v>
      </c>
      <c r="F22" s="137">
        <v>9100</v>
      </c>
      <c r="G22" s="137">
        <v>31</v>
      </c>
      <c r="H22" s="137">
        <v>8.4931506849315067E-2</v>
      </c>
      <c r="I22" s="137">
        <v>0</v>
      </c>
      <c r="J22" s="137">
        <v>0.1875</v>
      </c>
      <c r="K22" s="137">
        <v>-105.77307588048689</v>
      </c>
      <c r="L22" s="137">
        <v>70</v>
      </c>
      <c r="M22" s="137">
        <v>5.2805315068493144</v>
      </c>
      <c r="N22" s="140">
        <v>111.0536073873362</v>
      </c>
      <c r="O22" s="137">
        <v>8882</v>
      </c>
      <c r="P22" s="137" t="s">
        <v>39</v>
      </c>
      <c r="Q22" s="137">
        <v>-1</v>
      </c>
      <c r="R22" s="137" t="s">
        <v>20</v>
      </c>
    </row>
    <row r="23" spans="2:18">
      <c r="B23" s="41"/>
      <c r="C23" s="41" t="s">
        <v>181</v>
      </c>
      <c r="D23" s="41" t="s">
        <v>180</v>
      </c>
      <c r="E23" s="41" t="s">
        <v>10</v>
      </c>
      <c r="F23" s="41" t="s">
        <v>184</v>
      </c>
      <c r="G23" s="41" t="s">
        <v>11</v>
      </c>
      <c r="H23" s="41" t="s">
        <v>12</v>
      </c>
      <c r="I23" s="41" t="s">
        <v>47</v>
      </c>
      <c r="J23" s="41" t="s">
        <v>13</v>
      </c>
      <c r="K23" s="41" t="s">
        <v>14</v>
      </c>
      <c r="L23" s="41" t="s">
        <v>26</v>
      </c>
      <c r="M23" s="41" t="s">
        <v>28</v>
      </c>
      <c r="N23" s="41" t="s">
        <v>182</v>
      </c>
      <c r="O23" s="41" t="s">
        <v>8</v>
      </c>
      <c r="P23" s="41" t="s">
        <v>23</v>
      </c>
      <c r="Q23" s="41"/>
      <c r="R23" s="41" t="s">
        <v>30</v>
      </c>
    </row>
    <row r="24" spans="2:18">
      <c r="B24" s="137" t="s">
        <v>160</v>
      </c>
      <c r="C24" s="137" t="s">
        <v>207</v>
      </c>
      <c r="D24" s="138">
        <v>43172</v>
      </c>
      <c r="E24" s="138">
        <v>43262</v>
      </c>
      <c r="F24" s="137">
        <v>12000</v>
      </c>
      <c r="G24" s="137">
        <v>90</v>
      </c>
      <c r="H24" s="137">
        <v>0.24657534246575341</v>
      </c>
      <c r="I24" s="137">
        <v>0</v>
      </c>
      <c r="J24" s="137">
        <v>0.18</v>
      </c>
      <c r="K24" s="137">
        <v>-19.455144995082719</v>
      </c>
      <c r="L24" s="137">
        <v>0</v>
      </c>
      <c r="M24" s="137">
        <v>0</v>
      </c>
      <c r="N24" s="140">
        <v>19.455144995082719</v>
      </c>
      <c r="O24" s="137">
        <v>14010</v>
      </c>
      <c r="P24" s="137" t="s">
        <v>85</v>
      </c>
      <c r="Q24" s="137">
        <v>-1</v>
      </c>
      <c r="R24" s="137" t="s">
        <v>20</v>
      </c>
    </row>
    <row r="26" spans="2:18">
      <c r="B26" s="41"/>
      <c r="C26" s="41" t="s">
        <v>181</v>
      </c>
      <c r="D26" s="41" t="s">
        <v>180</v>
      </c>
      <c r="E26" s="41" t="s">
        <v>10</v>
      </c>
      <c r="F26" s="41" t="s">
        <v>184</v>
      </c>
      <c r="G26" s="41" t="s">
        <v>11</v>
      </c>
      <c r="H26" s="41" t="s">
        <v>12</v>
      </c>
      <c r="I26" s="41" t="s">
        <v>47</v>
      </c>
      <c r="J26" s="41" t="s">
        <v>13</v>
      </c>
      <c r="K26" s="41" t="s">
        <v>14</v>
      </c>
      <c r="L26" s="41" t="s">
        <v>26</v>
      </c>
      <c r="M26" s="41" t="s">
        <v>28</v>
      </c>
      <c r="N26" s="41" t="s">
        <v>182</v>
      </c>
      <c r="O26" s="41" t="s">
        <v>8</v>
      </c>
      <c r="P26" s="41" t="s">
        <v>23</v>
      </c>
      <c r="Q26" s="41"/>
      <c r="R26" s="41" t="s">
        <v>30</v>
      </c>
    </row>
    <row r="27" spans="2:18">
      <c r="B27" s="137" t="s">
        <v>160</v>
      </c>
      <c r="C27" s="137" t="s">
        <v>185</v>
      </c>
      <c r="D27" s="138">
        <v>43173</v>
      </c>
      <c r="E27" s="138">
        <v>43251</v>
      </c>
      <c r="F27" s="137">
        <v>3500</v>
      </c>
      <c r="G27" s="137">
        <v>78</v>
      </c>
      <c r="H27" s="137">
        <v>0.21369863013698631</v>
      </c>
      <c r="I27" s="137">
        <v>0</v>
      </c>
      <c r="J27" s="137">
        <v>0.22500000000000001</v>
      </c>
      <c r="K27" s="137">
        <v>-101.42329162416991</v>
      </c>
      <c r="L27" s="137">
        <v>0</v>
      </c>
      <c r="M27" s="137">
        <v>0</v>
      </c>
      <c r="N27" s="140">
        <v>101.42329162416991</v>
      </c>
      <c r="O27" s="137">
        <v>3602</v>
      </c>
      <c r="P27" s="137" t="s">
        <v>85</v>
      </c>
      <c r="Q27" s="137">
        <v>-1</v>
      </c>
      <c r="R27" s="137" t="s">
        <v>20</v>
      </c>
    </row>
    <row r="28" spans="2:18">
      <c r="B28" s="41"/>
      <c r="C28" s="41" t="s">
        <v>181</v>
      </c>
      <c r="D28" s="41" t="s">
        <v>180</v>
      </c>
      <c r="E28" s="41" t="s">
        <v>10</v>
      </c>
      <c r="F28" s="41" t="s">
        <v>184</v>
      </c>
      <c r="G28" s="41" t="s">
        <v>11</v>
      </c>
      <c r="H28" s="41" t="s">
        <v>12</v>
      </c>
      <c r="I28" s="41" t="s">
        <v>47</v>
      </c>
      <c r="J28" s="41" t="s">
        <v>13</v>
      </c>
      <c r="K28" s="41" t="s">
        <v>14</v>
      </c>
      <c r="L28" s="41" t="s">
        <v>26</v>
      </c>
      <c r="M28" s="41" t="s">
        <v>28</v>
      </c>
      <c r="N28" s="41" t="s">
        <v>182</v>
      </c>
      <c r="O28" s="41" t="s">
        <v>8</v>
      </c>
      <c r="P28" s="41" t="s">
        <v>23</v>
      </c>
      <c r="Q28" s="41"/>
      <c r="R28" s="41" t="s">
        <v>30</v>
      </c>
    </row>
    <row r="29" spans="2:18">
      <c r="B29" s="137" t="s">
        <v>160</v>
      </c>
      <c r="C29" s="137" t="s">
        <v>210</v>
      </c>
      <c r="D29" s="138">
        <v>43173</v>
      </c>
      <c r="E29" s="138">
        <v>43203</v>
      </c>
      <c r="F29" s="137" t="s">
        <v>212</v>
      </c>
      <c r="G29" s="137">
        <v>30</v>
      </c>
      <c r="H29" s="137">
        <v>8.2191780821917804E-2</v>
      </c>
      <c r="I29" s="137"/>
      <c r="J29" s="137"/>
      <c r="K29" s="137">
        <v>0.3660793967580851</v>
      </c>
      <c r="L29" s="137">
        <v>50</v>
      </c>
      <c r="M29" s="137">
        <v>4.1095890410958902E-2</v>
      </c>
      <c r="N29" s="140">
        <v>0.32498350634712619</v>
      </c>
      <c r="O29" s="137">
        <v>100</v>
      </c>
      <c r="P29" s="137"/>
      <c r="Q29" s="137"/>
      <c r="R29" s="137" t="s">
        <v>151</v>
      </c>
    </row>
    <row r="30" spans="2:18">
      <c r="B30" s="137" t="s">
        <v>160</v>
      </c>
      <c r="C30" s="137" t="s">
        <v>210</v>
      </c>
      <c r="D30" s="138">
        <v>43173</v>
      </c>
      <c r="E30" s="138">
        <v>43203</v>
      </c>
      <c r="F30" s="137" t="s">
        <v>213</v>
      </c>
      <c r="G30" s="137">
        <v>30</v>
      </c>
      <c r="H30" s="137">
        <v>8.2191780821917804E-2</v>
      </c>
      <c r="I30" s="137"/>
      <c r="J30" s="137"/>
      <c r="K30" s="137">
        <v>0.49604829188830735</v>
      </c>
      <c r="L30" s="137">
        <v>50</v>
      </c>
      <c r="M30" s="137">
        <v>4.1095890410958902E-2</v>
      </c>
      <c r="N30" s="140">
        <v>0.45495240147734844</v>
      </c>
      <c r="O30" s="137">
        <v>100</v>
      </c>
      <c r="P30" s="137"/>
      <c r="Q30" s="137"/>
      <c r="R30" s="137" t="s">
        <v>151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workbookViewId="0">
      <selection activeCell="B8" sqref="B8"/>
    </sheetView>
  </sheetViews>
  <sheetFormatPr defaultColWidth="9" defaultRowHeight="11.2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>
      <c r="B1" s="145" t="s">
        <v>158</v>
      </c>
      <c r="C1" s="145"/>
      <c r="D1" s="145"/>
    </row>
    <row r="2" spans="1:21" ht="12" thickTop="1"/>
    <row r="3" spans="1:2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1" ht="12" thickBot="1">
      <c r="A4" s="43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>
      <c r="B5" s="10"/>
      <c r="C5" s="10"/>
      <c r="D5" s="10"/>
      <c r="E5" s="10"/>
      <c r="F5" s="10"/>
      <c r="G5" s="10"/>
      <c r="H5" s="10"/>
      <c r="I5" s="10"/>
      <c r="J5" s="10"/>
      <c r="K5" s="46"/>
      <c r="L5" s="46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>
      <c r="B8" s="10"/>
      <c r="C8" s="10"/>
      <c r="D8" s="10"/>
      <c r="E8" s="10"/>
      <c r="F8" s="10"/>
      <c r="G8" s="10"/>
      <c r="H8" s="10"/>
      <c r="I8" s="10"/>
      <c r="J8" s="10"/>
      <c r="K8" s="46"/>
      <c r="L8" s="46"/>
      <c r="M8" s="10"/>
      <c r="N8" s="10"/>
      <c r="O8" s="10"/>
      <c r="P8" s="10"/>
      <c r="Q8" s="10"/>
      <c r="R8" s="10"/>
      <c r="S8" s="10"/>
      <c r="T8" s="13"/>
      <c r="U8" s="10"/>
    </row>
    <row r="9" spans="1:21">
      <c r="B9" s="10"/>
      <c r="C9" s="10"/>
      <c r="D9" s="10"/>
      <c r="E9" s="10"/>
      <c r="F9" s="10"/>
      <c r="G9" s="10"/>
      <c r="H9" s="10"/>
      <c r="I9" s="10"/>
      <c r="J9" s="10"/>
      <c r="K9" s="46"/>
      <c r="L9" s="46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Y49"/>
  <sheetViews>
    <sheetView zoomScale="115" zoomScaleNormal="115" workbookViewId="0">
      <pane ySplit="17" topLeftCell="A31" activePane="bottomLeft" state="frozen"/>
      <selection pane="bottomLeft" activeCell="B36" sqref="B36:E48"/>
    </sheetView>
  </sheetViews>
  <sheetFormatPr defaultColWidth="9" defaultRowHeight="10.5"/>
  <cols>
    <col min="1" max="3" width="9" style="127"/>
    <col min="4" max="4" width="9" style="127" customWidth="1"/>
    <col min="5" max="7" width="9" style="127"/>
    <col min="8" max="8" width="9.625" style="127" customWidth="1"/>
    <col min="9" max="9" width="9" style="127"/>
    <col min="10" max="10" width="9.25" style="127" customWidth="1"/>
    <col min="11" max="16384" width="9" style="127"/>
  </cols>
  <sheetData>
    <row r="1" spans="2:20" ht="11.25" thickBot="1">
      <c r="B1" s="161" t="s">
        <v>118</v>
      </c>
      <c r="C1" s="161"/>
    </row>
    <row r="2" spans="2:20" ht="11.25" thickTop="1"/>
    <row r="3" spans="2:20" ht="11.25" thickBot="1">
      <c r="B3" s="162" t="s">
        <v>119</v>
      </c>
      <c r="C3" s="162"/>
      <c r="D3" s="162"/>
      <c r="E3" s="162"/>
      <c r="G3" s="166" t="s">
        <v>120</v>
      </c>
      <c r="H3" s="166"/>
      <c r="I3" s="166"/>
      <c r="J3" s="166"/>
      <c r="L3" s="162" t="s">
        <v>165</v>
      </c>
      <c r="M3" s="162"/>
      <c r="N3" s="162"/>
      <c r="O3" s="162"/>
      <c r="Q3" s="166" t="s">
        <v>166</v>
      </c>
      <c r="R3" s="166"/>
      <c r="S3" s="166"/>
      <c r="T3" s="166"/>
    </row>
    <row r="4" spans="2:20" ht="12" thickTop="1" thickBot="1">
      <c r="B4" s="163" t="s">
        <v>121</v>
      </c>
      <c r="C4" s="163"/>
      <c r="D4" s="163"/>
      <c r="E4" s="163"/>
      <c r="G4" s="163" t="s">
        <v>34</v>
      </c>
      <c r="H4" s="163"/>
      <c r="I4" s="163"/>
      <c r="J4" s="163"/>
      <c r="L4" s="163" t="s">
        <v>121</v>
      </c>
      <c r="M4" s="163"/>
      <c r="N4" s="163"/>
      <c r="O4" s="163"/>
      <c r="Q4" s="163" t="s">
        <v>34</v>
      </c>
      <c r="R4" s="163"/>
      <c r="S4" s="163"/>
      <c r="T4" s="163"/>
    </row>
    <row r="5" spans="2:20" ht="15" customHeight="1" thickTop="1">
      <c r="B5" s="160" t="s">
        <v>122</v>
      </c>
      <c r="C5" s="160"/>
      <c r="D5" s="164"/>
      <c r="E5" s="165"/>
      <c r="G5" s="160" t="s">
        <v>123</v>
      </c>
      <c r="H5" s="160"/>
      <c r="I5" s="130"/>
      <c r="J5" s="131"/>
      <c r="L5" s="128" t="s">
        <v>122</v>
      </c>
      <c r="M5" s="129"/>
      <c r="N5" s="130"/>
      <c r="O5" s="131"/>
      <c r="Q5" s="160" t="s">
        <v>123</v>
      </c>
      <c r="R5" s="160"/>
      <c r="S5" s="130"/>
      <c r="T5" s="131"/>
    </row>
    <row r="6" spans="2:20">
      <c r="B6" s="160" t="s">
        <v>124</v>
      </c>
      <c r="C6" s="160"/>
      <c r="D6" s="158" t="s">
        <v>125</v>
      </c>
      <c r="E6" s="159"/>
      <c r="G6" s="160" t="s">
        <v>126</v>
      </c>
      <c r="H6" s="160"/>
      <c r="I6" s="158"/>
      <c r="J6" s="159"/>
      <c r="L6" s="160" t="s">
        <v>124</v>
      </c>
      <c r="M6" s="160"/>
      <c r="N6" s="158" t="s">
        <v>125</v>
      </c>
      <c r="O6" s="159"/>
      <c r="Q6" s="160" t="s">
        <v>126</v>
      </c>
      <c r="R6" s="160"/>
      <c r="S6" s="158"/>
      <c r="T6" s="159"/>
    </row>
    <row r="7" spans="2:20" ht="2.25" customHeight="1">
      <c r="B7" s="160" t="s">
        <v>127</v>
      </c>
      <c r="C7" s="160"/>
      <c r="D7" s="158" t="s">
        <v>125</v>
      </c>
      <c r="E7" s="159"/>
      <c r="G7" s="160" t="s">
        <v>128</v>
      </c>
      <c r="H7" s="160"/>
      <c r="I7" s="158"/>
      <c r="J7" s="159"/>
      <c r="L7" s="160" t="s">
        <v>127</v>
      </c>
      <c r="M7" s="160"/>
      <c r="N7" s="158" t="s">
        <v>125</v>
      </c>
      <c r="O7" s="159"/>
      <c r="Q7" s="160" t="s">
        <v>128</v>
      </c>
      <c r="R7" s="160"/>
      <c r="S7" s="158"/>
      <c r="T7" s="159"/>
    </row>
    <row r="8" spans="2:20" hidden="1">
      <c r="B8" s="160" t="s">
        <v>129</v>
      </c>
      <c r="C8" s="160"/>
      <c r="D8" s="158">
        <f>D13*D15</f>
        <v>305000</v>
      </c>
      <c r="E8" s="159"/>
      <c r="G8" s="160" t="s">
        <v>130</v>
      </c>
      <c r="H8" s="160"/>
      <c r="I8" s="158"/>
      <c r="J8" s="159"/>
      <c r="L8" s="160" t="s">
        <v>129</v>
      </c>
      <c r="M8" s="160"/>
      <c r="N8" s="158">
        <f>N14*N16</f>
        <v>305000</v>
      </c>
      <c r="O8" s="159"/>
      <c r="Q8" s="160" t="s">
        <v>130</v>
      </c>
      <c r="R8" s="160"/>
      <c r="S8" s="158"/>
      <c r="T8" s="159"/>
    </row>
    <row r="9" spans="2:20" hidden="1">
      <c r="B9" s="160" t="s">
        <v>131</v>
      </c>
      <c r="C9" s="160"/>
      <c r="D9" s="158" t="s">
        <v>132</v>
      </c>
      <c r="E9" s="159"/>
      <c r="G9" s="160" t="s">
        <v>133</v>
      </c>
      <c r="H9" s="160"/>
      <c r="I9" s="158"/>
      <c r="J9" s="159"/>
      <c r="L9" s="160" t="s">
        <v>131</v>
      </c>
      <c r="M9" s="160"/>
      <c r="N9" s="158" t="s">
        <v>132</v>
      </c>
      <c r="O9" s="159"/>
      <c r="Q9" s="160" t="s">
        <v>133</v>
      </c>
      <c r="R9" s="160"/>
      <c r="S9" s="158"/>
      <c r="T9" s="159"/>
    </row>
    <row r="10" spans="2:20" hidden="1">
      <c r="B10" s="160" t="s">
        <v>134</v>
      </c>
      <c r="C10" s="160"/>
      <c r="D10" s="158">
        <v>43084</v>
      </c>
      <c r="E10" s="159"/>
      <c r="G10" s="132" t="s">
        <v>135</v>
      </c>
      <c r="H10" s="132"/>
      <c r="I10" s="158"/>
      <c r="J10" s="159"/>
      <c r="L10" s="160" t="s">
        <v>134</v>
      </c>
      <c r="M10" s="160"/>
      <c r="N10" s="158">
        <v>43084</v>
      </c>
      <c r="O10" s="159"/>
      <c r="Q10" s="132" t="s">
        <v>135</v>
      </c>
      <c r="R10" s="132"/>
      <c r="S10" s="158"/>
      <c r="T10" s="159"/>
    </row>
    <row r="11" spans="2:20" hidden="1">
      <c r="B11" s="160" t="s">
        <v>136</v>
      </c>
      <c r="C11" s="160"/>
      <c r="D11" s="158">
        <v>3935</v>
      </c>
      <c r="E11" s="159"/>
      <c r="G11" s="160" t="s">
        <v>137</v>
      </c>
      <c r="H11" s="160"/>
      <c r="I11" s="158"/>
      <c r="J11" s="159"/>
      <c r="L11" s="160" t="s">
        <v>136</v>
      </c>
      <c r="M11" s="160"/>
      <c r="N11" s="158">
        <v>3935</v>
      </c>
      <c r="O11" s="159"/>
      <c r="Q11" s="160" t="s">
        <v>137</v>
      </c>
      <c r="R11" s="160"/>
      <c r="S11" s="158"/>
      <c r="T11" s="159"/>
    </row>
    <row r="12" spans="2:20" hidden="1">
      <c r="B12" s="160" t="s">
        <v>138</v>
      </c>
      <c r="C12" s="160"/>
      <c r="D12" s="158">
        <v>3800</v>
      </c>
      <c r="E12" s="159"/>
      <c r="G12" s="160" t="s">
        <v>139</v>
      </c>
      <c r="H12" s="160"/>
      <c r="I12" s="158"/>
      <c r="J12" s="159"/>
      <c r="L12" s="160" t="s">
        <v>163</v>
      </c>
      <c r="M12" s="160"/>
      <c r="N12" s="158">
        <v>3800</v>
      </c>
      <c r="O12" s="159"/>
      <c r="Q12" s="160" t="s">
        <v>167</v>
      </c>
      <c r="R12" s="160"/>
      <c r="S12" s="158"/>
      <c r="T12" s="159"/>
    </row>
    <row r="13" spans="2:20" hidden="1">
      <c r="B13" s="160" t="s">
        <v>140</v>
      </c>
      <c r="C13" s="160"/>
      <c r="D13" s="158">
        <v>61</v>
      </c>
      <c r="E13" s="159"/>
      <c r="G13" s="160" t="s">
        <v>141</v>
      </c>
      <c r="H13" s="160"/>
      <c r="I13" s="158"/>
      <c r="J13" s="159"/>
      <c r="L13" s="160" t="s">
        <v>164</v>
      </c>
      <c r="M13" s="160"/>
      <c r="N13" s="158">
        <v>3800</v>
      </c>
      <c r="O13" s="159"/>
      <c r="Q13" s="160" t="s">
        <v>168</v>
      </c>
      <c r="R13" s="160"/>
      <c r="S13" s="158"/>
      <c r="T13" s="159"/>
    </row>
    <row r="14" spans="2:20" hidden="1">
      <c r="B14" s="160" t="s">
        <v>142</v>
      </c>
      <c r="C14" s="160"/>
      <c r="D14" s="158" t="s">
        <v>143</v>
      </c>
      <c r="E14" s="159"/>
      <c r="G14" s="160" t="s">
        <v>144</v>
      </c>
      <c r="H14" s="160"/>
      <c r="I14" s="133"/>
      <c r="J14" s="134"/>
      <c r="L14" s="160" t="s">
        <v>140</v>
      </c>
      <c r="M14" s="160"/>
      <c r="N14" s="158">
        <v>61</v>
      </c>
      <c r="O14" s="159"/>
      <c r="Q14" s="160" t="s">
        <v>141</v>
      </c>
      <c r="R14" s="160"/>
      <c r="S14" s="158"/>
      <c r="T14" s="159"/>
    </row>
    <row r="15" spans="2:20" hidden="1">
      <c r="B15" s="160" t="s">
        <v>145</v>
      </c>
      <c r="C15" s="160"/>
      <c r="D15" s="158">
        <v>5000</v>
      </c>
      <c r="E15" s="159"/>
      <c r="G15" s="160" t="s">
        <v>146</v>
      </c>
      <c r="H15" s="160"/>
      <c r="I15" s="158"/>
      <c r="J15" s="159"/>
      <c r="L15" s="160" t="s">
        <v>142</v>
      </c>
      <c r="M15" s="160"/>
      <c r="N15" s="158" t="s">
        <v>143</v>
      </c>
      <c r="O15" s="159"/>
      <c r="Q15" s="160" t="s">
        <v>144</v>
      </c>
      <c r="R15" s="160"/>
      <c r="S15" s="133"/>
      <c r="T15" s="134"/>
    </row>
    <row r="16" spans="2:20" ht="11.25" hidden="1" thickBot="1">
      <c r="B16" s="155" t="s">
        <v>147</v>
      </c>
      <c r="C16" s="155"/>
      <c r="D16" s="156" t="s">
        <v>148</v>
      </c>
      <c r="E16" s="157"/>
      <c r="G16" s="155" t="s">
        <v>149</v>
      </c>
      <c r="H16" s="155"/>
      <c r="I16" s="156"/>
      <c r="J16" s="157"/>
      <c r="L16" s="160" t="s">
        <v>145</v>
      </c>
      <c r="M16" s="160"/>
      <c r="N16" s="158">
        <v>5000</v>
      </c>
      <c r="O16" s="159"/>
      <c r="Q16" s="160" t="s">
        <v>146</v>
      </c>
      <c r="R16" s="160"/>
      <c r="S16" s="158"/>
      <c r="T16" s="159"/>
    </row>
    <row r="17" spans="2:25" ht="12" hidden="1" thickTop="1" thickBot="1">
      <c r="L17" s="155" t="s">
        <v>147</v>
      </c>
      <c r="M17" s="155"/>
      <c r="N17" s="156" t="s">
        <v>148</v>
      </c>
      <c r="O17" s="157"/>
      <c r="Q17" s="155" t="s">
        <v>149</v>
      </c>
      <c r="R17" s="155"/>
      <c r="S17" s="156"/>
      <c r="T17" s="157"/>
    </row>
    <row r="19" spans="2:25">
      <c r="B19" s="135" t="s">
        <v>150</v>
      </c>
    </row>
    <row r="21" spans="2:25" ht="11.25" thickBot="1">
      <c r="B21" s="136"/>
      <c r="C21" s="136"/>
      <c r="D21" s="136"/>
      <c r="E21" s="136"/>
      <c r="G21" s="136"/>
      <c r="H21" s="136"/>
      <c r="I21" s="136"/>
      <c r="J21" s="136"/>
      <c r="L21" s="136"/>
      <c r="M21" s="136"/>
      <c r="N21" s="136"/>
      <c r="O21" s="136"/>
      <c r="Q21" s="136"/>
      <c r="R21" s="136"/>
      <c r="S21" s="136"/>
      <c r="T21" s="136"/>
      <c r="V21" s="136"/>
      <c r="W21" s="136"/>
      <c r="X21" s="136"/>
      <c r="Y21" s="136"/>
    </row>
    <row r="22" spans="2:25" ht="12.75" thickTop="1" thickBot="1">
      <c r="B22" s="153" t="s">
        <v>188</v>
      </c>
      <c r="C22" s="153"/>
      <c r="D22" s="153"/>
      <c r="E22" s="153"/>
      <c r="G22" s="153" t="s">
        <v>189</v>
      </c>
      <c r="H22" s="153"/>
      <c r="I22" s="153"/>
      <c r="J22" s="153"/>
      <c r="L22" s="163" t="s">
        <v>189</v>
      </c>
      <c r="M22" s="163"/>
      <c r="N22" s="163"/>
      <c r="O22" s="163"/>
      <c r="Q22" s="153" t="s">
        <v>188</v>
      </c>
      <c r="R22" s="153"/>
      <c r="S22" s="153"/>
      <c r="T22" s="153"/>
      <c r="V22" s="163" t="s">
        <v>189</v>
      </c>
      <c r="W22" s="163"/>
      <c r="X22" s="163"/>
      <c r="Y22" s="163"/>
    </row>
    <row r="23" spans="2:25" ht="12" thickTop="1">
      <c r="B23" s="146" t="s">
        <v>122</v>
      </c>
      <c r="C23" s="146"/>
      <c r="D23" s="152">
        <f ca="1">TODAY()</f>
        <v>43173</v>
      </c>
      <c r="E23" s="154"/>
      <c r="G23" s="146" t="s">
        <v>122</v>
      </c>
      <c r="H23" s="146"/>
      <c r="I23" s="152">
        <f ca="1">TODAY()</f>
        <v>43173</v>
      </c>
      <c r="J23" s="154"/>
      <c r="L23" s="146" t="s">
        <v>122</v>
      </c>
      <c r="M23" s="146"/>
      <c r="N23" s="152">
        <f ca="1">TODAY()</f>
        <v>43173</v>
      </c>
      <c r="O23" s="154"/>
      <c r="Q23" s="146" t="s">
        <v>122</v>
      </c>
      <c r="R23" s="146"/>
      <c r="S23" s="152">
        <f ca="1">TODAY()-1</f>
        <v>43172</v>
      </c>
      <c r="T23" s="154"/>
      <c r="V23" s="146" t="s">
        <v>122</v>
      </c>
      <c r="W23" s="146"/>
      <c r="X23" s="152">
        <f ca="1">TODAY()-1</f>
        <v>43172</v>
      </c>
      <c r="Y23" s="154"/>
    </row>
    <row r="24" spans="2:25" ht="11.25">
      <c r="B24" s="146" t="s">
        <v>124</v>
      </c>
      <c r="C24" s="146"/>
      <c r="D24" s="147" t="s">
        <v>186</v>
      </c>
      <c r="E24" s="148"/>
      <c r="G24" s="146" t="s">
        <v>124</v>
      </c>
      <c r="H24" s="146"/>
      <c r="I24" s="147" t="s">
        <v>186</v>
      </c>
      <c r="J24" s="148"/>
      <c r="L24" s="146" t="s">
        <v>124</v>
      </c>
      <c r="M24" s="146"/>
      <c r="N24" s="147" t="s">
        <v>36</v>
      </c>
      <c r="O24" s="148"/>
      <c r="Q24" s="146" t="s">
        <v>124</v>
      </c>
      <c r="R24" s="146"/>
      <c r="S24" s="147" t="s">
        <v>36</v>
      </c>
      <c r="T24" s="148"/>
      <c r="V24" s="146" t="s">
        <v>124</v>
      </c>
      <c r="W24" s="146"/>
      <c r="X24" s="147" t="s">
        <v>36</v>
      </c>
      <c r="Y24" s="148"/>
    </row>
    <row r="25" spans="2:25" ht="11.25">
      <c r="B25" s="146" t="s">
        <v>127</v>
      </c>
      <c r="C25" s="146"/>
      <c r="D25" s="147" t="s">
        <v>5</v>
      </c>
      <c r="E25" s="148"/>
      <c r="G25" s="146" t="s">
        <v>127</v>
      </c>
      <c r="H25" s="146"/>
      <c r="I25" s="147" t="s">
        <v>5</v>
      </c>
      <c r="J25" s="148"/>
      <c r="L25" s="146" t="s">
        <v>127</v>
      </c>
      <c r="M25" s="146"/>
      <c r="N25" s="147" t="s">
        <v>196</v>
      </c>
      <c r="O25" s="148"/>
      <c r="Q25" s="146" t="s">
        <v>127</v>
      </c>
      <c r="R25" s="146"/>
      <c r="S25" s="147" t="s">
        <v>187</v>
      </c>
      <c r="T25" s="148"/>
      <c r="V25" s="146" t="s">
        <v>127</v>
      </c>
      <c r="W25" s="146"/>
      <c r="X25" s="147" t="s">
        <v>187</v>
      </c>
      <c r="Y25" s="148"/>
    </row>
    <row r="26" spans="2:25" ht="11.25">
      <c r="B26" s="146" t="s">
        <v>129</v>
      </c>
      <c r="C26" s="146"/>
      <c r="D26" s="147">
        <f>D31*D33</f>
        <v>388800</v>
      </c>
      <c r="E26" s="148"/>
      <c r="G26" s="146" t="s">
        <v>179</v>
      </c>
      <c r="H26" s="146"/>
      <c r="I26" s="147">
        <f>I31*I33</f>
        <v>271800</v>
      </c>
      <c r="J26" s="148"/>
      <c r="L26" s="146" t="s">
        <v>129</v>
      </c>
      <c r="M26" s="146"/>
      <c r="N26" s="147">
        <f>N31*N33</f>
        <v>275000</v>
      </c>
      <c r="O26" s="148"/>
      <c r="Q26" s="146" t="s">
        <v>129</v>
      </c>
      <c r="R26" s="146"/>
      <c r="S26" s="147">
        <f>S31*S33</f>
        <v>235799.99999999997</v>
      </c>
      <c r="T26" s="148"/>
      <c r="V26" s="146" t="s">
        <v>129</v>
      </c>
      <c r="W26" s="146"/>
      <c r="X26" s="147">
        <f>X31*X33</f>
        <v>235799.99999999997</v>
      </c>
      <c r="Y26" s="148"/>
    </row>
    <row r="27" spans="2:25" ht="11.25">
      <c r="B27" s="146" t="s">
        <v>131</v>
      </c>
      <c r="C27" s="146"/>
      <c r="D27" s="147" t="s">
        <v>132</v>
      </c>
      <c r="E27" s="148"/>
      <c r="G27" s="146" t="s">
        <v>131</v>
      </c>
      <c r="H27" s="146"/>
      <c r="I27" s="147" t="s">
        <v>198</v>
      </c>
      <c r="J27" s="148"/>
      <c r="L27" s="146" t="s">
        <v>131</v>
      </c>
      <c r="M27" s="146"/>
      <c r="N27" s="147" t="s">
        <v>190</v>
      </c>
      <c r="O27" s="148"/>
      <c r="Q27" s="146" t="s">
        <v>131</v>
      </c>
      <c r="R27" s="146"/>
      <c r="S27" s="147" t="s">
        <v>191</v>
      </c>
      <c r="T27" s="148"/>
      <c r="V27" s="146" t="s">
        <v>131</v>
      </c>
      <c r="W27" s="146"/>
      <c r="X27" s="147" t="s">
        <v>190</v>
      </c>
      <c r="Y27" s="148"/>
    </row>
    <row r="28" spans="2:25" ht="11.25">
      <c r="B28" s="146" t="s">
        <v>134</v>
      </c>
      <c r="C28" s="146"/>
      <c r="D28" s="152">
        <v>43182</v>
      </c>
      <c r="E28" s="148"/>
      <c r="G28" s="146" t="s">
        <v>134</v>
      </c>
      <c r="H28" s="146"/>
      <c r="I28" s="152">
        <v>43182</v>
      </c>
      <c r="J28" s="148"/>
      <c r="L28" s="146" t="s">
        <v>134</v>
      </c>
      <c r="M28" s="146"/>
      <c r="N28" s="152">
        <v>43219</v>
      </c>
      <c r="O28" s="148"/>
      <c r="Q28" s="146" t="s">
        <v>134</v>
      </c>
      <c r="R28" s="146"/>
      <c r="S28" s="152">
        <v>43201</v>
      </c>
      <c r="T28" s="148"/>
      <c r="V28" s="146" t="s">
        <v>134</v>
      </c>
      <c r="W28" s="146"/>
      <c r="X28" s="152">
        <v>43201</v>
      </c>
      <c r="Y28" s="148"/>
    </row>
    <row r="29" spans="2:25" ht="11.25">
      <c r="B29" s="146" t="s">
        <v>136</v>
      </c>
      <c r="C29" s="146"/>
      <c r="D29" s="147">
        <v>3856</v>
      </c>
      <c r="E29" s="148"/>
      <c r="G29" s="146" t="s">
        <v>136</v>
      </c>
      <c r="H29" s="146"/>
      <c r="I29" s="147">
        <v>3856</v>
      </c>
      <c r="J29" s="148"/>
      <c r="L29" s="146" t="s">
        <v>136</v>
      </c>
      <c r="M29" s="146"/>
      <c r="N29" s="147">
        <v>3760</v>
      </c>
      <c r="O29" s="148"/>
      <c r="Q29" s="146" t="s">
        <v>136</v>
      </c>
      <c r="R29" s="146"/>
      <c r="S29" s="147">
        <v>524</v>
      </c>
      <c r="T29" s="148"/>
      <c r="V29" s="146" t="s">
        <v>136</v>
      </c>
      <c r="W29" s="146"/>
      <c r="X29" s="147">
        <v>524</v>
      </c>
      <c r="Y29" s="148"/>
    </row>
    <row r="30" spans="2:25" ht="11.25">
      <c r="B30" s="146" t="s">
        <v>138</v>
      </c>
      <c r="C30" s="146"/>
      <c r="D30" s="147">
        <v>3800</v>
      </c>
      <c r="E30" s="148"/>
      <c r="G30" s="146" t="s">
        <v>138</v>
      </c>
      <c r="H30" s="146"/>
      <c r="I30" s="147">
        <v>3930</v>
      </c>
      <c r="J30" s="148"/>
      <c r="L30" s="146" t="s">
        <v>138</v>
      </c>
      <c r="M30" s="146"/>
      <c r="N30" s="147">
        <v>3700</v>
      </c>
      <c r="O30" s="148"/>
      <c r="Q30" s="146" t="s">
        <v>138</v>
      </c>
      <c r="R30" s="146"/>
      <c r="S30" s="147">
        <v>524</v>
      </c>
      <c r="T30" s="148"/>
      <c r="V30" s="146" t="s">
        <v>138</v>
      </c>
      <c r="W30" s="146"/>
      <c r="X30" s="147">
        <v>524</v>
      </c>
      <c r="Y30" s="148"/>
    </row>
    <row r="31" spans="2:25" ht="11.25">
      <c r="B31" s="146" t="s">
        <v>140</v>
      </c>
      <c r="C31" s="146"/>
      <c r="D31" s="147">
        <v>38.880000000000003</v>
      </c>
      <c r="E31" s="148"/>
      <c r="G31" s="146" t="s">
        <v>199</v>
      </c>
      <c r="H31" s="146"/>
      <c r="I31" s="147">
        <v>27.18</v>
      </c>
      <c r="J31" s="148"/>
      <c r="L31" s="146" t="s">
        <v>140</v>
      </c>
      <c r="M31" s="146"/>
      <c r="N31" s="147">
        <v>55</v>
      </c>
      <c r="O31" s="148"/>
      <c r="Q31" s="146" t="s">
        <v>140</v>
      </c>
      <c r="R31" s="146"/>
      <c r="S31" s="147">
        <v>23.58</v>
      </c>
      <c r="T31" s="148"/>
      <c r="V31" s="146" t="s">
        <v>140</v>
      </c>
      <c r="W31" s="146"/>
      <c r="X31" s="147">
        <v>23.58</v>
      </c>
      <c r="Y31" s="148"/>
    </row>
    <row r="32" spans="2:25" ht="11.25">
      <c r="B32" s="146" t="s">
        <v>142</v>
      </c>
      <c r="C32" s="146"/>
      <c r="D32" s="147" t="s">
        <v>197</v>
      </c>
      <c r="E32" s="148"/>
      <c r="G32" s="146" t="s">
        <v>200</v>
      </c>
      <c r="H32" s="146"/>
      <c r="I32" s="147" t="s">
        <v>197</v>
      </c>
      <c r="J32" s="148"/>
      <c r="L32" s="146" t="s">
        <v>142</v>
      </c>
      <c r="M32" s="146"/>
      <c r="N32" s="147" t="s">
        <v>195</v>
      </c>
      <c r="O32" s="148"/>
      <c r="Q32" s="146" t="s">
        <v>142</v>
      </c>
      <c r="R32" s="146"/>
      <c r="S32" s="147" t="s">
        <v>192</v>
      </c>
      <c r="T32" s="148"/>
      <c r="V32" s="146" t="s">
        <v>142</v>
      </c>
      <c r="W32" s="146"/>
      <c r="X32" s="147" t="s">
        <v>192</v>
      </c>
      <c r="Y32" s="148"/>
    </row>
    <row r="33" spans="2:25" ht="11.25">
      <c r="B33" s="146" t="s">
        <v>145</v>
      </c>
      <c r="C33" s="146"/>
      <c r="D33" s="147">
        <v>10000</v>
      </c>
      <c r="E33" s="148"/>
      <c r="G33" s="146" t="s">
        <v>201</v>
      </c>
      <c r="H33" s="146"/>
      <c r="I33" s="147">
        <v>10000</v>
      </c>
      <c r="J33" s="148"/>
      <c r="L33" s="146" t="s">
        <v>145</v>
      </c>
      <c r="M33" s="146"/>
      <c r="N33" s="147">
        <v>5000</v>
      </c>
      <c r="O33" s="148"/>
      <c r="Q33" s="146" t="s">
        <v>145</v>
      </c>
      <c r="R33" s="146"/>
      <c r="S33" s="147">
        <v>10000</v>
      </c>
      <c r="T33" s="148"/>
      <c r="V33" s="146" t="s">
        <v>145</v>
      </c>
      <c r="W33" s="146"/>
      <c r="X33" s="147">
        <v>10000</v>
      </c>
      <c r="Y33" s="148"/>
    </row>
    <row r="34" spans="2:25" ht="12" thickBot="1">
      <c r="B34" s="149" t="s">
        <v>147</v>
      </c>
      <c r="C34" s="149"/>
      <c r="D34" s="150" t="s">
        <v>148</v>
      </c>
      <c r="E34" s="151"/>
      <c r="G34" s="149" t="s">
        <v>147</v>
      </c>
      <c r="H34" s="149"/>
      <c r="I34" s="150" t="s">
        <v>148</v>
      </c>
      <c r="J34" s="151"/>
      <c r="L34" s="149" t="s">
        <v>147</v>
      </c>
      <c r="M34" s="149"/>
      <c r="N34" s="150" t="s">
        <v>148</v>
      </c>
      <c r="O34" s="151"/>
      <c r="Q34" s="149" t="s">
        <v>147</v>
      </c>
      <c r="R34" s="149"/>
      <c r="S34" s="150" t="s">
        <v>148</v>
      </c>
      <c r="T34" s="151"/>
      <c r="V34" s="149" t="s">
        <v>147</v>
      </c>
      <c r="W34" s="149"/>
      <c r="X34" s="150" t="s">
        <v>148</v>
      </c>
      <c r="Y34" s="151"/>
    </row>
    <row r="35" spans="2:25" ht="11.25" thickTop="1"/>
    <row r="36" spans="2:25" ht="12" thickBot="1">
      <c r="B36" s="153" t="s">
        <v>121</v>
      </c>
      <c r="C36" s="153"/>
      <c r="D36" s="153"/>
      <c r="E36" s="153"/>
    </row>
    <row r="37" spans="2:25" ht="12" thickTop="1">
      <c r="B37" s="146" t="s">
        <v>122</v>
      </c>
      <c r="C37" s="146"/>
      <c r="D37" s="152">
        <f ca="1">TODAY()</f>
        <v>43173</v>
      </c>
      <c r="E37" s="154"/>
    </row>
    <row r="38" spans="2:25" ht="11.25">
      <c r="B38" s="146" t="s">
        <v>124</v>
      </c>
      <c r="C38" s="146"/>
      <c r="D38" s="147" t="s">
        <v>186</v>
      </c>
      <c r="E38" s="148"/>
    </row>
    <row r="39" spans="2:25" ht="11.25">
      <c r="B39" s="146" t="s">
        <v>127</v>
      </c>
      <c r="C39" s="146"/>
      <c r="D39" s="147" t="s">
        <v>203</v>
      </c>
      <c r="E39" s="148"/>
    </row>
    <row r="40" spans="2:25" ht="11.25">
      <c r="B40" s="146" t="s">
        <v>179</v>
      </c>
      <c r="C40" s="146"/>
      <c r="D40" s="147">
        <f>D45*D47</f>
        <v>210000</v>
      </c>
      <c r="E40" s="148"/>
    </row>
    <row r="41" spans="2:25" ht="11.25">
      <c r="B41" s="146" t="s">
        <v>131</v>
      </c>
      <c r="C41" s="146"/>
      <c r="D41" s="147" t="s">
        <v>190</v>
      </c>
      <c r="E41" s="148"/>
    </row>
    <row r="42" spans="2:25" ht="11.25">
      <c r="B42" s="146" t="s">
        <v>134</v>
      </c>
      <c r="C42" s="146"/>
      <c r="D42" s="152">
        <v>43196</v>
      </c>
      <c r="E42" s="148"/>
    </row>
    <row r="43" spans="2:25" ht="11.25">
      <c r="B43" s="146" t="s">
        <v>136</v>
      </c>
      <c r="C43" s="146"/>
      <c r="D43" s="147">
        <v>14280</v>
      </c>
      <c r="E43" s="148"/>
    </row>
    <row r="44" spans="2:25" ht="11.25">
      <c r="B44" s="146" t="s">
        <v>138</v>
      </c>
      <c r="C44" s="146"/>
      <c r="D44" s="147">
        <v>13750</v>
      </c>
      <c r="E44" s="148"/>
    </row>
    <row r="45" spans="2:25" ht="11.25">
      <c r="B45" s="146" t="s">
        <v>199</v>
      </c>
      <c r="C45" s="146"/>
      <c r="D45" s="147">
        <v>42</v>
      </c>
      <c r="E45" s="148"/>
    </row>
    <row r="46" spans="2:25" ht="11.25">
      <c r="B46" s="146" t="s">
        <v>200</v>
      </c>
      <c r="C46" s="146"/>
      <c r="D46" s="147" t="s">
        <v>202</v>
      </c>
      <c r="E46" s="148"/>
    </row>
    <row r="47" spans="2:25" ht="11.25">
      <c r="B47" s="146" t="s">
        <v>201</v>
      </c>
      <c r="C47" s="146"/>
      <c r="D47" s="147">
        <v>5000</v>
      </c>
      <c r="E47" s="148"/>
    </row>
    <row r="48" spans="2:25" ht="12" thickBot="1">
      <c r="B48" s="149" t="s">
        <v>147</v>
      </c>
      <c r="C48" s="149"/>
      <c r="D48" s="150" t="s">
        <v>148</v>
      </c>
      <c r="E48" s="151"/>
    </row>
    <row r="49" ht="11.25" thickTop="1"/>
  </sheetData>
  <mergeCells count="251">
    <mergeCell ref="V32:W32"/>
    <mergeCell ref="X32:Y32"/>
    <mergeCell ref="V33:W33"/>
    <mergeCell ref="X33:Y33"/>
    <mergeCell ref="V34:W34"/>
    <mergeCell ref="X34:Y34"/>
    <mergeCell ref="Q32:R32"/>
    <mergeCell ref="S32:T32"/>
    <mergeCell ref="Q33:R33"/>
    <mergeCell ref="S33:T33"/>
    <mergeCell ref="Q34:R34"/>
    <mergeCell ref="S34:T34"/>
    <mergeCell ref="V22:Y22"/>
    <mergeCell ref="V23:W23"/>
    <mergeCell ref="X23:Y23"/>
    <mergeCell ref="V24:W24"/>
    <mergeCell ref="X24:Y24"/>
    <mergeCell ref="V25:W25"/>
    <mergeCell ref="X25:Y25"/>
    <mergeCell ref="V26:W26"/>
    <mergeCell ref="X26:Y26"/>
    <mergeCell ref="V27:W27"/>
    <mergeCell ref="X27:Y27"/>
    <mergeCell ref="V28:W28"/>
    <mergeCell ref="X28:Y28"/>
    <mergeCell ref="V29:W29"/>
    <mergeCell ref="X29:Y29"/>
    <mergeCell ref="V30:W30"/>
    <mergeCell ref="X30:Y30"/>
    <mergeCell ref="V31:W31"/>
    <mergeCell ref="X31:Y31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22:T22"/>
    <mergeCell ref="Q23:R23"/>
    <mergeCell ref="S23:T23"/>
    <mergeCell ref="Q24:R24"/>
    <mergeCell ref="S24:T24"/>
    <mergeCell ref="Q25:R25"/>
    <mergeCell ref="S25:T25"/>
    <mergeCell ref="Q26:R26"/>
    <mergeCell ref="S26:T26"/>
    <mergeCell ref="L32:M32"/>
    <mergeCell ref="N32:O32"/>
    <mergeCell ref="L33:M33"/>
    <mergeCell ref="N33:O33"/>
    <mergeCell ref="L34:M34"/>
    <mergeCell ref="N34:O34"/>
    <mergeCell ref="L27:M27"/>
    <mergeCell ref="N27:O27"/>
    <mergeCell ref="L28:M28"/>
    <mergeCell ref="N28:O28"/>
    <mergeCell ref="L29:M29"/>
    <mergeCell ref="N29:O29"/>
    <mergeCell ref="L30:M30"/>
    <mergeCell ref="N30:O30"/>
    <mergeCell ref="L31:M31"/>
    <mergeCell ref="N31:O31"/>
    <mergeCell ref="L22:O22"/>
    <mergeCell ref="L23:M23"/>
    <mergeCell ref="N23:O23"/>
    <mergeCell ref="L24:M24"/>
    <mergeCell ref="N24:O24"/>
    <mergeCell ref="L25:M25"/>
    <mergeCell ref="N25:O25"/>
    <mergeCell ref="L26:M26"/>
    <mergeCell ref="N26:O26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B5:C5"/>
    <mergeCell ref="D5:E5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23:C23"/>
    <mergeCell ref="G23:H23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33:H33"/>
    <mergeCell ref="I33:J33"/>
    <mergeCell ref="G34:H34"/>
    <mergeCell ref="I34:J34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G26:H26"/>
    <mergeCell ref="I30:J30"/>
    <mergeCell ref="B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6:C46"/>
    <mergeCell ref="D46:E46"/>
    <mergeCell ref="B47:C47"/>
    <mergeCell ref="D47:E47"/>
    <mergeCell ref="B48:C48"/>
    <mergeCell ref="D48:E48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36"/>
  <sheetViews>
    <sheetView topLeftCell="C1" zoomScaleNormal="100" workbookViewId="0">
      <selection activeCell="O27" sqref="O27"/>
    </sheetView>
  </sheetViews>
  <sheetFormatPr defaultColWidth="9" defaultRowHeight="11.25"/>
  <cols>
    <col min="1" max="1" width="8.125" style="6" customWidth="1"/>
    <col min="2" max="2" width="27" style="6" customWidth="1"/>
    <col min="3" max="3" width="9.125" style="6" customWidth="1"/>
    <col min="4" max="6" width="9" style="6"/>
    <col min="7" max="7" width="9.75" style="6" bestFit="1" customWidth="1"/>
    <col min="8" max="8" width="15" style="6" customWidth="1"/>
    <col min="9" max="10" width="22.625" style="6" customWidth="1"/>
    <col min="11" max="11" width="7.25" style="6" customWidth="1"/>
    <col min="12" max="12" width="9" style="6" customWidth="1"/>
    <col min="13" max="13" width="7.75" style="6" customWidth="1"/>
    <col min="14" max="14" width="10" style="6" customWidth="1"/>
    <col min="15" max="15" width="8.625" style="6" customWidth="1"/>
    <col min="16" max="16" width="13" style="6" bestFit="1" customWidth="1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16384" width="9" style="6"/>
  </cols>
  <sheetData>
    <row r="1" spans="1:25" ht="13.5" customHeight="1" thickBot="1">
      <c r="B1" s="167" t="s">
        <v>37</v>
      </c>
      <c r="C1" s="167"/>
    </row>
    <row r="2" spans="1:25" ht="12" thickTop="1">
      <c r="B2" s="3" t="s">
        <v>0</v>
      </c>
      <c r="C2" s="4">
        <v>43111</v>
      </c>
    </row>
    <row r="3" spans="1:25" ht="13.5">
      <c r="A3" s="47" t="s">
        <v>194</v>
      </c>
      <c r="B3" s="3" t="s">
        <v>1</v>
      </c>
      <c r="C3" s="3">
        <v>0.02</v>
      </c>
    </row>
    <row r="4" spans="1:25" ht="12" thickBot="1">
      <c r="B4" s="5" t="s">
        <v>18</v>
      </c>
      <c r="C4" s="5">
        <v>0.01</v>
      </c>
    </row>
    <row r="5" spans="1:25" ht="12" thickTop="1"/>
    <row r="6" spans="1:25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Y6" s="6">
        <v>0.1</v>
      </c>
    </row>
    <row r="7" spans="1:25" ht="12.75" thickTop="1" thickBot="1">
      <c r="B7" s="18" t="s">
        <v>170</v>
      </c>
      <c r="C7" s="18" t="s">
        <v>2</v>
      </c>
      <c r="D7" s="17" t="s">
        <v>181</v>
      </c>
      <c r="E7" s="17" t="s">
        <v>180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182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5" ht="12" thickTop="1">
      <c r="A8" s="42"/>
      <c r="B8" s="24" t="s">
        <v>171</v>
      </c>
      <c r="C8" s="19" t="s">
        <v>160</v>
      </c>
      <c r="D8" s="19" t="s">
        <v>22</v>
      </c>
      <c r="E8" s="21">
        <f t="shared" ref="E8:E33" ca="1" si="0">TODAY()</f>
        <v>43173</v>
      </c>
      <c r="F8" s="21">
        <f ca="1">E8+H8</f>
        <v>43253</v>
      </c>
      <c r="G8" s="19">
        <v>3800</v>
      </c>
      <c r="H8" s="19">
        <v>80</v>
      </c>
      <c r="I8" s="22">
        <f>H8/365</f>
        <v>0.21917808219178081</v>
      </c>
      <c r="J8" s="22">
        <v>0</v>
      </c>
      <c r="K8" s="23">
        <v>0.3</v>
      </c>
      <c r="L8" s="24">
        <f>_xll.dnetGBlackScholesNGreeks("price",$Q8,$P8,$G8,$I8,$C$3,$J8,$K8,$C$4)*R8</f>
        <v>-179.22359816514358</v>
      </c>
      <c r="M8" s="25"/>
      <c r="N8" s="24">
        <f>M8/10000*I8*P8</f>
        <v>0</v>
      </c>
      <c r="O8" s="24">
        <f>IF(L8&lt;=0,ABS(L8)+N8,L8-N8)</f>
        <v>179.22359816514358</v>
      </c>
      <c r="P8" s="20">
        <f>RTD("wdf.rtq",,D8,"LastPrice")</f>
        <v>3735</v>
      </c>
      <c r="Q8" s="19" t="s">
        <v>27</v>
      </c>
      <c r="R8" s="19">
        <f>IF(S8="中金买入",1,-1)</f>
        <v>-1</v>
      </c>
      <c r="S8" s="19" t="s">
        <v>31</v>
      </c>
      <c r="T8" s="26">
        <f>O8/P8</f>
        <v>4.7984899107133487E-2</v>
      </c>
      <c r="U8" s="24">
        <f>_xll.dnetGBlackScholesNGreeks("delta",$Q8,$P8,$G8,$I8,$C$3,$J8,$K8,$C$4)*R8</f>
        <v>-0.47692273222992299</v>
      </c>
      <c r="V8" s="24">
        <f>_xll.dnetGBlackScholesNGreeks("vega",$Q8,$P8,$G8,$I8,$C$3,$J8,$K8,$C$4)*R8</f>
        <v>-6.9356988315655599</v>
      </c>
    </row>
    <row r="9" spans="1:25">
      <c r="A9" s="42"/>
      <c r="B9" s="13" t="s">
        <v>172</v>
      </c>
      <c r="C9" s="10" t="s">
        <v>161</v>
      </c>
      <c r="D9" s="10" t="s">
        <v>22</v>
      </c>
      <c r="E9" s="8">
        <f t="shared" ca="1" si="0"/>
        <v>43173</v>
      </c>
      <c r="F9" s="8">
        <f ca="1">E9+H9</f>
        <v>43345</v>
      </c>
      <c r="G9" s="10">
        <v>62.9</v>
      </c>
      <c r="H9" s="10">
        <v>172</v>
      </c>
      <c r="I9" s="12">
        <f>H9/365</f>
        <v>0.47123287671232877</v>
      </c>
      <c r="J9" s="12">
        <v>0</v>
      </c>
      <c r="K9" s="9">
        <v>0.252</v>
      </c>
      <c r="L9" s="13" t="s">
        <v>205</v>
      </c>
      <c r="M9" s="15"/>
      <c r="N9" s="13">
        <f>M9/10000*I9*P9</f>
        <v>0</v>
      </c>
      <c r="O9" s="13" t="e">
        <f>IF(L9&lt;=0,ABS(L9)+N9,L9-N9)</f>
        <v>#VALUE!</v>
      </c>
      <c r="P9" s="11">
        <v>62.77</v>
      </c>
      <c r="Q9" s="10" t="s">
        <v>24</v>
      </c>
      <c r="R9" s="10">
        <f>IF(S9="中金买入",1,-1)</f>
        <v>1</v>
      </c>
      <c r="S9" s="10" t="s">
        <v>151</v>
      </c>
      <c r="T9" s="14" t="e">
        <f>O9/P9</f>
        <v>#VALUE!</v>
      </c>
      <c r="U9" s="13">
        <f>_xll.dnetGBlackScholesNGreeks("delta",$Q9,$P9,$G9,$I9,$C$3,$J9,$K9,$C$4)*R9</f>
        <v>0.52473865178725987</v>
      </c>
      <c r="V9" s="13">
        <f>_xll.dnetGBlackScholesNGreeks("vega",$Q9,$P9,$G9,$I9,$C$3,$J9,$K9,$C$4)*R9</f>
        <v>0.16981641553135773</v>
      </c>
    </row>
    <row r="10" spans="1:25" ht="10.5" customHeight="1">
      <c r="A10" s="42"/>
      <c r="B10" s="13" t="s">
        <v>172</v>
      </c>
      <c r="C10" s="10" t="s">
        <v>161</v>
      </c>
      <c r="D10" s="10" t="s">
        <v>195</v>
      </c>
      <c r="E10" s="8">
        <f t="shared" ca="1" si="0"/>
        <v>43173</v>
      </c>
      <c r="F10" s="8">
        <f ca="1">E10+H10</f>
        <v>43234</v>
      </c>
      <c r="G10" s="10">
        <v>100</v>
      </c>
      <c r="H10" s="10">
        <v>61</v>
      </c>
      <c r="I10" s="12">
        <f>(H10-4)/365</f>
        <v>0.15616438356164383</v>
      </c>
      <c r="J10" s="12">
        <v>0</v>
      </c>
      <c r="K10" s="9">
        <v>0.13</v>
      </c>
      <c r="L10" s="13">
        <f>_xll.dnetGBlackScholesNGreeks("price",$Q10,$P10,$G10,$I10,$C$3,$J10,$K10,$C$4)*R10</f>
        <v>2.0428676525355272</v>
      </c>
      <c r="M10" s="15">
        <v>0</v>
      </c>
      <c r="N10" s="13">
        <f>M10/10000*I10*P10</f>
        <v>0</v>
      </c>
      <c r="O10" s="13">
        <f>IF(L10&lt;=0,ABS(L10)+N10,L10-N10)</f>
        <v>2.0428676525355272</v>
      </c>
      <c r="P10" s="11">
        <v>100</v>
      </c>
      <c r="Q10" s="10" t="s">
        <v>85</v>
      </c>
      <c r="R10" s="10">
        <f>IF(S10="中金买入",1,-1)</f>
        <v>1</v>
      </c>
      <c r="S10" s="10" t="s">
        <v>151</v>
      </c>
      <c r="T10" s="14">
        <f>O10/P10</f>
        <v>2.0428676525355273E-2</v>
      </c>
      <c r="U10" s="13">
        <f>_xll.dnetGBlackScholesNGreeks("delta",$Q10,$P10,$G10,$I10,$C$3,$J10,$K10,$C$4)*R10</f>
        <v>-0.48822647344302084</v>
      </c>
      <c r="V10" s="13">
        <f>_xll.dnetGBlackScholesNGreeks("vega",$Q10,$P10,$G10,$I10,$C$3,$J10,$K10,$C$4)*R10</f>
        <v>0.15710900561579066</v>
      </c>
    </row>
    <row r="11" spans="1:25" ht="10.5" customHeight="1">
      <c r="A11" s="42"/>
      <c r="B11" s="13" t="s">
        <v>172</v>
      </c>
      <c r="C11" s="10" t="s">
        <v>161</v>
      </c>
      <c r="D11" s="10" t="s">
        <v>195</v>
      </c>
      <c r="E11" s="8">
        <f t="shared" ca="1" si="0"/>
        <v>43173</v>
      </c>
      <c r="F11" s="8">
        <f ca="1">E11+H11</f>
        <v>43234</v>
      </c>
      <c r="G11" s="10">
        <v>100</v>
      </c>
      <c r="H11" s="10">
        <v>61</v>
      </c>
      <c r="I11" s="12">
        <f>(H11)/365</f>
        <v>0.16712328767123288</v>
      </c>
      <c r="J11" s="12">
        <v>0</v>
      </c>
      <c r="K11" s="9">
        <v>0.17</v>
      </c>
      <c r="L11" s="13">
        <f>_xll.dnetGBlackScholesNGreeks("price",$Q11,$P11,$G11,$I11,$C$3,$J11,$K11,$C$4)*R11</f>
        <v>2.7627301409094542</v>
      </c>
      <c r="M11" s="15">
        <v>0</v>
      </c>
      <c r="N11" s="13">
        <f>M11/10000*I11*P11</f>
        <v>0</v>
      </c>
      <c r="O11" s="13">
        <f>IF(L11&lt;=0,ABS(L11)+N11,L11-N11)</f>
        <v>2.7627301409094542</v>
      </c>
      <c r="P11" s="11">
        <v>100</v>
      </c>
      <c r="Q11" s="10" t="s">
        <v>85</v>
      </c>
      <c r="R11" s="10">
        <f>IF(S11="中金买入",1,-1)</f>
        <v>1</v>
      </c>
      <c r="S11" s="10" t="s">
        <v>151</v>
      </c>
      <c r="T11" s="14">
        <f>O11/P11</f>
        <v>2.7627301409094543E-2</v>
      </c>
      <c r="U11" s="13">
        <f>_xll.dnetGBlackScholesNGreeks("delta",$Q11,$P11,$G11,$I11,$C$3,$J11,$K11,$C$4)*R11</f>
        <v>-0.48451792062316201</v>
      </c>
      <c r="V11" s="13">
        <f>_xll.dnetGBlackScholesNGreeks("vega",$Q11,$P11,$G11,$I11,$C$3,$J11,$K11,$C$4)*R11</f>
        <v>0.1624480254032683</v>
      </c>
    </row>
    <row r="12" spans="1:25" ht="10.5" customHeight="1">
      <c r="A12" s="42"/>
      <c r="B12" s="13"/>
      <c r="C12" s="10"/>
      <c r="D12" s="10"/>
      <c r="E12" s="8"/>
      <c r="F12" s="8"/>
      <c r="G12" s="10"/>
      <c r="H12" s="10"/>
      <c r="I12" s="12"/>
      <c r="J12" s="12"/>
      <c r="K12" s="9"/>
      <c r="L12" s="13"/>
      <c r="M12" s="15"/>
      <c r="N12" s="13"/>
      <c r="O12" s="13"/>
      <c r="P12" s="11"/>
      <c r="Q12" s="10"/>
      <c r="R12" s="10"/>
      <c r="S12" s="10"/>
      <c r="T12" s="14"/>
      <c r="U12" s="13"/>
      <c r="V12" s="13"/>
    </row>
    <row r="13" spans="1:25" ht="10.5" customHeight="1">
      <c r="A13" s="42"/>
      <c r="B13" s="13" t="s">
        <v>172</v>
      </c>
      <c r="C13" s="10" t="s">
        <v>161</v>
      </c>
      <c r="D13" s="10" t="s">
        <v>195</v>
      </c>
      <c r="E13" s="8">
        <f t="shared" ca="1" si="0"/>
        <v>43173</v>
      </c>
      <c r="F13" s="8">
        <f t="shared" ref="F13:F18" ca="1" si="1">E13+H13</f>
        <v>43251</v>
      </c>
      <c r="G13" s="10">
        <v>3500</v>
      </c>
      <c r="H13" s="10">
        <v>78</v>
      </c>
      <c r="I13" s="12">
        <f t="shared" ref="I13:I18" si="2">(H13)/365</f>
        <v>0.21369863013698631</v>
      </c>
      <c r="J13" s="12">
        <v>0</v>
      </c>
      <c r="K13" s="9">
        <v>0.22500000000000001</v>
      </c>
      <c r="L13" s="13">
        <f>_xll.dnetGBlackScholesNGreeks("price",$Q13,$P13,$G13,$I13,$C$3,$J13,$K13,$C$4)*R13</f>
        <v>-94.577072935255956</v>
      </c>
      <c r="M13" s="15">
        <v>0</v>
      </c>
      <c r="N13" s="13">
        <f t="shared" ref="N13:N18" si="3">M13/10000*I13*P13</f>
        <v>0</v>
      </c>
      <c r="O13" s="13">
        <f t="shared" ref="O13:O18" si="4">IF(L13&lt;=0,ABS(L13)+N13,L13-N13)</f>
        <v>94.577072935255956</v>
      </c>
      <c r="P13" s="11">
        <f>RTD("wdf.rtq",,D13,"LastPrice")</f>
        <v>3621</v>
      </c>
      <c r="Q13" s="10" t="s">
        <v>85</v>
      </c>
      <c r="R13" s="10">
        <f t="shared" ref="R13:R18" si="5">IF(S13="中金买入",1,-1)</f>
        <v>-1</v>
      </c>
      <c r="S13" s="10" t="s">
        <v>20</v>
      </c>
      <c r="T13" s="14">
        <f t="shared" ref="T13:T18" si="6">O13/P13</f>
        <v>2.6119048035143869E-2</v>
      </c>
      <c r="U13" s="13">
        <f>_xll.dnetGBlackScholesNGreeks("delta",$Q13,$P13,$G13,$I13,$C$3,$J13,$K13,$C$4)*R13</f>
        <v>0.35092666876153089</v>
      </c>
      <c r="V13" s="13">
        <f>_xll.dnetGBlackScholesNGreeks("vega",$Q13,$P13,$G13,$I13,$C$3,$J13,$K13,$C$4)*R13</f>
        <v>-6.1884994015307484</v>
      </c>
    </row>
    <row r="14" spans="1:25" ht="10.5" customHeight="1">
      <c r="A14" s="42"/>
      <c r="B14" s="13"/>
      <c r="C14" s="10"/>
      <c r="D14" s="10"/>
      <c r="E14" s="8"/>
      <c r="F14" s="8"/>
      <c r="G14" s="10"/>
      <c r="H14" s="10"/>
      <c r="I14" s="12"/>
      <c r="J14" s="12"/>
      <c r="K14" s="9"/>
      <c r="L14" s="13"/>
      <c r="M14" s="15"/>
      <c r="N14" s="13"/>
      <c r="O14" s="13"/>
      <c r="P14" s="11"/>
      <c r="Q14" s="10"/>
      <c r="R14" s="10"/>
      <c r="S14" s="10"/>
      <c r="T14" s="14"/>
      <c r="U14" s="13"/>
      <c r="V14" s="13"/>
    </row>
    <row r="15" spans="1:25" ht="10.5" customHeight="1">
      <c r="A15" s="42"/>
      <c r="B15" s="13" t="s">
        <v>172</v>
      </c>
      <c r="C15" s="10" t="s">
        <v>161</v>
      </c>
      <c r="D15" s="10" t="s">
        <v>195</v>
      </c>
      <c r="E15" s="8">
        <f t="shared" ca="1" si="0"/>
        <v>43173</v>
      </c>
      <c r="F15" s="8">
        <f t="shared" ref="F15:F16" ca="1" si="7">E15+H15</f>
        <v>43265</v>
      </c>
      <c r="G15" s="10">
        <v>3600</v>
      </c>
      <c r="H15" s="10">
        <v>92</v>
      </c>
      <c r="I15" s="12">
        <f t="shared" ref="I15:I16" si="8">(H15)/365</f>
        <v>0.25205479452054796</v>
      </c>
      <c r="J15" s="12">
        <v>0</v>
      </c>
      <c r="K15" s="9">
        <v>0.22500000000000001</v>
      </c>
      <c r="L15" s="13">
        <f>_xll.dnetGBlackScholesNGreeks("price",$Q15,$P15,$G15,$I15,$C$3,$J15,$K15,$C$4)*R15</f>
        <v>-172.46466323103368</v>
      </c>
      <c r="M15" s="15">
        <v>0</v>
      </c>
      <c r="N15" s="13">
        <f t="shared" ref="N15:N16" si="9">M15/10000*I15*P15</f>
        <v>0</v>
      </c>
      <c r="O15" s="13">
        <f t="shared" ref="O15:O16" si="10">IF(L15&lt;=0,ABS(L15)+N15,L15-N15)</f>
        <v>172.46466323103368</v>
      </c>
      <c r="P15" s="11">
        <f>RTD("wdf.rtq",,D15,"LastPrice")</f>
        <v>3621</v>
      </c>
      <c r="Q15" s="10" t="s">
        <v>39</v>
      </c>
      <c r="R15" s="10">
        <f t="shared" ref="R15:R16" si="11">IF(S15="中金买入",1,-1)</f>
        <v>-1</v>
      </c>
      <c r="S15" s="10" t="s">
        <v>20</v>
      </c>
      <c r="T15" s="14">
        <f t="shared" ref="T15:T16" si="12">O15/P15</f>
        <v>4.7629014976811289E-2</v>
      </c>
      <c r="U15" s="13">
        <f>_xll.dnetGBlackScholesNGreeks("delta",$Q15,$P15,$G15,$I15,$C$3,$J15,$K15,$C$4)*R15</f>
        <v>-0.5402601629612036</v>
      </c>
      <c r="V15" s="13">
        <f>_xll.dnetGBlackScholesNGreeks("vega",$Q15,$P15,$G15,$I15,$C$3,$J15,$K15,$C$4)*R15</f>
        <v>-7.1740388461995508</v>
      </c>
    </row>
    <row r="16" spans="1:25" ht="10.5" customHeight="1">
      <c r="A16" s="42"/>
      <c r="B16" s="13" t="s">
        <v>172</v>
      </c>
      <c r="C16" s="10" t="s">
        <v>161</v>
      </c>
      <c r="D16" s="10" t="s">
        <v>195</v>
      </c>
      <c r="E16" s="8">
        <f t="shared" ca="1" si="0"/>
        <v>43173</v>
      </c>
      <c r="F16" s="8">
        <f t="shared" ca="1" si="7"/>
        <v>43357</v>
      </c>
      <c r="G16" s="10">
        <v>3600</v>
      </c>
      <c r="H16" s="10">
        <v>184</v>
      </c>
      <c r="I16" s="12">
        <f t="shared" si="8"/>
        <v>0.50410958904109593</v>
      </c>
      <c r="J16" s="12">
        <v>0</v>
      </c>
      <c r="K16" s="9">
        <v>0.22500000000000001</v>
      </c>
      <c r="L16" s="13">
        <f>_xll.dnetGBlackScholesNGreeks("price",$Q16,$P16,$G16,$I16,$C$3,$J16,$K16,$C$4)*R16</f>
        <v>-238.09794153228245</v>
      </c>
      <c r="M16" s="15">
        <v>0</v>
      </c>
      <c r="N16" s="13">
        <f t="shared" si="9"/>
        <v>0</v>
      </c>
      <c r="O16" s="13">
        <f t="shared" si="10"/>
        <v>238.09794153228245</v>
      </c>
      <c r="P16" s="11">
        <f>RTD("wdf.rtq",,D16,"LastPrice")</f>
        <v>3621</v>
      </c>
      <c r="Q16" s="10" t="s">
        <v>39</v>
      </c>
      <c r="R16" s="10">
        <f t="shared" si="11"/>
        <v>-1</v>
      </c>
      <c r="S16" s="10" t="s">
        <v>20</v>
      </c>
      <c r="T16" s="14">
        <f t="shared" si="12"/>
        <v>6.5754747730539201E-2</v>
      </c>
      <c r="U16" s="13">
        <f>_xll.dnetGBlackScholesNGreeks("delta",$Q16,$P16,$G16,$I16,$C$3,$J16,$K16,$C$4)*R16</f>
        <v>-0.54080645529666072</v>
      </c>
      <c r="V16" s="13">
        <f>_xll.dnetGBlackScholesNGreeks("vega",$Q16,$P16,$G16,$I16,$C$3,$J16,$K16,$C$4)*R16</f>
        <v>-10.085203300335934</v>
      </c>
    </row>
    <row r="17" spans="1:22" ht="10.5" customHeight="1">
      <c r="A17" s="42"/>
      <c r="B17" s="13"/>
      <c r="C17" s="10"/>
      <c r="D17" s="10"/>
      <c r="E17" s="8"/>
      <c r="F17" s="8"/>
      <c r="G17" s="10"/>
      <c r="H17" s="10"/>
      <c r="I17" s="12"/>
      <c r="J17" s="12"/>
      <c r="K17" s="9"/>
      <c r="L17" s="13"/>
      <c r="M17" s="15"/>
      <c r="N17" s="13"/>
      <c r="O17" s="13"/>
      <c r="P17" s="11"/>
      <c r="Q17" s="10"/>
      <c r="R17" s="10"/>
      <c r="S17" s="10"/>
      <c r="T17" s="14"/>
      <c r="U17" s="13"/>
      <c r="V17" s="13"/>
    </row>
    <row r="18" spans="1:22" ht="10.5" customHeight="1">
      <c r="A18" s="42"/>
      <c r="B18" s="13"/>
      <c r="C18" s="10"/>
      <c r="D18" s="10"/>
      <c r="E18" s="8"/>
      <c r="F18" s="8"/>
      <c r="G18" s="10"/>
      <c r="H18" s="10"/>
      <c r="I18" s="12"/>
      <c r="J18" s="12"/>
      <c r="K18" s="9"/>
      <c r="L18" s="13"/>
      <c r="M18" s="15"/>
      <c r="N18" s="13"/>
      <c r="O18" s="13"/>
      <c r="P18" s="11"/>
      <c r="Q18" s="10"/>
      <c r="R18" s="10"/>
      <c r="S18" s="10"/>
      <c r="T18" s="14"/>
      <c r="U18" s="13"/>
      <c r="V18" s="13"/>
    </row>
    <row r="19" spans="1:22">
      <c r="A19" s="42"/>
      <c r="B19" s="103"/>
      <c r="C19" s="104"/>
      <c r="D19" s="104"/>
      <c r="E19" s="105"/>
      <c r="F19" s="105"/>
      <c r="G19" s="104"/>
      <c r="H19" s="104"/>
      <c r="I19" s="106"/>
      <c r="J19" s="106"/>
      <c r="K19" s="107"/>
      <c r="L19" s="103"/>
      <c r="M19" s="108"/>
      <c r="N19" s="103"/>
      <c r="O19" s="103"/>
      <c r="P19" s="109"/>
      <c r="Q19" s="104"/>
      <c r="R19" s="104"/>
      <c r="S19" s="104"/>
      <c r="T19" s="110"/>
      <c r="U19" s="103"/>
      <c r="V19" s="103"/>
    </row>
    <row r="20" spans="1:22" ht="10.5" customHeight="1">
      <c r="A20" s="42"/>
      <c r="B20" s="13"/>
      <c r="C20" s="10"/>
      <c r="D20" s="10"/>
      <c r="E20" s="8"/>
      <c r="F20" s="8"/>
      <c r="G20" s="10"/>
      <c r="H20" s="10"/>
      <c r="I20" s="12"/>
      <c r="J20" s="12"/>
      <c r="K20" s="9"/>
      <c r="L20" s="13"/>
      <c r="M20" s="15"/>
      <c r="N20" s="13"/>
      <c r="O20" s="13"/>
      <c r="P20" s="11"/>
      <c r="Q20" s="10"/>
      <c r="R20" s="10"/>
      <c r="S20" s="10"/>
      <c r="T20" s="14"/>
      <c r="U20" s="13"/>
      <c r="V20" s="13"/>
    </row>
    <row r="21" spans="1:22" ht="10.5" customHeight="1">
      <c r="A21" s="42"/>
      <c r="B21" s="13"/>
      <c r="C21" s="10"/>
      <c r="D21" s="10"/>
      <c r="E21" s="8"/>
      <c r="F21" s="8"/>
      <c r="G21" s="10"/>
      <c r="H21" s="10"/>
      <c r="I21" s="12"/>
      <c r="J21" s="12"/>
      <c r="K21" s="9"/>
      <c r="L21" s="13"/>
      <c r="M21" s="15"/>
      <c r="N21" s="13"/>
      <c r="O21" s="13"/>
      <c r="P21" s="11"/>
      <c r="Q21" s="10"/>
      <c r="R21" s="10"/>
      <c r="S21" s="10"/>
      <c r="T21" s="14"/>
      <c r="U21" s="13"/>
      <c r="V21" s="13"/>
    </row>
    <row r="22" spans="1:22" ht="10.5" customHeight="1">
      <c r="A22" s="42"/>
      <c r="B22" s="13"/>
      <c r="C22" s="10"/>
      <c r="D22" s="10"/>
      <c r="E22" s="8"/>
      <c r="F22" s="8"/>
      <c r="G22" s="10"/>
      <c r="H22" s="10"/>
      <c r="I22" s="12"/>
      <c r="J22" s="12"/>
      <c r="K22" s="9"/>
      <c r="L22" s="13"/>
      <c r="M22" s="15"/>
      <c r="N22" s="13"/>
      <c r="O22" s="13"/>
      <c r="P22" s="11"/>
      <c r="Q22" s="10"/>
      <c r="R22" s="10"/>
      <c r="S22" s="10"/>
      <c r="T22" s="14"/>
      <c r="U22" s="13"/>
      <c r="V22" s="13"/>
    </row>
    <row r="23" spans="1:22">
      <c r="A23" s="42"/>
      <c r="B23" s="103"/>
      <c r="C23" s="104"/>
      <c r="D23" s="104"/>
      <c r="E23" s="105"/>
      <c r="F23" s="105"/>
      <c r="G23" s="104"/>
      <c r="H23" s="104"/>
      <c r="I23" s="106"/>
      <c r="J23" s="106"/>
      <c r="K23" s="107"/>
      <c r="L23" s="103"/>
      <c r="M23" s="108"/>
      <c r="N23" s="103"/>
      <c r="O23" s="103"/>
      <c r="P23" s="109"/>
      <c r="Q23" s="104"/>
      <c r="R23" s="104"/>
      <c r="S23" s="104"/>
      <c r="T23" s="110"/>
      <c r="U23" s="103"/>
      <c r="V23" s="103"/>
    </row>
    <row r="24" spans="1:22" ht="10.5" customHeight="1">
      <c r="A24" s="42"/>
      <c r="B24" s="13"/>
      <c r="C24" s="10"/>
      <c r="D24" s="10"/>
      <c r="E24" s="8"/>
      <c r="F24" s="8"/>
      <c r="G24" s="10"/>
      <c r="H24" s="10"/>
      <c r="I24" s="12"/>
      <c r="J24" s="12"/>
      <c r="K24" s="9"/>
      <c r="L24" s="13"/>
      <c r="M24" s="15"/>
      <c r="N24" s="13"/>
      <c r="O24" s="13"/>
      <c r="P24" s="11"/>
      <c r="Q24" s="10"/>
      <c r="R24" s="10"/>
      <c r="S24" s="10"/>
      <c r="T24" s="14"/>
      <c r="U24" s="13"/>
      <c r="V24" s="13"/>
    </row>
    <row r="25" spans="1:22" ht="10.5" customHeight="1">
      <c r="A25" s="42"/>
      <c r="B25" s="13"/>
      <c r="C25" s="10"/>
      <c r="D25" s="10"/>
      <c r="E25" s="8"/>
      <c r="F25" s="8"/>
      <c r="G25" s="10"/>
      <c r="H25" s="10"/>
      <c r="I25" s="12"/>
      <c r="J25" s="12"/>
      <c r="K25" s="9"/>
      <c r="L25" s="13"/>
      <c r="M25" s="15"/>
      <c r="N25" s="13"/>
      <c r="O25" s="13"/>
      <c r="P25" s="11"/>
      <c r="Q25" s="10"/>
      <c r="R25" s="10"/>
      <c r="S25" s="10"/>
      <c r="T25" s="14"/>
      <c r="U25" s="13"/>
      <c r="V25" s="13"/>
    </row>
    <row r="26" spans="1:22" ht="10.5" customHeight="1">
      <c r="A26" s="42"/>
      <c r="B26" s="13"/>
      <c r="C26" s="10"/>
      <c r="D26" s="10"/>
      <c r="E26" s="8"/>
      <c r="F26" s="8"/>
      <c r="G26" s="10"/>
      <c r="H26" s="10"/>
      <c r="I26" s="12"/>
      <c r="J26" s="12"/>
      <c r="K26" s="9"/>
      <c r="L26" s="13"/>
      <c r="M26" s="15"/>
      <c r="N26" s="13"/>
      <c r="O26" s="13"/>
      <c r="P26" s="11"/>
      <c r="Q26" s="10"/>
      <c r="R26" s="10"/>
      <c r="S26" s="10"/>
      <c r="T26" s="14"/>
      <c r="U26" s="13"/>
      <c r="V26" s="13"/>
    </row>
    <row r="27" spans="1:22" ht="15">
      <c r="A27" s="42"/>
      <c r="B27" s="103"/>
      <c r="C27" s="104"/>
      <c r="D27" s="104"/>
      <c r="E27" s="105"/>
      <c r="F27" s="105"/>
      <c r="G27" s="104"/>
      <c r="H27" s="104"/>
      <c r="I27" s="139"/>
      <c r="J27" s="106"/>
      <c r="K27" s="107"/>
      <c r="L27" s="103"/>
      <c r="M27" s="108"/>
      <c r="N27" s="103"/>
      <c r="O27" s="103"/>
      <c r="P27" s="109"/>
      <c r="Q27" s="104"/>
      <c r="R27" s="104"/>
      <c r="S27" s="104"/>
      <c r="T27" s="110"/>
      <c r="U27" s="103"/>
      <c r="V27" s="103"/>
    </row>
    <row r="28" spans="1:22" ht="10.5" customHeight="1">
      <c r="A28" s="42"/>
      <c r="B28" s="13"/>
      <c r="C28" s="10"/>
      <c r="D28" s="10"/>
      <c r="E28" s="8"/>
      <c r="F28" s="8"/>
      <c r="G28" s="10"/>
      <c r="H28" s="10"/>
      <c r="I28" s="12"/>
      <c r="J28" s="12"/>
      <c r="K28" s="9"/>
      <c r="L28" s="13"/>
      <c r="M28" s="15"/>
      <c r="N28" s="13"/>
      <c r="O28" s="13"/>
      <c r="P28" s="11"/>
      <c r="Q28" s="10"/>
      <c r="R28" s="10"/>
      <c r="S28" s="10"/>
      <c r="T28" s="14"/>
      <c r="U28" s="13"/>
      <c r="V28" s="13"/>
    </row>
    <row r="29" spans="1:22">
      <c r="A29" s="42"/>
      <c r="B29" s="103"/>
      <c r="C29" s="104"/>
      <c r="D29" s="104"/>
      <c r="E29" s="105"/>
      <c r="F29" s="105"/>
      <c r="G29" s="104"/>
      <c r="H29" s="104"/>
      <c r="I29" s="106"/>
      <c r="J29" s="106"/>
      <c r="K29" s="107"/>
      <c r="L29" s="103"/>
      <c r="M29" s="108"/>
      <c r="N29" s="103"/>
      <c r="O29" s="103"/>
      <c r="P29" s="109"/>
      <c r="Q29" s="104"/>
      <c r="R29" s="104"/>
      <c r="S29" s="104"/>
      <c r="T29" s="110"/>
      <c r="U29" s="103"/>
      <c r="V29" s="103"/>
    </row>
    <row r="30" spans="1:22" ht="12.75" customHeight="1">
      <c r="A30" s="42"/>
      <c r="B30" s="13"/>
      <c r="C30" s="10"/>
      <c r="D30" s="10"/>
      <c r="E30" s="8"/>
      <c r="F30" s="8"/>
      <c r="G30" s="10"/>
      <c r="H30" s="10"/>
      <c r="I30" s="12"/>
      <c r="J30" s="12"/>
      <c r="K30" s="9"/>
      <c r="L30" s="13"/>
      <c r="M30" s="15"/>
      <c r="N30" s="13"/>
      <c r="O30" s="13"/>
      <c r="P30" s="11"/>
      <c r="Q30" s="10"/>
      <c r="R30" s="10"/>
      <c r="S30" s="10"/>
      <c r="T30" s="14"/>
      <c r="U30" s="13"/>
      <c r="V30" s="13"/>
    </row>
    <row r="31" spans="1:22" ht="10.5" customHeight="1">
      <c r="A31" s="42"/>
      <c r="B31" s="13"/>
      <c r="C31" s="10"/>
      <c r="D31" s="10"/>
      <c r="E31" s="8"/>
      <c r="F31" s="8"/>
      <c r="G31" s="10"/>
      <c r="H31" s="10"/>
      <c r="I31" s="12"/>
      <c r="J31" s="12"/>
      <c r="K31" s="9"/>
      <c r="L31" s="13"/>
      <c r="M31" s="15"/>
      <c r="N31" s="13"/>
      <c r="O31" s="13"/>
      <c r="P31" s="11"/>
      <c r="Q31" s="10"/>
      <c r="R31" s="10"/>
      <c r="S31" s="10"/>
      <c r="T31" s="14"/>
      <c r="U31" s="13"/>
      <c r="V31" s="13"/>
    </row>
    <row r="32" spans="1:22" ht="10.5" customHeight="1">
      <c r="A32" s="42"/>
      <c r="B32" s="13"/>
      <c r="C32" s="10"/>
      <c r="D32" s="10"/>
      <c r="E32" s="8"/>
      <c r="F32" s="8"/>
      <c r="G32" s="10"/>
      <c r="H32" s="10"/>
      <c r="I32" s="12"/>
      <c r="J32" s="12"/>
      <c r="K32" s="9"/>
      <c r="L32" s="13"/>
      <c r="M32" s="15"/>
      <c r="N32" s="13"/>
      <c r="O32" s="13"/>
      <c r="P32" s="11"/>
      <c r="Q32" s="10"/>
      <c r="R32" s="10"/>
      <c r="S32" s="10"/>
      <c r="T32" s="14"/>
      <c r="U32" s="13"/>
      <c r="V32" s="13"/>
    </row>
    <row r="33" spans="1:22" ht="10.5" customHeight="1">
      <c r="A33" s="42"/>
      <c r="B33" s="13"/>
      <c r="C33" s="10"/>
      <c r="D33" s="10"/>
      <c r="E33" s="8"/>
      <c r="F33" s="8"/>
      <c r="G33" s="10"/>
      <c r="H33" s="10"/>
      <c r="I33" s="12"/>
      <c r="J33" s="12"/>
      <c r="K33" s="9"/>
      <c r="L33" s="13"/>
      <c r="M33" s="15"/>
      <c r="N33" s="13"/>
      <c r="O33" s="13"/>
      <c r="P33" s="11"/>
      <c r="Q33" s="10"/>
      <c r="R33" s="10"/>
      <c r="S33" s="10"/>
      <c r="T33" s="14"/>
      <c r="U33" s="13"/>
      <c r="V33" s="13"/>
    </row>
    <row r="34" spans="1:22">
      <c r="H34" s="6" t="s">
        <v>209</v>
      </c>
    </row>
    <row r="36" spans="1:22">
      <c r="P36" s="144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S8:S33</xm:sqref>
        </x14:dataValidation>
        <x14:dataValidation type="list" allowBlank="1" showInputMessage="1" showErrorMessage="1">
          <x14:formula1>
            <xm:f>configs!$C$1:$C$2</xm:f>
          </x14:formula1>
          <xm:sqref>Q8:Q33</xm:sqref>
        </x14:dataValidation>
        <x14:dataValidation type="list" allowBlank="1" showInputMessage="1">
          <x14:formula1>
            <xm:f>configs!$A$1:$A$36</xm:f>
          </x14:formula1>
          <xm:sqref>C8:C33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9"/>
  <sheetViews>
    <sheetView tabSelected="1" zoomScale="85" zoomScaleNormal="85" workbookViewId="0">
      <selection activeCell="K34" sqref="K34"/>
    </sheetView>
  </sheetViews>
  <sheetFormatPr defaultColWidth="9" defaultRowHeight="11.25"/>
  <cols>
    <col min="1" max="1" width="8.125" style="6" customWidth="1"/>
    <col min="2" max="2" width="9" style="6"/>
    <col min="3" max="3" width="9.125" style="6" customWidth="1"/>
    <col min="4" max="4" width="9" style="6"/>
    <col min="5" max="5" width="11.625" style="6" bestFit="1" customWidth="1"/>
    <col min="6" max="6" width="10.5" style="6" bestFit="1" customWidth="1"/>
    <col min="7" max="7" width="11.5" style="6" customWidth="1"/>
    <col min="8" max="9" width="8.125" style="6" customWidth="1"/>
    <col min="10" max="10" width="9.25" style="6" bestFit="1" customWidth="1"/>
    <col min="11" max="11" width="7.25" style="6" customWidth="1"/>
    <col min="12" max="12" width="9.25" style="6" bestFit="1" customWidth="1"/>
    <col min="13" max="13" width="10.125" style="6" customWidth="1"/>
    <col min="14" max="14" width="6.5" style="6" customWidth="1"/>
    <col min="15" max="15" width="15.25" style="6" customWidth="1"/>
    <col min="16" max="16" width="10.5" style="6" bestFit="1" customWidth="1"/>
    <col min="17" max="17" width="9" style="6"/>
    <col min="18" max="18" width="9.375" style="6" customWidth="1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>
      <c r="B1" s="168" t="s">
        <v>37</v>
      </c>
      <c r="C1" s="167"/>
    </row>
    <row r="2" spans="1:22" ht="12" thickTop="1">
      <c r="B2" s="29" t="s">
        <v>0</v>
      </c>
      <c r="C2" s="4">
        <v>43061</v>
      </c>
    </row>
    <row r="3" spans="1:22">
      <c r="B3" s="29" t="s">
        <v>1</v>
      </c>
      <c r="C3" s="29">
        <v>0.02</v>
      </c>
    </row>
    <row r="4" spans="1:22" ht="12" thickBot="1">
      <c r="B4" s="30" t="s">
        <v>18</v>
      </c>
      <c r="C4" s="30">
        <v>0.01</v>
      </c>
    </row>
    <row r="5" spans="1:22" ht="12" thickTop="1"/>
    <row r="6" spans="1:22" ht="12" thickBot="1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ht="15" thickTop="1" thickBot="1">
      <c r="A7" s="47"/>
      <c r="B7" s="48" t="s">
        <v>29</v>
      </c>
      <c r="C7" s="48" t="s">
        <v>2</v>
      </c>
      <c r="D7" s="49" t="s">
        <v>181</v>
      </c>
      <c r="E7" s="49" t="s">
        <v>183</v>
      </c>
      <c r="F7" s="49" t="s">
        <v>10</v>
      </c>
      <c r="G7" s="49" t="s">
        <v>7</v>
      </c>
      <c r="H7" s="49" t="s">
        <v>11</v>
      </c>
      <c r="I7" s="49" t="s">
        <v>12</v>
      </c>
      <c r="J7" s="49" t="s">
        <v>47</v>
      </c>
      <c r="K7" s="49" t="s">
        <v>13</v>
      </c>
      <c r="L7" s="49" t="s">
        <v>14</v>
      </c>
      <c r="M7" s="49" t="s">
        <v>26</v>
      </c>
      <c r="N7" s="49" t="s">
        <v>28</v>
      </c>
      <c r="O7" s="49" t="s">
        <v>182</v>
      </c>
      <c r="P7" s="49" t="s">
        <v>8</v>
      </c>
      <c r="Q7" s="49" t="s">
        <v>23</v>
      </c>
      <c r="R7" s="49"/>
      <c r="S7" s="49" t="s">
        <v>30</v>
      </c>
      <c r="T7" s="48" t="s">
        <v>33</v>
      </c>
      <c r="U7" s="48" t="s">
        <v>16</v>
      </c>
      <c r="V7" s="48" t="s">
        <v>17</v>
      </c>
    </row>
    <row r="8" spans="1:22" ht="14.25" thickTop="1">
      <c r="A8" s="50"/>
      <c r="B8" s="51" t="s">
        <v>173</v>
      </c>
      <c r="C8" s="52" t="s">
        <v>160</v>
      </c>
      <c r="D8" s="52" t="s">
        <v>159</v>
      </c>
      <c r="E8" s="54">
        <f ca="1">TODAY()</f>
        <v>43173</v>
      </c>
      <c r="F8" s="54">
        <f ca="1">E8+H8</f>
        <v>43203</v>
      </c>
      <c r="G8" s="52">
        <v>100</v>
      </c>
      <c r="H8" s="52">
        <v>30</v>
      </c>
      <c r="I8" s="55">
        <f>H8/365</f>
        <v>8.2191780821917804E-2</v>
      </c>
      <c r="J8" s="55">
        <v>0</v>
      </c>
      <c r="K8" s="56">
        <v>0.32</v>
      </c>
      <c r="L8" s="51">
        <f>_xll.dnetGBlackScholesNGreeks("price",$Q8,$P8,$G8,$I8,$C$3,$J8,$K8,$C$4)*R8</f>
        <v>-3.6526499295562971</v>
      </c>
      <c r="M8" s="57"/>
      <c r="N8" s="51"/>
      <c r="O8" s="51">
        <f t="shared" ref="O8:O13" si="0">IF(L8&lt;=0,ABS(L8)+N8,L8-N8)</f>
        <v>3.6526499295562971</v>
      </c>
      <c r="P8" s="53">
        <v>100</v>
      </c>
      <c r="Q8" s="52" t="s">
        <v>39</v>
      </c>
      <c r="R8" s="52">
        <f>IF(S8="中金买入",1,-1)</f>
        <v>-1</v>
      </c>
      <c r="S8" s="56" t="s">
        <v>20</v>
      </c>
      <c r="T8" s="58"/>
      <c r="U8" s="51">
        <f>_xll.dnetGBlackScholesNGreeks("delta",$Q8,$P8,$G8,$I8,$C$3,$J8,$K8,$C$4)*R8</f>
        <v>-0.51744199617651532</v>
      </c>
      <c r="V8" s="51">
        <f>_xll.dnetGBlackScholesNGreeks("vega",$Q8,$P8,$G8,$I8,$C$3,$J8,$K8,$C$4)*R8</f>
        <v>-0.11406523569462124</v>
      </c>
    </row>
    <row r="9" spans="1:22" ht="13.5">
      <c r="A9" s="50"/>
      <c r="B9" s="59" t="s">
        <v>174</v>
      </c>
      <c r="C9" s="60" t="s">
        <v>160</v>
      </c>
      <c r="D9" s="60" t="s">
        <v>159</v>
      </c>
      <c r="E9" s="62">
        <f ca="1">E8</f>
        <v>43173</v>
      </c>
      <c r="F9" s="62">
        <f ca="1">F8</f>
        <v>43203</v>
      </c>
      <c r="G9" s="60">
        <v>100</v>
      </c>
      <c r="H9" s="60">
        <f>H8</f>
        <v>30</v>
      </c>
      <c r="I9" s="63">
        <f>H9/365</f>
        <v>8.2191780821917804E-2</v>
      </c>
      <c r="J9" s="63">
        <f>J8</f>
        <v>0</v>
      </c>
      <c r="K9" s="64">
        <v>0.3</v>
      </c>
      <c r="L9" s="59">
        <f>_xll.dnetGBlackScholesNGreeks("price",$Q9,$P9,$G9,$I9,$C$3,$J9,$K9,$C$4)*R9</f>
        <v>3.4245046917201378</v>
      </c>
      <c r="M9" s="65"/>
      <c r="N9" s="59"/>
      <c r="O9" s="59">
        <f t="shared" si="0"/>
        <v>3.4245046917201378</v>
      </c>
      <c r="P9" s="61">
        <v>100</v>
      </c>
      <c r="Q9" s="60" t="s">
        <v>39</v>
      </c>
      <c r="R9" s="60">
        <f>IF(S9="中金买入",1,-1)</f>
        <v>1</v>
      </c>
      <c r="S9" s="64" t="s">
        <v>151</v>
      </c>
      <c r="T9" s="66"/>
      <c r="U9" s="59">
        <f>_xll.dnetGBlackScholesNGreeks("delta",$Q9,$P9,$G9,$I9,$C$3,$J9,$K9,$C$4)*R9</f>
        <v>0.51630126926376363</v>
      </c>
      <c r="V9" s="59">
        <f>_xll.dnetGBlackScholesNGreeks("vega",$Q9,$P9,$G9,$I9,$C$3,$J9,$K9,$C$4)*R9</f>
        <v>0.11407976820886745</v>
      </c>
    </row>
    <row r="10" spans="1:22" ht="14.25" thickBot="1">
      <c r="A10" s="50"/>
      <c r="B10" s="67" t="s">
        <v>175</v>
      </c>
      <c r="C10" s="68" t="s">
        <v>160</v>
      </c>
      <c r="D10" s="68" t="str">
        <f>D9</f>
        <v>RB1805</v>
      </c>
      <c r="E10" s="70">
        <f ca="1">E9</f>
        <v>43173</v>
      </c>
      <c r="F10" s="70">
        <f ca="1">F9</f>
        <v>43203</v>
      </c>
      <c r="G10" s="68" t="str">
        <f>G8 &amp; "|" &amp; G9</f>
        <v>100|100</v>
      </c>
      <c r="H10" s="68">
        <f>H9</f>
        <v>30</v>
      </c>
      <c r="I10" s="71">
        <f>I9</f>
        <v>8.2191780821917804E-2</v>
      </c>
      <c r="J10" s="71"/>
      <c r="K10" s="68"/>
      <c r="L10" s="67">
        <f>L9+L8</f>
        <v>-0.22814523783615925</v>
      </c>
      <c r="M10" s="68"/>
      <c r="N10" s="67">
        <f>M10/10000*I10*P10</f>
        <v>0</v>
      </c>
      <c r="O10" s="67">
        <f t="shared" si="0"/>
        <v>0.22814523783615925</v>
      </c>
      <c r="P10" s="69">
        <f>P9</f>
        <v>100</v>
      </c>
      <c r="Q10" s="68"/>
      <c r="R10" s="68"/>
      <c r="S10" s="64" t="s">
        <v>151</v>
      </c>
      <c r="T10" s="72">
        <f>O10/P10</f>
        <v>2.2814523783615927E-3</v>
      </c>
      <c r="U10" s="72">
        <f>U9+U8</f>
        <v>-1.1407269127516884E-3</v>
      </c>
      <c r="V10" s="72">
        <f>V9+V8</f>
        <v>1.4532514246212713E-5</v>
      </c>
    </row>
    <row r="11" spans="1:22" ht="14.25" thickTop="1">
      <c r="A11" s="73"/>
      <c r="B11" s="51" t="s">
        <v>173</v>
      </c>
      <c r="C11" s="52" t="s">
        <v>160</v>
      </c>
      <c r="D11" s="52" t="s">
        <v>204</v>
      </c>
      <c r="E11" s="54">
        <f ca="1">TODAY()</f>
        <v>43173</v>
      </c>
      <c r="F11" s="54">
        <f ca="1">E11+H11</f>
        <v>43203</v>
      </c>
      <c r="G11" s="52">
        <v>3300</v>
      </c>
      <c r="H11" s="52">
        <v>30</v>
      </c>
      <c r="I11" s="55">
        <f>H11/365</f>
        <v>8.2191780821917804E-2</v>
      </c>
      <c r="J11" s="55">
        <v>0</v>
      </c>
      <c r="K11" s="56">
        <v>0.22500000000000001</v>
      </c>
      <c r="L11" s="51">
        <f>_xll.dnetGBlackScholesNGreeks("price",$Q11,$P11,$G11,$I11,$C$3,$J11,$K11,$C$4)*R11</f>
        <v>-7.4827271421998489</v>
      </c>
      <c r="M11" s="57"/>
      <c r="N11" s="51"/>
      <c r="O11" s="51">
        <f t="shared" si="0"/>
        <v>7.4827271421998489</v>
      </c>
      <c r="P11" s="141">
        <f>RTD("wdf.rtq",,D11,"LastPrice")</f>
        <v>3621</v>
      </c>
      <c r="Q11" s="52" t="s">
        <v>85</v>
      </c>
      <c r="R11" s="52">
        <f>IF(S11="中金买入",1,-1)</f>
        <v>-1</v>
      </c>
      <c r="S11" s="56" t="s">
        <v>20</v>
      </c>
      <c r="T11" s="58"/>
      <c r="U11" s="51">
        <f>_xll.dnetGBlackScholesNGreeks("delta",$Q11,$P11,$G11,$I11,$C$3,$J11,$K11,$C$4)*R11</f>
        <v>7.0486300531058532E-2</v>
      </c>
      <c r="V11" s="51">
        <f>_xll.dnetGBlackScholesNGreeks("vega",$Q11,$P11,$G11,$I11,$C$3,$J11,$K11,$C$4)*R11</f>
        <v>-1.3998677169561233</v>
      </c>
    </row>
    <row r="12" spans="1:22" ht="13.5">
      <c r="A12" s="73"/>
      <c r="B12" s="59" t="s">
        <v>174</v>
      </c>
      <c r="C12" s="60" t="s">
        <v>160</v>
      </c>
      <c r="D12" s="60" t="str">
        <f t="shared" ref="D12:F13" si="1">D11</f>
        <v>rb1810</v>
      </c>
      <c r="E12" s="62">
        <f t="shared" ca="1" si="1"/>
        <v>43173</v>
      </c>
      <c r="F12" s="62">
        <f t="shared" ca="1" si="1"/>
        <v>43203</v>
      </c>
      <c r="G12" s="60">
        <v>4000</v>
      </c>
      <c r="H12" s="60">
        <f>H11</f>
        <v>30</v>
      </c>
      <c r="I12" s="63">
        <f>H12/365</f>
        <v>8.2191780821917804E-2</v>
      </c>
      <c r="J12" s="63">
        <f>J11</f>
        <v>0</v>
      </c>
      <c r="K12" s="64">
        <v>0.2</v>
      </c>
      <c r="L12" s="59">
        <f>_xll.dnetGBlackScholesNGreeks("price",$Q12,$P12,$G12,$I12,$C$3,$J12,$K12,$C$4)*R12</f>
        <v>3.6457233223423202</v>
      </c>
      <c r="M12" s="65"/>
      <c r="N12" s="59"/>
      <c r="O12" s="59">
        <f t="shared" si="0"/>
        <v>3.6457233223423202</v>
      </c>
      <c r="P12" s="111">
        <f>P11</f>
        <v>3621</v>
      </c>
      <c r="Q12" s="60" t="s">
        <v>39</v>
      </c>
      <c r="R12" s="60">
        <f>IF(S12="中金买入",1,-1)</f>
        <v>1</v>
      </c>
      <c r="S12" s="64" t="s">
        <v>151</v>
      </c>
      <c r="T12" s="66"/>
      <c r="U12" s="59">
        <f>_xll.dnetGBlackScholesNGreeks("delta",$Q12,$P12,$G12,$I12,$C$3,$J12,$K12,$C$4)*R12</f>
        <v>4.3800151350126271E-2</v>
      </c>
      <c r="V12" s="59">
        <f>_xll.dnetGBlackScholesNGreeks("vega",$Q12,$P12,$G12,$I12,$C$3,$J12,$K12,$C$4)*R12</f>
        <v>0.96250601404344849</v>
      </c>
    </row>
    <row r="13" spans="1:22" ht="14.25" thickBot="1">
      <c r="A13" s="73"/>
      <c r="B13" s="67" t="s">
        <v>175</v>
      </c>
      <c r="C13" s="68" t="s">
        <v>160</v>
      </c>
      <c r="D13" s="68" t="str">
        <f t="shared" si="1"/>
        <v>rb1810</v>
      </c>
      <c r="E13" s="70">
        <f t="shared" ca="1" si="1"/>
        <v>43173</v>
      </c>
      <c r="F13" s="70">
        <f t="shared" ca="1" si="1"/>
        <v>43203</v>
      </c>
      <c r="G13" s="68" t="str">
        <f>G11 &amp; "|" &amp; G12</f>
        <v>3300|4000</v>
      </c>
      <c r="H13" s="68">
        <f>H12</f>
        <v>30</v>
      </c>
      <c r="I13" s="71">
        <f>I12</f>
        <v>8.2191780821917804E-2</v>
      </c>
      <c r="J13" s="71"/>
      <c r="K13" s="68"/>
      <c r="L13" s="67">
        <f>L12+L11</f>
        <v>-3.8370038198575287</v>
      </c>
      <c r="M13" s="68"/>
      <c r="N13" s="67">
        <f>M13/10000*I13*P13</f>
        <v>0</v>
      </c>
      <c r="O13" s="67">
        <f t="shared" si="0"/>
        <v>3.8370038198575287</v>
      </c>
      <c r="P13" s="142">
        <f>P12</f>
        <v>3621</v>
      </c>
      <c r="Q13" s="68"/>
      <c r="R13" s="68"/>
      <c r="S13" s="64" t="s">
        <v>151</v>
      </c>
      <c r="T13" s="72">
        <f>O13/P13</f>
        <v>1.0596530847438632E-3</v>
      </c>
      <c r="U13" s="72">
        <f>U12+U11</f>
        <v>0.1142864518811848</v>
      </c>
      <c r="V13" s="72">
        <f>V12+V11</f>
        <v>-0.43736170291267484</v>
      </c>
    </row>
    <row r="14" spans="1:22" ht="14.25" thickTop="1">
      <c r="A14" s="73"/>
      <c r="B14" s="51" t="s">
        <v>173</v>
      </c>
      <c r="C14" s="52" t="s">
        <v>160</v>
      </c>
      <c r="D14" s="52" t="s">
        <v>204</v>
      </c>
      <c r="E14" s="54">
        <f ca="1">TODAY()</f>
        <v>43173</v>
      </c>
      <c r="F14" s="54">
        <f ca="1">E14+H14</f>
        <v>43203</v>
      </c>
      <c r="G14" s="52">
        <v>3400</v>
      </c>
      <c r="H14" s="52">
        <v>30</v>
      </c>
      <c r="I14" s="55">
        <f>H14/365</f>
        <v>8.2191780821917804E-2</v>
      </c>
      <c r="J14" s="55">
        <v>0</v>
      </c>
      <c r="K14" s="56">
        <v>0.22500000000000001</v>
      </c>
      <c r="L14" s="51">
        <f>_xll.dnetGBlackScholesNGreeks("price",$Q14,$P14,$G14,$I14,$C$3,$J14,$K14,$C$4)*R14</f>
        <v>-19.685958745393009</v>
      </c>
      <c r="M14" s="57"/>
      <c r="N14" s="51"/>
      <c r="O14" s="51">
        <f t="shared" ref="O14:O28" si="2">IF(L14&lt;=0,ABS(L14)+N14,L14-N14)</f>
        <v>19.685958745393009</v>
      </c>
      <c r="P14" s="141">
        <f>RTD("wdf.rtq",,D14,"LastPrice")</f>
        <v>3621</v>
      </c>
      <c r="Q14" s="52" t="s">
        <v>85</v>
      </c>
      <c r="R14" s="52">
        <f>IF(S14="中金买入",1,-1)</f>
        <v>-1</v>
      </c>
      <c r="S14" s="56" t="s">
        <v>20</v>
      </c>
      <c r="T14" s="58"/>
      <c r="U14" s="51">
        <f>_xll.dnetGBlackScholesNGreeks("delta",$Q14,$P14,$G14,$I14,$C$3,$J14,$K14,$C$4)*R14</f>
        <v>0.15634449833896724</v>
      </c>
      <c r="V14" s="51">
        <f>_xll.dnetGBlackScholesNGreeks("vega",$Q14,$P14,$G14,$I14,$C$3,$J14,$K14,$C$4)*R14</f>
        <v>-2.4848194507225116</v>
      </c>
    </row>
    <row r="15" spans="1:22" ht="13.5">
      <c r="A15" s="73"/>
      <c r="B15" s="59" t="s">
        <v>174</v>
      </c>
      <c r="C15" s="60" t="s">
        <v>160</v>
      </c>
      <c r="D15" s="60" t="str">
        <f t="shared" ref="D15:F16" si="3">D14</f>
        <v>rb1810</v>
      </c>
      <c r="E15" s="62">
        <f t="shared" ca="1" si="3"/>
        <v>43173</v>
      </c>
      <c r="F15" s="62">
        <f t="shared" ca="1" si="3"/>
        <v>43203</v>
      </c>
      <c r="G15" s="60">
        <v>4000</v>
      </c>
      <c r="H15" s="60">
        <f>H14</f>
        <v>30</v>
      </c>
      <c r="I15" s="63">
        <f>H15/365</f>
        <v>8.2191780821917804E-2</v>
      </c>
      <c r="J15" s="63">
        <f>J14</f>
        <v>0</v>
      </c>
      <c r="K15" s="64">
        <v>0.2</v>
      </c>
      <c r="L15" s="59">
        <f>_xll.dnetGBlackScholesNGreeks("price",$Q15,$P15,$G15,$I15,$C$3,$J15,$K15,$C$4)*R15</f>
        <v>3.6457233223423202</v>
      </c>
      <c r="M15" s="65"/>
      <c r="N15" s="59"/>
      <c r="O15" s="59">
        <f t="shared" si="2"/>
        <v>3.6457233223423202</v>
      </c>
      <c r="P15" s="111">
        <f>P14</f>
        <v>3621</v>
      </c>
      <c r="Q15" s="60" t="s">
        <v>39</v>
      </c>
      <c r="R15" s="60">
        <f>IF(S15="中金买入",1,-1)</f>
        <v>1</v>
      </c>
      <c r="S15" s="64" t="s">
        <v>151</v>
      </c>
      <c r="T15" s="66"/>
      <c r="U15" s="59">
        <f>_xll.dnetGBlackScholesNGreeks("delta",$Q15,$P15,$G15,$I15,$C$3,$J15,$K15,$C$4)*R15</f>
        <v>4.3800151350126271E-2</v>
      </c>
      <c r="V15" s="59">
        <f>_xll.dnetGBlackScholesNGreeks("vega",$Q15,$P15,$G15,$I15,$C$3,$J15,$K15,$C$4)*R15</f>
        <v>0.96250601404344849</v>
      </c>
    </row>
    <row r="16" spans="1:22" ht="14.25" thickBot="1">
      <c r="A16" s="73"/>
      <c r="B16" s="67" t="s">
        <v>175</v>
      </c>
      <c r="C16" s="68" t="s">
        <v>160</v>
      </c>
      <c r="D16" s="68" t="str">
        <f t="shared" si="3"/>
        <v>rb1810</v>
      </c>
      <c r="E16" s="70">
        <f t="shared" ca="1" si="3"/>
        <v>43173</v>
      </c>
      <c r="F16" s="70">
        <f t="shared" ca="1" si="3"/>
        <v>43203</v>
      </c>
      <c r="G16" s="68" t="str">
        <f>G14 &amp; "|" &amp; G15</f>
        <v>3400|4000</v>
      </c>
      <c r="H16" s="68">
        <f>H15</f>
        <v>30</v>
      </c>
      <c r="I16" s="71">
        <f>I15</f>
        <v>8.2191780821917804E-2</v>
      </c>
      <c r="J16" s="71"/>
      <c r="K16" s="68"/>
      <c r="L16" s="67">
        <f>L15+L14</f>
        <v>-16.040235423050689</v>
      </c>
      <c r="M16" s="68"/>
      <c r="N16" s="67">
        <f>M16/10000*I16*P16</f>
        <v>0</v>
      </c>
      <c r="O16" s="67">
        <f t="shared" si="2"/>
        <v>16.040235423050689</v>
      </c>
      <c r="P16" s="142">
        <f>P15</f>
        <v>3621</v>
      </c>
      <c r="Q16" s="68"/>
      <c r="R16" s="68"/>
      <c r="S16" s="64" t="s">
        <v>151</v>
      </c>
      <c r="T16" s="72">
        <f>O16/P16</f>
        <v>4.4297805642227808E-3</v>
      </c>
      <c r="U16" s="72">
        <f>U15+U14</f>
        <v>0.20014464968909351</v>
      </c>
      <c r="V16" s="72">
        <f>V15+V14</f>
        <v>-1.5223134366790632</v>
      </c>
    </row>
    <row r="17" spans="1:22" ht="14.25" thickTop="1">
      <c r="A17" s="73"/>
      <c r="B17" s="51" t="s">
        <v>173</v>
      </c>
      <c r="C17" s="52" t="s">
        <v>160</v>
      </c>
      <c r="D17" s="52" t="s">
        <v>204</v>
      </c>
      <c r="E17" s="54">
        <f ca="1">TODAY()</f>
        <v>43173</v>
      </c>
      <c r="F17" s="54">
        <f ca="1">E17+H17</f>
        <v>43203</v>
      </c>
      <c r="G17" s="52">
        <v>3500</v>
      </c>
      <c r="H17" s="52">
        <v>30</v>
      </c>
      <c r="I17" s="55">
        <f>H17/365</f>
        <v>8.2191780821917804E-2</v>
      </c>
      <c r="J17" s="55">
        <v>0</v>
      </c>
      <c r="K17" s="56">
        <v>0.22500000000000001</v>
      </c>
      <c r="L17" s="51">
        <f>_xll.dnetGBlackScholesNGreeks("price",$Q17,$P17,$G17,$I17,$C$3,$J17,$K17,$C$4)*R17</f>
        <v>-43.462428521555012</v>
      </c>
      <c r="M17" s="57"/>
      <c r="N17" s="51"/>
      <c r="O17" s="51">
        <f t="shared" si="2"/>
        <v>43.462428521555012</v>
      </c>
      <c r="P17" s="141">
        <f>RTD("wdf.rtq",,D17,"LastPrice")</f>
        <v>3621</v>
      </c>
      <c r="Q17" s="52" t="s">
        <v>85</v>
      </c>
      <c r="R17" s="52">
        <f>IF(S17="中金买入",1,-1)</f>
        <v>-1</v>
      </c>
      <c r="S17" s="56" t="s">
        <v>20</v>
      </c>
      <c r="T17" s="58"/>
      <c r="U17" s="51">
        <f>_xll.dnetGBlackScholesNGreeks("delta",$Q17,$P17,$G17,$I17,$C$3,$J17,$K17,$C$4)*R17</f>
        <v>0.28755926377925789</v>
      </c>
      <c r="V17" s="51">
        <f>_xll.dnetGBlackScholesNGreeks("vega",$Q17,$P17,$G17,$I17,$C$3,$J17,$K17,$C$4)*R17</f>
        <v>-3.5354240507542158</v>
      </c>
    </row>
    <row r="18" spans="1:22" ht="13.5">
      <c r="A18" s="73"/>
      <c r="B18" s="59" t="s">
        <v>174</v>
      </c>
      <c r="C18" s="60" t="s">
        <v>160</v>
      </c>
      <c r="D18" s="60" t="str">
        <f t="shared" ref="D18:F19" si="4">D17</f>
        <v>rb1810</v>
      </c>
      <c r="E18" s="62">
        <f t="shared" ca="1" si="4"/>
        <v>43173</v>
      </c>
      <c r="F18" s="62">
        <f t="shared" ca="1" si="4"/>
        <v>43203</v>
      </c>
      <c r="G18" s="60">
        <v>4000</v>
      </c>
      <c r="H18" s="60">
        <f>H17</f>
        <v>30</v>
      </c>
      <c r="I18" s="63">
        <f>H18/365</f>
        <v>8.2191780821917804E-2</v>
      </c>
      <c r="J18" s="63">
        <f>J17</f>
        <v>0</v>
      </c>
      <c r="K18" s="64">
        <v>0.2</v>
      </c>
      <c r="L18" s="59">
        <f>_xll.dnetGBlackScholesNGreeks("price",$Q18,$P18,$G18,$I18,$C$3,$J18,$K18,$C$4)*R18</f>
        <v>3.6457233223423202</v>
      </c>
      <c r="M18" s="65"/>
      <c r="N18" s="59"/>
      <c r="O18" s="59">
        <f t="shared" si="2"/>
        <v>3.6457233223423202</v>
      </c>
      <c r="P18" s="111">
        <f>P17</f>
        <v>3621</v>
      </c>
      <c r="Q18" s="60" t="s">
        <v>39</v>
      </c>
      <c r="R18" s="60">
        <f>IF(S18="中金买入",1,-1)</f>
        <v>1</v>
      </c>
      <c r="S18" s="64" t="s">
        <v>151</v>
      </c>
      <c r="T18" s="66"/>
      <c r="U18" s="59">
        <f>_xll.dnetGBlackScholesNGreeks("delta",$Q18,$P18,$G18,$I18,$C$3,$J18,$K18,$C$4)*R18</f>
        <v>4.3800151350126271E-2</v>
      </c>
      <c r="V18" s="59">
        <f>_xll.dnetGBlackScholesNGreeks("vega",$Q18,$P18,$G18,$I18,$C$3,$J18,$K18,$C$4)*R18</f>
        <v>0.96250601404344849</v>
      </c>
    </row>
    <row r="19" spans="1:22" ht="14.25" thickBot="1">
      <c r="A19" s="73"/>
      <c r="B19" s="67" t="s">
        <v>175</v>
      </c>
      <c r="C19" s="68" t="s">
        <v>160</v>
      </c>
      <c r="D19" s="68" t="str">
        <f t="shared" si="4"/>
        <v>rb1810</v>
      </c>
      <c r="E19" s="70">
        <f t="shared" ca="1" si="4"/>
        <v>43173</v>
      </c>
      <c r="F19" s="70">
        <f t="shared" ca="1" si="4"/>
        <v>43203</v>
      </c>
      <c r="G19" s="68" t="str">
        <f>G17 &amp; "|" &amp; G18</f>
        <v>3500|4000</v>
      </c>
      <c r="H19" s="68">
        <f>H18</f>
        <v>30</v>
      </c>
      <c r="I19" s="71">
        <f>I18</f>
        <v>8.2191780821917804E-2</v>
      </c>
      <c r="J19" s="71"/>
      <c r="K19" s="68"/>
      <c r="L19" s="67">
        <f>L18+L17</f>
        <v>-39.816705199212691</v>
      </c>
      <c r="M19" s="68"/>
      <c r="N19" s="67">
        <f>M19/10000*I19*P19</f>
        <v>0</v>
      </c>
      <c r="O19" s="67">
        <f t="shared" si="2"/>
        <v>39.816705199212691</v>
      </c>
      <c r="P19" s="142">
        <f>P18</f>
        <v>3621</v>
      </c>
      <c r="Q19" s="68"/>
      <c r="R19" s="68"/>
      <c r="S19" s="64" t="s">
        <v>151</v>
      </c>
      <c r="T19" s="72">
        <f>O19/P19</f>
        <v>1.0996052250542031E-2</v>
      </c>
      <c r="U19" s="72">
        <f>U18+U17</f>
        <v>0.33135941512938416</v>
      </c>
      <c r="V19" s="72">
        <f>V18+V17</f>
        <v>-2.5729180367107674</v>
      </c>
    </row>
    <row r="20" spans="1:22" s="114" customFormat="1" ht="14.25" thickTop="1">
      <c r="A20" s="113"/>
      <c r="B20" s="51" t="s">
        <v>173</v>
      </c>
      <c r="C20" s="52" t="s">
        <v>160</v>
      </c>
      <c r="D20" s="52" t="s">
        <v>204</v>
      </c>
      <c r="E20" s="54">
        <f ca="1">TODAY()</f>
        <v>43173</v>
      </c>
      <c r="F20" s="54">
        <f ca="1">E20+H20</f>
        <v>43263</v>
      </c>
      <c r="G20" s="52">
        <v>3300</v>
      </c>
      <c r="H20" s="52">
        <v>90</v>
      </c>
      <c r="I20" s="55">
        <f>H20/365</f>
        <v>0.24657534246575341</v>
      </c>
      <c r="J20" s="55">
        <v>0</v>
      </c>
      <c r="K20" s="56">
        <v>0.22500000000000001</v>
      </c>
      <c r="L20" s="51">
        <f>_xll.dnetGBlackScholesNGreeks("price",$Q20,$P20,$G20,$I20,$C$3,$J20,$K20,$C$4)*R20</f>
        <v>-43.697721897314636</v>
      </c>
      <c r="M20" s="57"/>
      <c r="N20" s="51"/>
      <c r="O20" s="51">
        <f t="shared" si="2"/>
        <v>43.697721897314636</v>
      </c>
      <c r="P20" s="141">
        <f>RTD("wdf.rtq",,D20,"LastPrice")</f>
        <v>3621</v>
      </c>
      <c r="Q20" s="52" t="s">
        <v>85</v>
      </c>
      <c r="R20" s="52">
        <f>IF(S20="中金买入",1,-1)</f>
        <v>-1</v>
      </c>
      <c r="S20" s="56" t="s">
        <v>20</v>
      </c>
      <c r="T20" s="58"/>
      <c r="U20" s="51">
        <f>_xll.dnetGBlackScholesNGreeks("delta",$Q20,$P20,$G20,$I20,$C$3,$J20,$K20,$C$4)*R20</f>
        <v>0.18669472465262515</v>
      </c>
      <c r="V20" s="51">
        <f>_xll.dnetGBlackScholesNGreeks("vega",$Q20,$P20,$G20,$I20,$C$3,$J20,$K20,$C$4)*R20</f>
        <v>-4.8151480665758868</v>
      </c>
    </row>
    <row r="21" spans="1:22" s="112" customFormat="1" ht="13.5">
      <c r="A21" s="115"/>
      <c r="B21" s="59" t="s">
        <v>174</v>
      </c>
      <c r="C21" s="60" t="s">
        <v>160</v>
      </c>
      <c r="D21" s="60" t="str">
        <f t="shared" ref="D21:F22" si="5">D20</f>
        <v>rb1810</v>
      </c>
      <c r="E21" s="62">
        <f t="shared" ca="1" si="5"/>
        <v>43173</v>
      </c>
      <c r="F21" s="62">
        <f t="shared" ca="1" si="5"/>
        <v>43263</v>
      </c>
      <c r="G21" s="60">
        <v>4000</v>
      </c>
      <c r="H21" s="60">
        <f>H20</f>
        <v>90</v>
      </c>
      <c r="I21" s="63">
        <f>H21/365</f>
        <v>0.24657534246575341</v>
      </c>
      <c r="J21" s="63">
        <f>J20</f>
        <v>0</v>
      </c>
      <c r="K21" s="64">
        <v>0.2</v>
      </c>
      <c r="L21" s="59">
        <f>_xll.dnetGBlackScholesNGreeks("price",$Q21,$P21,$G21,$I21,$C$3,$J21,$K21,$C$4)*R21</f>
        <v>31.172015613900726</v>
      </c>
      <c r="M21" s="65"/>
      <c r="N21" s="59"/>
      <c r="O21" s="59">
        <f t="shared" si="2"/>
        <v>31.172015613900726</v>
      </c>
      <c r="P21" s="111">
        <f>P20</f>
        <v>3621</v>
      </c>
      <c r="Q21" s="60" t="s">
        <v>39</v>
      </c>
      <c r="R21" s="60">
        <f>IF(S21="中金买入",1,-1)</f>
        <v>1</v>
      </c>
      <c r="S21" s="64" t="s">
        <v>151</v>
      </c>
      <c r="T21" s="66"/>
      <c r="U21" s="59">
        <f>_xll.dnetGBlackScholesNGreeks("delta",$Q21,$P21,$G21,$I21,$C$3,$J21,$K21,$C$4)*R21</f>
        <v>0.16953951064806461</v>
      </c>
      <c r="V21" s="59">
        <f>_xll.dnetGBlackScholesNGreeks("vega",$Q21,$P21,$G21,$I21,$C$3,$J21,$K21,$C$4)*R21</f>
        <v>4.5303031664701621</v>
      </c>
    </row>
    <row r="22" spans="1:22" s="112" customFormat="1" ht="14.25" thickBot="1">
      <c r="A22" s="115"/>
      <c r="B22" s="67" t="s">
        <v>175</v>
      </c>
      <c r="C22" s="68" t="s">
        <v>160</v>
      </c>
      <c r="D22" s="68" t="str">
        <f t="shared" si="5"/>
        <v>rb1810</v>
      </c>
      <c r="E22" s="70">
        <f t="shared" ca="1" si="5"/>
        <v>43173</v>
      </c>
      <c r="F22" s="70">
        <f t="shared" ca="1" si="5"/>
        <v>43263</v>
      </c>
      <c r="G22" s="68" t="str">
        <f>G20 &amp; "|" &amp; G21</f>
        <v>3300|4000</v>
      </c>
      <c r="H22" s="68">
        <f>H21</f>
        <v>90</v>
      </c>
      <c r="I22" s="71">
        <f>I21</f>
        <v>0.24657534246575341</v>
      </c>
      <c r="J22" s="71"/>
      <c r="K22" s="68"/>
      <c r="L22" s="67">
        <f>L21+L20</f>
        <v>-12.525706283413911</v>
      </c>
      <c r="M22" s="68"/>
      <c r="N22" s="67">
        <f>M22/10000*I22*P22</f>
        <v>0</v>
      </c>
      <c r="O22" s="67">
        <f t="shared" si="2"/>
        <v>12.525706283413911</v>
      </c>
      <c r="P22" s="142">
        <f>P21</f>
        <v>3621</v>
      </c>
      <c r="Q22" s="68"/>
      <c r="R22" s="68"/>
      <c r="S22" s="64" t="s">
        <v>151</v>
      </c>
      <c r="T22" s="72">
        <f>O22/P22</f>
        <v>3.4591842815282826E-3</v>
      </c>
      <c r="U22" s="72">
        <f>U21+U20</f>
        <v>0.35623423530068976</v>
      </c>
      <c r="V22" s="72">
        <f>V21+V20</f>
        <v>-0.28484490010572472</v>
      </c>
    </row>
    <row r="23" spans="1:22" s="112" customFormat="1" ht="14.25" thickTop="1">
      <c r="A23" s="115"/>
      <c r="B23" s="51" t="s">
        <v>173</v>
      </c>
      <c r="C23" s="52" t="s">
        <v>160</v>
      </c>
      <c r="D23" s="52" t="s">
        <v>204</v>
      </c>
      <c r="E23" s="54">
        <f ca="1">TODAY()</f>
        <v>43173</v>
      </c>
      <c r="F23" s="54">
        <f ca="1">E23+H23</f>
        <v>43263</v>
      </c>
      <c r="G23" s="52">
        <v>3400</v>
      </c>
      <c r="H23" s="52">
        <v>90</v>
      </c>
      <c r="I23" s="55">
        <f>H23/365</f>
        <v>0.24657534246575341</v>
      </c>
      <c r="J23" s="55">
        <v>0</v>
      </c>
      <c r="K23" s="56">
        <v>0.22500000000000001</v>
      </c>
      <c r="L23" s="51">
        <f>_xll.dnetGBlackScholesNGreeks("price",$Q23,$P23,$G23,$I23,$C$3,$J23,$K23,$C$4)*R23</f>
        <v>-69.716127364010731</v>
      </c>
      <c r="M23" s="57"/>
      <c r="N23" s="51"/>
      <c r="O23" s="51">
        <f t="shared" si="2"/>
        <v>69.716127364010731</v>
      </c>
      <c r="P23" s="141">
        <f>RTD("wdf.rtq",,D23,"LastPrice")</f>
        <v>3621</v>
      </c>
      <c r="Q23" s="52" t="s">
        <v>85</v>
      </c>
      <c r="R23" s="52">
        <f>IF(S23="中金买入",1,-1)</f>
        <v>-1</v>
      </c>
      <c r="S23" s="56" t="s">
        <v>20</v>
      </c>
      <c r="T23" s="58"/>
      <c r="U23" s="51">
        <f>_xll.dnetGBlackScholesNGreeks("delta",$Q23,$P23,$G23,$I23,$C$3,$J23,$K23,$C$4)*R23</f>
        <v>0.26647177241443387</v>
      </c>
      <c r="V23" s="51">
        <f>_xll.dnetGBlackScholesNGreeks("vega",$Q23,$P23,$G23,$I23,$C$3,$J23,$K23,$C$4)*R23</f>
        <v>-5.8899081679359142</v>
      </c>
    </row>
    <row r="24" spans="1:22" s="112" customFormat="1" ht="13.5">
      <c r="A24" s="115"/>
      <c r="B24" s="59" t="s">
        <v>174</v>
      </c>
      <c r="C24" s="60" t="s">
        <v>160</v>
      </c>
      <c r="D24" s="60" t="str">
        <f t="shared" ref="D24:F25" si="6">D23</f>
        <v>rb1810</v>
      </c>
      <c r="E24" s="62">
        <f t="shared" ca="1" si="6"/>
        <v>43173</v>
      </c>
      <c r="F24" s="62">
        <f t="shared" ca="1" si="6"/>
        <v>43263</v>
      </c>
      <c r="G24" s="60">
        <v>4000</v>
      </c>
      <c r="H24" s="60">
        <f>H23</f>
        <v>90</v>
      </c>
      <c r="I24" s="63">
        <f>H24/365</f>
        <v>0.24657534246575341</v>
      </c>
      <c r="J24" s="63">
        <f>J23</f>
        <v>0</v>
      </c>
      <c r="K24" s="64">
        <v>0.2</v>
      </c>
      <c r="L24" s="59">
        <f>_xll.dnetGBlackScholesNGreeks("price",$Q24,$P24,$G24,$I24,$C$3,$J24,$K24,$C$4)*R24</f>
        <v>31.172015613900726</v>
      </c>
      <c r="M24" s="65"/>
      <c r="N24" s="59"/>
      <c r="O24" s="59">
        <f t="shared" si="2"/>
        <v>31.172015613900726</v>
      </c>
      <c r="P24" s="111">
        <f>P23</f>
        <v>3621</v>
      </c>
      <c r="Q24" s="60" t="s">
        <v>39</v>
      </c>
      <c r="R24" s="60">
        <f>IF(S24="中金买入",1,-1)</f>
        <v>1</v>
      </c>
      <c r="S24" s="64" t="s">
        <v>151</v>
      </c>
      <c r="T24" s="66"/>
      <c r="U24" s="59">
        <f>_xll.dnetGBlackScholesNGreeks("delta",$Q24,$P24,$G24,$I24,$C$3,$J24,$K24,$C$4)*R24</f>
        <v>0.16953951064806461</v>
      </c>
      <c r="V24" s="59">
        <f>_xll.dnetGBlackScholesNGreeks("vega",$Q24,$P24,$G24,$I24,$C$3,$J24,$K24,$C$4)*R24</f>
        <v>4.5303031664701621</v>
      </c>
    </row>
    <row r="25" spans="1:22" s="112" customFormat="1" ht="14.25" thickBot="1">
      <c r="A25" s="115"/>
      <c r="B25" s="67" t="s">
        <v>175</v>
      </c>
      <c r="C25" s="68" t="s">
        <v>160</v>
      </c>
      <c r="D25" s="68" t="str">
        <f t="shared" si="6"/>
        <v>rb1810</v>
      </c>
      <c r="E25" s="70">
        <f t="shared" ca="1" si="6"/>
        <v>43173</v>
      </c>
      <c r="F25" s="70">
        <f t="shared" ca="1" si="6"/>
        <v>43263</v>
      </c>
      <c r="G25" s="68" t="str">
        <f>G23 &amp; "|" &amp; G24</f>
        <v>3400|4000</v>
      </c>
      <c r="H25" s="68">
        <f>H24</f>
        <v>90</v>
      </c>
      <c r="I25" s="71">
        <f>I24</f>
        <v>0.24657534246575341</v>
      </c>
      <c r="J25" s="71"/>
      <c r="K25" s="68"/>
      <c r="L25" s="67">
        <f>L24+L23</f>
        <v>-38.544111750110005</v>
      </c>
      <c r="M25" s="68"/>
      <c r="N25" s="67">
        <f>M25/10000*I25*P25</f>
        <v>0</v>
      </c>
      <c r="O25" s="67">
        <f t="shared" si="2"/>
        <v>38.544111750110005</v>
      </c>
      <c r="P25" s="142">
        <f>P24</f>
        <v>3621</v>
      </c>
      <c r="Q25" s="68"/>
      <c r="R25" s="68"/>
      <c r="S25" s="64" t="s">
        <v>151</v>
      </c>
      <c r="T25" s="72">
        <f>O25/P25</f>
        <v>1.0644604183957471E-2</v>
      </c>
      <c r="U25" s="72">
        <f>U24+U23</f>
        <v>0.43601128306249848</v>
      </c>
      <c r="V25" s="72">
        <f>V24+V23</f>
        <v>-1.3596050014657521</v>
      </c>
    </row>
    <row r="26" spans="1:22" s="112" customFormat="1" ht="14.25" thickTop="1">
      <c r="A26" s="115"/>
      <c r="B26" s="51" t="s">
        <v>173</v>
      </c>
      <c r="C26" s="52" t="s">
        <v>160</v>
      </c>
      <c r="D26" s="52" t="s">
        <v>204</v>
      </c>
      <c r="E26" s="54">
        <f ca="1">TODAY()</f>
        <v>43173</v>
      </c>
      <c r="F26" s="54">
        <f ca="1">E26+H26</f>
        <v>43357</v>
      </c>
      <c r="G26" s="52">
        <v>3600</v>
      </c>
      <c r="H26" s="52">
        <v>184</v>
      </c>
      <c r="I26" s="55">
        <f>H26/365</f>
        <v>0.50410958904109593</v>
      </c>
      <c r="J26" s="55">
        <v>0</v>
      </c>
      <c r="K26" s="56">
        <v>0.155</v>
      </c>
      <c r="L26" s="51">
        <f>_xll.dnetGBlackScholesNGreeks("price",$Q26,$P26,$G26,$I26,$C$3,$J26,$K26,$C$4)*R26</f>
        <v>146.67025830244165</v>
      </c>
      <c r="M26" s="57"/>
      <c r="N26" s="51"/>
      <c r="O26" s="51">
        <f t="shared" si="2"/>
        <v>146.67025830244165</v>
      </c>
      <c r="P26" s="141">
        <f>RTD("wdf.rtq",,D26,"LastPrice")</f>
        <v>3621</v>
      </c>
      <c r="Q26" s="52" t="s">
        <v>85</v>
      </c>
      <c r="R26" s="52">
        <f>IF(S26="中金买入",1,-1)</f>
        <v>1</v>
      </c>
      <c r="S26" s="56" t="s">
        <v>151</v>
      </c>
      <c r="T26" s="58"/>
      <c r="U26" s="51">
        <f>_xll.dnetGBlackScholesNGreeks("delta",$Q26,$P26,$G26,$I26,$C$3,$J26,$K26,$C$4)*R26</f>
        <v>-0.45246166171182267</v>
      </c>
      <c r="V26" s="51">
        <f>_xll.dnetGBlackScholesNGreeks("vega",$Q26,$P26,$G26,$I26,$C$3,$J26,$K26,$C$4)*R26</f>
        <v>10.094665487050634</v>
      </c>
    </row>
    <row r="27" spans="1:22" s="112" customFormat="1" ht="13.5">
      <c r="A27" s="115"/>
      <c r="B27" s="59" t="s">
        <v>174</v>
      </c>
      <c r="C27" s="60" t="s">
        <v>160</v>
      </c>
      <c r="D27" s="60" t="str">
        <f t="shared" ref="D27:F28" si="7">D26</f>
        <v>rb1810</v>
      </c>
      <c r="E27" s="62">
        <f t="shared" ca="1" si="7"/>
        <v>43173</v>
      </c>
      <c r="F27" s="62">
        <f t="shared" ca="1" si="7"/>
        <v>43357</v>
      </c>
      <c r="G27" s="60">
        <v>4000</v>
      </c>
      <c r="H27" s="60">
        <f>H26</f>
        <v>184</v>
      </c>
      <c r="I27" s="63">
        <f>H27/365</f>
        <v>0.50410958904109593</v>
      </c>
      <c r="J27" s="63">
        <f>J26</f>
        <v>0</v>
      </c>
      <c r="K27" s="64">
        <v>0.18</v>
      </c>
      <c r="L27" s="59">
        <f>_xll.dnetGBlackScholesNGreeks("price",$Q27,$P27,$G27,$I27,$C$3,$J27,$K27,$C$4)*R27</f>
        <v>-59.992501348125529</v>
      </c>
      <c r="M27" s="65"/>
      <c r="N27" s="59"/>
      <c r="O27" s="59">
        <f t="shared" si="2"/>
        <v>59.992501348125529</v>
      </c>
      <c r="P27" s="111">
        <f>P26</f>
        <v>3621</v>
      </c>
      <c r="Q27" s="60" t="s">
        <v>39</v>
      </c>
      <c r="R27" s="60">
        <f>IF(S27="中金买入",1,-1)</f>
        <v>-1</v>
      </c>
      <c r="S27" s="64" t="s">
        <v>20</v>
      </c>
      <c r="T27" s="66"/>
      <c r="U27" s="59">
        <f>_xll.dnetGBlackScholesNGreeks("delta",$Q27,$P27,$G27,$I27,$C$3,$J27,$K27,$C$4)*R27</f>
        <v>-0.23492474427939669</v>
      </c>
      <c r="V27" s="59">
        <f>_xll.dnetGBlackScholesNGreeks("vega",$Q27,$P27,$G27,$I27,$C$3,$J27,$K27,$C$4)*R27</f>
        <v>-7.8575135999683994</v>
      </c>
    </row>
    <row r="28" spans="1:22" s="112" customFormat="1" ht="14.25" thickBot="1">
      <c r="A28" s="115"/>
      <c r="B28" s="67" t="s">
        <v>175</v>
      </c>
      <c r="C28" s="68" t="s">
        <v>160</v>
      </c>
      <c r="D28" s="68" t="str">
        <f t="shared" si="7"/>
        <v>rb1810</v>
      </c>
      <c r="E28" s="70">
        <f t="shared" ca="1" si="7"/>
        <v>43173</v>
      </c>
      <c r="F28" s="70">
        <f t="shared" ca="1" si="7"/>
        <v>43357</v>
      </c>
      <c r="G28" s="68" t="str">
        <f>G26 &amp; "|" &amp; G27</f>
        <v>3600|4000</v>
      </c>
      <c r="H28" s="68">
        <f>H27</f>
        <v>184</v>
      </c>
      <c r="I28" s="71">
        <f>I27</f>
        <v>0.50410958904109593</v>
      </c>
      <c r="J28" s="71"/>
      <c r="K28" s="68"/>
      <c r="L28" s="67">
        <f>L27+L26</f>
        <v>86.677756954316123</v>
      </c>
      <c r="M28" s="68"/>
      <c r="N28" s="67">
        <f>M28/10000*I28*P28</f>
        <v>0</v>
      </c>
      <c r="O28" s="67">
        <f t="shared" si="2"/>
        <v>86.677756954316123</v>
      </c>
      <c r="P28" s="142">
        <f>P27</f>
        <v>3621</v>
      </c>
      <c r="Q28" s="68"/>
      <c r="R28" s="68"/>
      <c r="S28" s="64" t="s">
        <v>151</v>
      </c>
      <c r="T28" s="72">
        <f>O28/P28</f>
        <v>2.3937519180976561E-2</v>
      </c>
      <c r="U28" s="72">
        <f>U27+U26</f>
        <v>-0.68738640599121936</v>
      </c>
      <c r="V28" s="72">
        <f>V27+V26</f>
        <v>2.2371518870822342</v>
      </c>
    </row>
    <row r="29" spans="1:22" s="114" customFormat="1" ht="14.25" thickTop="1">
      <c r="A29" s="113"/>
      <c r="B29" s="51" t="s">
        <v>173</v>
      </c>
      <c r="C29" s="52" t="s">
        <v>160</v>
      </c>
      <c r="D29" s="52" t="s">
        <v>211</v>
      </c>
      <c r="E29" s="54">
        <f ca="1">TODAY()</f>
        <v>43173</v>
      </c>
      <c r="F29" s="54">
        <f ca="1">E29+H29</f>
        <v>43203</v>
      </c>
      <c r="G29" s="52">
        <v>92</v>
      </c>
      <c r="H29" s="52">
        <v>30</v>
      </c>
      <c r="I29" s="55">
        <f>H29/365</f>
        <v>8.2191780821917804E-2</v>
      </c>
      <c r="J29" s="55">
        <v>0</v>
      </c>
      <c r="K29" s="56">
        <v>0.24</v>
      </c>
      <c r="L29" s="51">
        <f>_xll.dnetGBlackScholesNGreeks("price",$Q29,$P29,$G29,$I29,$C$3,$J29,$K29,$C$4)*R29</f>
        <v>-0.36061626839030225</v>
      </c>
      <c r="M29" s="57"/>
      <c r="N29" s="51"/>
      <c r="O29" s="51">
        <f t="shared" ref="O29:O34" si="8">IF(L29&lt;=0,ABS(L29)+N29,L29-N29)</f>
        <v>0.36061626839030225</v>
      </c>
      <c r="P29" s="141">
        <v>100</v>
      </c>
      <c r="Q29" s="52" t="s">
        <v>85</v>
      </c>
      <c r="R29" s="52">
        <f>IF(S29="中金买入",1,-1)</f>
        <v>-1</v>
      </c>
      <c r="S29" s="56" t="s">
        <v>20</v>
      </c>
      <c r="T29" s="58"/>
      <c r="U29" s="51">
        <f>_xll.dnetGBlackScholesNGreeks("delta",$Q29,$P29,$G29,$I29,$C$3,$J29,$K29,$C$4)*R29</f>
        <v>0.10616326771595297</v>
      </c>
      <c r="V29" s="51">
        <f>_xll.dnetGBlackScholesNGreeks("vega",$Q29,$P29,$G29,$I29,$C$3,$J29,$K29,$C$4)*R29</f>
        <v>-5.2489438908342123E-2</v>
      </c>
    </row>
    <row r="30" spans="1:22" s="112" customFormat="1" ht="13.5">
      <c r="A30" s="115"/>
      <c r="B30" s="59" t="s">
        <v>174</v>
      </c>
      <c r="C30" s="60" t="s">
        <v>160</v>
      </c>
      <c r="D30" s="60" t="str">
        <f t="shared" ref="D30:F30" si="9">D29</f>
        <v>i1809</v>
      </c>
      <c r="E30" s="62">
        <f t="shared" ca="1" si="9"/>
        <v>43173</v>
      </c>
      <c r="F30" s="62">
        <f t="shared" ca="1" si="9"/>
        <v>43203</v>
      </c>
      <c r="G30" s="60">
        <v>105</v>
      </c>
      <c r="H30" s="60">
        <f>H29</f>
        <v>30</v>
      </c>
      <c r="I30" s="63">
        <f>H30/365</f>
        <v>8.2191780821917804E-2</v>
      </c>
      <c r="J30" s="63">
        <f>J29</f>
        <v>0</v>
      </c>
      <c r="K30" s="64">
        <v>0.21</v>
      </c>
      <c r="L30" s="59">
        <f>_xll.dnetGBlackScholesNGreeks("price",$Q30,$P30,$G30,$I30,$C$3,$J30,$K30,$C$4)*R30</f>
        <v>0.72669566514838735</v>
      </c>
      <c r="M30" s="65"/>
      <c r="N30" s="59"/>
      <c r="O30" s="59">
        <f t="shared" si="8"/>
        <v>0.72669566514838735</v>
      </c>
      <c r="P30" s="111">
        <f>P29</f>
        <v>100</v>
      </c>
      <c r="Q30" s="60" t="s">
        <v>39</v>
      </c>
      <c r="R30" s="60">
        <f>IF(S30="中金买入",1,-1)</f>
        <v>1</v>
      </c>
      <c r="S30" s="64" t="s">
        <v>151</v>
      </c>
      <c r="T30" s="66"/>
      <c r="U30" s="59">
        <f>_xll.dnetGBlackScholesNGreeks("delta",$Q30,$P30,$G30,$I30,$C$3,$J30,$K30,$C$4)*R30</f>
        <v>0.21725094276838774</v>
      </c>
      <c r="V30" s="59">
        <f>_xll.dnetGBlackScholesNGreeks("vega",$Q30,$P30,$G30,$I30,$C$3,$J30,$K30,$C$4)*R30</f>
        <v>8.4167489640684323E-2</v>
      </c>
    </row>
    <row r="31" spans="1:22" s="112" customFormat="1" ht="14.25" thickBot="1">
      <c r="A31" s="115"/>
      <c r="B31" s="67" t="s">
        <v>175</v>
      </c>
      <c r="C31" s="68" t="s">
        <v>160</v>
      </c>
      <c r="D31" s="68" t="str">
        <f t="shared" ref="D31:F31" si="10">D30</f>
        <v>i1809</v>
      </c>
      <c r="E31" s="70">
        <f t="shared" ca="1" si="10"/>
        <v>43173</v>
      </c>
      <c r="F31" s="70">
        <f t="shared" ca="1" si="10"/>
        <v>43203</v>
      </c>
      <c r="G31" s="68" t="str">
        <f>G29 &amp; "|" &amp; G30</f>
        <v>92|105</v>
      </c>
      <c r="H31" s="68">
        <f>H30</f>
        <v>30</v>
      </c>
      <c r="I31" s="71">
        <f>I30</f>
        <v>8.2191780821917804E-2</v>
      </c>
      <c r="J31" s="71"/>
      <c r="K31" s="68"/>
      <c r="L31" s="67">
        <f>L30+L29</f>
        <v>0.3660793967580851</v>
      </c>
      <c r="M31" s="68">
        <v>50</v>
      </c>
      <c r="N31" s="67">
        <f>M31/10000*I31*P31</f>
        <v>4.1095890410958902E-2</v>
      </c>
      <c r="O31" s="67">
        <f t="shared" si="8"/>
        <v>0.32498350634712619</v>
      </c>
      <c r="P31" s="142">
        <f>P30</f>
        <v>100</v>
      </c>
      <c r="Q31" s="68"/>
      <c r="R31" s="68"/>
      <c r="S31" s="64" t="s">
        <v>151</v>
      </c>
      <c r="T31" s="72">
        <f>O31/P31</f>
        <v>3.2498350634712621E-3</v>
      </c>
      <c r="U31" s="72">
        <f>U30+U29</f>
        <v>0.32341421048434071</v>
      </c>
      <c r="V31" s="72">
        <f>V30+V29</f>
        <v>3.16780507323422E-2</v>
      </c>
    </row>
    <row r="32" spans="1:22" s="112" customFormat="1" ht="14.25" thickTop="1">
      <c r="A32" s="115"/>
      <c r="B32" s="51" t="s">
        <v>173</v>
      </c>
      <c r="C32" s="52" t="s">
        <v>160</v>
      </c>
      <c r="D32" s="52" t="s">
        <v>211</v>
      </c>
      <c r="E32" s="54">
        <f ca="1">TODAY()</f>
        <v>43173</v>
      </c>
      <c r="F32" s="54">
        <f ca="1">E32+H32</f>
        <v>43203</v>
      </c>
      <c r="G32" s="52">
        <v>95</v>
      </c>
      <c r="H32" s="52">
        <v>30</v>
      </c>
      <c r="I32" s="55">
        <f>H32/365</f>
        <v>8.2191780821917804E-2</v>
      </c>
      <c r="J32" s="55">
        <v>0</v>
      </c>
      <c r="K32" s="56">
        <v>0.24</v>
      </c>
      <c r="L32" s="51">
        <f>_xll.dnetGBlackScholesNGreeks("price",$Q32,$P32,$G32,$I32,$C$3,$J32,$K32,$C$4)*R32</f>
        <v>-0.88478777957798371</v>
      </c>
      <c r="M32" s="57"/>
      <c r="N32" s="51"/>
      <c r="O32" s="51">
        <f t="shared" si="8"/>
        <v>0.88478777957798371</v>
      </c>
      <c r="P32" s="141">
        <v>100</v>
      </c>
      <c r="Q32" s="52" t="s">
        <v>85</v>
      </c>
      <c r="R32" s="52">
        <f>IF(S32="中金买入",1,-1)</f>
        <v>-1</v>
      </c>
      <c r="S32" s="56" t="s">
        <v>20</v>
      </c>
      <c r="T32" s="58"/>
      <c r="U32" s="51">
        <f>_xll.dnetGBlackScholesNGreeks("delta",$Q32,$P32,$G32,$I32,$C$3,$J32,$K32,$C$4)*R32</f>
        <v>0.21737278669018423</v>
      </c>
      <c r="V32" s="51">
        <f>_xll.dnetGBlackScholesNGreeks("vega",$Q32,$P32,$G32,$I32,$C$3,$J32,$K32,$C$4)*R32</f>
        <v>-8.421063147348562E-2</v>
      </c>
    </row>
    <row r="33" spans="1:22" s="112" customFormat="1" ht="13.5">
      <c r="A33" s="115"/>
      <c r="B33" s="59" t="s">
        <v>174</v>
      </c>
      <c r="C33" s="60" t="s">
        <v>160</v>
      </c>
      <c r="D33" s="60" t="str">
        <f t="shared" ref="D33:F33" si="11">D32</f>
        <v>i1809</v>
      </c>
      <c r="E33" s="62">
        <f t="shared" ca="1" si="11"/>
        <v>43173</v>
      </c>
      <c r="F33" s="62">
        <f t="shared" ca="1" si="11"/>
        <v>43203</v>
      </c>
      <c r="G33" s="60">
        <v>102.5</v>
      </c>
      <c r="H33" s="60">
        <f>H32</f>
        <v>30</v>
      </c>
      <c r="I33" s="63">
        <f>H33/365</f>
        <v>8.2191780821917804E-2</v>
      </c>
      <c r="J33" s="63">
        <f>J32</f>
        <v>0</v>
      </c>
      <c r="K33" s="64">
        <v>0.21</v>
      </c>
      <c r="L33" s="59">
        <f>_xll.dnetGBlackScholesNGreeks("price",$Q33,$P33,$G33,$I33,$C$3,$J33,$K33,$C$4)*R33</f>
        <v>1.3808360714662911</v>
      </c>
      <c r="M33" s="65"/>
      <c r="N33" s="59"/>
      <c r="O33" s="59">
        <f t="shared" si="8"/>
        <v>1.3808360714662911</v>
      </c>
      <c r="P33" s="111">
        <f>P32</f>
        <v>100</v>
      </c>
      <c r="Q33" s="60" t="s">
        <v>39</v>
      </c>
      <c r="R33" s="60">
        <f>IF(S33="中金买入",1,-1)</f>
        <v>1</v>
      </c>
      <c r="S33" s="64" t="s">
        <v>151</v>
      </c>
      <c r="T33" s="66"/>
      <c r="U33" s="59">
        <f>_xll.dnetGBlackScholesNGreeks("delta",$Q33,$P33,$G33,$I33,$C$3,$J33,$K33,$C$4)*R33</f>
        <v>0.351380281727387</v>
      </c>
      <c r="V33" s="59">
        <f>_xll.dnetGBlackScholesNGreeks("vega",$Q33,$P33,$G33,$I33,$C$3,$J33,$K33,$C$4)*R33</f>
        <v>0.1062109636871611</v>
      </c>
    </row>
    <row r="34" spans="1:22" s="112" customFormat="1" ht="13.5">
      <c r="A34" s="115"/>
      <c r="B34" s="67" t="s">
        <v>175</v>
      </c>
      <c r="C34" s="68" t="s">
        <v>160</v>
      </c>
      <c r="D34" s="68" t="str">
        <f t="shared" ref="D34:F34" si="12">D33</f>
        <v>i1809</v>
      </c>
      <c r="E34" s="70">
        <f t="shared" ca="1" si="12"/>
        <v>43173</v>
      </c>
      <c r="F34" s="70">
        <f t="shared" ca="1" si="12"/>
        <v>43203</v>
      </c>
      <c r="G34" s="68" t="str">
        <f>G32 &amp; "|" &amp; G33</f>
        <v>95|102.5</v>
      </c>
      <c r="H34" s="68">
        <f>H33</f>
        <v>30</v>
      </c>
      <c r="I34" s="71">
        <f>I33</f>
        <v>8.2191780821917804E-2</v>
      </c>
      <c r="J34" s="71"/>
      <c r="K34" s="68"/>
      <c r="L34" s="67">
        <f>L33+L32</f>
        <v>0.49604829188830735</v>
      </c>
      <c r="M34" s="68">
        <v>50</v>
      </c>
      <c r="N34" s="67">
        <f>M34/10000*I34*P34</f>
        <v>4.1095890410958902E-2</v>
      </c>
      <c r="O34" s="67">
        <f t="shared" si="8"/>
        <v>0.45495240147734844</v>
      </c>
      <c r="P34" s="142">
        <f>P33</f>
        <v>100</v>
      </c>
      <c r="Q34" s="68"/>
      <c r="R34" s="68"/>
      <c r="S34" s="64" t="s">
        <v>151</v>
      </c>
      <c r="T34" s="72">
        <f>O34/P34</f>
        <v>4.5495240147734846E-3</v>
      </c>
      <c r="U34" s="72">
        <f>U33+U32</f>
        <v>0.56875306841757123</v>
      </c>
      <c r="V34" s="72">
        <f>V33+V32</f>
        <v>2.2000332213675478E-2</v>
      </c>
    </row>
    <row r="35" spans="1:22" s="112" customFormat="1" ht="13.5">
      <c r="A35" s="116"/>
      <c r="B35" s="59"/>
      <c r="C35" s="60"/>
      <c r="D35" s="60"/>
      <c r="E35" s="62"/>
      <c r="F35" s="62"/>
      <c r="G35" s="61"/>
      <c r="H35" s="60"/>
      <c r="I35" s="63"/>
      <c r="J35" s="63"/>
      <c r="K35" s="64"/>
      <c r="L35" s="59"/>
      <c r="M35" s="65"/>
      <c r="N35" s="59"/>
      <c r="O35" s="59"/>
      <c r="P35" s="111"/>
      <c r="Q35" s="60"/>
      <c r="R35" s="60"/>
      <c r="S35" s="64"/>
      <c r="T35" s="66"/>
      <c r="U35" s="59"/>
      <c r="V35" s="59"/>
    </row>
    <row r="36" spans="1:22" s="112" customFormat="1" ht="13.5">
      <c r="A36" s="116"/>
      <c r="B36" s="59"/>
      <c r="C36" s="60"/>
      <c r="D36" s="60"/>
      <c r="E36" s="62"/>
      <c r="F36" s="62"/>
      <c r="G36" s="61"/>
      <c r="H36" s="60"/>
      <c r="I36" s="63"/>
      <c r="J36" s="63"/>
      <c r="K36" s="64"/>
      <c r="L36" s="59"/>
      <c r="M36" s="65"/>
      <c r="N36" s="59"/>
      <c r="O36" s="59"/>
      <c r="P36" s="61"/>
      <c r="Q36" s="60"/>
      <c r="R36" s="60"/>
      <c r="S36" s="64"/>
      <c r="T36" s="66"/>
      <c r="U36" s="59"/>
      <c r="V36" s="59"/>
    </row>
    <row r="37" spans="1:22" s="125" customFormat="1" ht="14.25" thickBot="1">
      <c r="A37" s="117"/>
      <c r="B37" s="118"/>
      <c r="C37" s="119"/>
      <c r="D37" s="119"/>
      <c r="E37" s="120"/>
      <c r="F37" s="120"/>
      <c r="G37" s="119"/>
      <c r="H37" s="119"/>
      <c r="I37" s="121"/>
      <c r="J37" s="121"/>
      <c r="K37" s="119"/>
      <c r="L37" s="118"/>
      <c r="M37" s="119"/>
      <c r="N37" s="118"/>
      <c r="O37" s="118"/>
      <c r="P37" s="122"/>
      <c r="Q37" s="119"/>
      <c r="R37" s="119"/>
      <c r="S37" s="123"/>
      <c r="T37" s="124"/>
      <c r="U37" s="124"/>
      <c r="V37" s="124"/>
    </row>
    <row r="38" spans="1:22">
      <c r="B38" s="37"/>
      <c r="C38" s="32"/>
      <c r="D38" s="32"/>
      <c r="E38" s="34"/>
      <c r="F38" s="34"/>
      <c r="G38" s="32"/>
      <c r="H38" s="32"/>
      <c r="I38" s="35"/>
      <c r="J38" s="35"/>
      <c r="K38" s="36"/>
      <c r="L38" s="37"/>
      <c r="M38" s="38"/>
      <c r="N38" s="37"/>
      <c r="O38" s="37"/>
      <c r="P38" s="33"/>
      <c r="Q38" s="32"/>
      <c r="R38" s="32"/>
      <c r="S38" s="36"/>
      <c r="T38" s="39"/>
      <c r="U38" s="37"/>
      <c r="V38" s="37"/>
    </row>
    <row r="39" spans="1:22">
      <c r="B39" s="37"/>
      <c r="C39" s="32"/>
      <c r="D39" s="32"/>
      <c r="E39" s="34"/>
      <c r="F39" s="34"/>
      <c r="G39" s="32"/>
      <c r="H39" s="32"/>
      <c r="I39" s="35"/>
      <c r="J39" s="35"/>
      <c r="K39" s="36"/>
      <c r="L39" s="37"/>
      <c r="M39" s="38"/>
      <c r="N39" s="37"/>
      <c r="O39" s="37"/>
      <c r="P39" s="33"/>
      <c r="Q39" s="32"/>
      <c r="R39" s="32"/>
      <c r="S39" s="36"/>
      <c r="T39" s="39"/>
      <c r="U39" s="37"/>
      <c r="V39" s="37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configs!$A$1:$A$36</xm:f>
          </x14:formula1>
          <xm:sqref>C8:C39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configs!$C$1:$C$2</xm:f>
          </x14:formula1>
          <xm:sqref>Q8:Q39</xm:sqref>
        </x14:dataValidation>
        <x14:dataValidation type="list" allowBlank="1" showInputMessage="1" showErrorMessage="1">
          <x14:formula1>
            <xm:f>configs!$B$1:$B$2</xm:f>
          </x14:formula1>
          <xm:sqref>S8:S39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topLeftCell="D1" workbookViewId="0">
      <selection activeCell="O18" sqref="O18"/>
    </sheetView>
  </sheetViews>
  <sheetFormatPr defaultColWidth="9"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>
      <c r="B1" s="167" t="s">
        <v>38</v>
      </c>
      <c r="C1" s="167"/>
    </row>
    <row r="2" spans="1:25" ht="12" thickTop="1">
      <c r="B2" s="3" t="s">
        <v>0</v>
      </c>
      <c r="C2" s="4">
        <v>43061</v>
      </c>
    </row>
    <row r="3" spans="1:25">
      <c r="B3" s="3" t="s">
        <v>1</v>
      </c>
      <c r="C3" s="3">
        <v>0.02</v>
      </c>
    </row>
    <row r="4" spans="1:25" ht="12" thickBot="1">
      <c r="B4" s="5" t="s">
        <v>18</v>
      </c>
      <c r="C4" s="5">
        <v>0.01</v>
      </c>
    </row>
    <row r="5" spans="1:25" ht="12" thickTop="1"/>
    <row r="6" spans="1:25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>
      <c r="A8" s="42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3735</v>
      </c>
      <c r="I8" s="19">
        <v>3800</v>
      </c>
      <c r="J8" s="19">
        <v>3890</v>
      </c>
      <c r="K8" s="19">
        <f>_xll.dnetDiscreteAdjustedBarrier($H8,$J8,$R8,1/365)</f>
        <v>3925.7505698872742</v>
      </c>
      <c r="L8" s="44">
        <v>0.02</v>
      </c>
      <c r="M8" s="21">
        <f ca="1">TODAY()</f>
        <v>43173</v>
      </c>
      <c r="N8" s="21">
        <f ca="1">M8+O8</f>
        <v>43203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>
        <f>_xll.dnetStandardBarrierNGreeks("price",G8,H8,I8,K8,L8*H8,P8,$C$3,Q8,R8,$C$4)*E8</f>
        <v>-42.067445412752321</v>
      </c>
      <c r="T8" s="25">
        <v>80</v>
      </c>
      <c r="U8" s="24">
        <f>T8/10000*P8*H8</f>
        <v>2.4558904109589044</v>
      </c>
      <c r="V8" s="24">
        <f>IF(S8&lt;=0,ABS(S8)+U8,S8-U8)</f>
        <v>44.523335823711221</v>
      </c>
      <c r="W8" s="26">
        <f>V8/H8</f>
        <v>1.1920571840351063E-2</v>
      </c>
      <c r="X8" s="24">
        <f>_xll.dnetStandardBarrierNGreeks("delta",G8,H8,I8,K8,L8*H8,P8,$C$3,Q8,R8,$C$4)</f>
        <v>0.15464904927142697</v>
      </c>
      <c r="Y8" s="24">
        <f>_xll.dnetStandardBarrierNGreeks("vega",G8,H8,I8,K8,L8*H8,P8,$C$3,Q8,R8,$C$4)</f>
        <v>0.85028264771834117</v>
      </c>
    </row>
    <row r="9" spans="1:25">
      <c r="A9" s="42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45">
        <v>5.0000000000000001E-3</v>
      </c>
      <c r="M9" s="8">
        <f ca="1">TODAY()</f>
        <v>43173</v>
      </c>
      <c r="N9" s="8">
        <f ca="1">M9+O9</f>
        <v>43353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45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45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45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workbookViewId="0">
      <selection activeCell="I24" sqref="I24"/>
    </sheetView>
  </sheetViews>
  <sheetFormatPr defaultRowHeight="13.5"/>
  <cols>
    <col min="1" max="1" width="10.875" bestFit="1" customWidth="1"/>
  </cols>
  <sheetData>
    <row r="1" spans="1:6" ht="15.75" thickBot="1">
      <c r="A1" s="74">
        <v>43087</v>
      </c>
      <c r="B1" s="75"/>
      <c r="C1" s="76" t="s">
        <v>49</v>
      </c>
      <c r="D1" s="75"/>
      <c r="E1" s="76" t="s">
        <v>50</v>
      </c>
      <c r="F1" s="77"/>
    </row>
    <row r="2" spans="1:6" ht="15.75" thickBot="1">
      <c r="A2" s="78" t="s">
        <v>51</v>
      </c>
      <c r="B2" s="79" t="s">
        <v>52</v>
      </c>
      <c r="C2" s="80" t="s">
        <v>53</v>
      </c>
      <c r="D2" s="80" t="s">
        <v>54</v>
      </c>
      <c r="E2" s="80" t="s">
        <v>55</v>
      </c>
      <c r="F2" s="81" t="s">
        <v>56</v>
      </c>
    </row>
    <row r="3" spans="1:6" ht="15.75" thickBot="1">
      <c r="A3" s="82" t="s">
        <v>57</v>
      </c>
      <c r="B3" s="83" t="s">
        <v>58</v>
      </c>
      <c r="C3" s="84">
        <v>0.20499999999999999</v>
      </c>
      <c r="D3" s="84">
        <v>0.25</v>
      </c>
      <c r="E3" s="84">
        <v>0.21</v>
      </c>
      <c r="F3" s="86">
        <v>0.25</v>
      </c>
    </row>
    <row r="4" spans="1:6" ht="15.75" thickBot="1">
      <c r="A4" s="78" t="s">
        <v>59</v>
      </c>
      <c r="B4" s="79" t="s">
        <v>60</v>
      </c>
      <c r="C4" s="87">
        <v>0.13750000000000001</v>
      </c>
      <c r="D4" s="87">
        <v>0.1825</v>
      </c>
      <c r="E4" s="87">
        <v>0.14499999999999999</v>
      </c>
      <c r="F4" s="88">
        <v>0.185</v>
      </c>
    </row>
    <row r="5" spans="1:6" ht="15.75" thickBot="1">
      <c r="A5" s="82" t="s">
        <v>61</v>
      </c>
      <c r="B5" s="83" t="s">
        <v>62</v>
      </c>
      <c r="C5" s="85"/>
      <c r="D5" s="85"/>
      <c r="E5" s="85"/>
      <c r="F5" s="89"/>
    </row>
    <row r="6" spans="1:6" ht="15.75" thickBot="1">
      <c r="A6" s="78" t="s">
        <v>63</v>
      </c>
      <c r="B6" s="79" t="s">
        <v>64</v>
      </c>
      <c r="C6" s="90">
        <v>0.29499999999999998</v>
      </c>
      <c r="D6" s="90">
        <v>0.35499999999999998</v>
      </c>
      <c r="E6" s="90">
        <v>0.26500000000000001</v>
      </c>
      <c r="F6" s="91">
        <v>0.315</v>
      </c>
    </row>
    <row r="7" spans="1:6" ht="15.75" thickBot="1">
      <c r="A7" s="82" t="s">
        <v>65</v>
      </c>
      <c r="B7" s="83" t="s">
        <v>66</v>
      </c>
      <c r="C7" s="84">
        <v>0.15</v>
      </c>
      <c r="D7" s="84">
        <v>0.19</v>
      </c>
      <c r="E7" s="84">
        <v>0.155</v>
      </c>
      <c r="F7" s="86">
        <v>0.19</v>
      </c>
    </row>
    <row r="8" spans="1:6" ht="15.75" thickBot="1">
      <c r="A8" s="78" t="s">
        <v>67</v>
      </c>
      <c r="B8" s="79" t="s">
        <v>68</v>
      </c>
      <c r="C8" s="90">
        <v>0.32</v>
      </c>
      <c r="D8" s="90">
        <v>0.44</v>
      </c>
      <c r="E8" s="90">
        <v>0.32</v>
      </c>
      <c r="F8" s="91">
        <v>0.42</v>
      </c>
    </row>
    <row r="9" spans="1:6" ht="15.75" thickBot="1">
      <c r="A9" s="82" t="s">
        <v>69</v>
      </c>
      <c r="B9" s="83" t="s">
        <v>70</v>
      </c>
      <c r="C9" s="84">
        <v>0.32</v>
      </c>
      <c r="D9" s="84">
        <v>0.44</v>
      </c>
      <c r="E9" s="84">
        <v>0.32</v>
      </c>
      <c r="F9" s="86">
        <v>0.42</v>
      </c>
    </row>
    <row r="10" spans="1:6" ht="15.75" thickBot="1">
      <c r="A10" s="78" t="s">
        <v>71</v>
      </c>
      <c r="B10" s="79" t="s">
        <v>72</v>
      </c>
      <c r="C10" s="90">
        <v>0.24</v>
      </c>
      <c r="D10" s="90">
        <v>0.32</v>
      </c>
      <c r="E10" s="90">
        <v>0.27</v>
      </c>
      <c r="F10" s="91">
        <v>0.34</v>
      </c>
    </row>
    <row r="11" spans="1:6" ht="15.75" thickBot="1">
      <c r="A11" s="82" t="s">
        <v>73</v>
      </c>
      <c r="B11" s="83" t="s">
        <v>74</v>
      </c>
      <c r="C11" s="84">
        <v>0.32250000000000001</v>
      </c>
      <c r="D11" s="84">
        <v>0.39750000000000002</v>
      </c>
      <c r="E11" s="84">
        <v>0.32500000000000001</v>
      </c>
      <c r="F11" s="86">
        <v>0.39500000000000002</v>
      </c>
    </row>
    <row r="12" spans="1:6" ht="15.75" thickBot="1">
      <c r="A12" s="78" t="s">
        <v>75</v>
      </c>
      <c r="B12" s="79" t="s">
        <v>76</v>
      </c>
      <c r="C12" s="90">
        <v>0.215</v>
      </c>
      <c r="D12" s="90">
        <v>0.28499999999999998</v>
      </c>
      <c r="E12" s="90">
        <v>0.23499999999999999</v>
      </c>
      <c r="F12" s="91">
        <v>0.30499999999999999</v>
      </c>
    </row>
    <row r="13" spans="1:6" ht="15.75" thickBot="1">
      <c r="A13" s="82" t="s">
        <v>77</v>
      </c>
      <c r="B13" s="83" t="s">
        <v>78</v>
      </c>
      <c r="C13" s="84">
        <v>9.2499999999999999E-2</v>
      </c>
      <c r="D13" s="84">
        <v>0.1225</v>
      </c>
      <c r="E13" s="84">
        <v>0.1</v>
      </c>
      <c r="F13" s="86">
        <v>0.13</v>
      </c>
    </row>
    <row r="14" spans="1:6" ht="15.75" thickBot="1">
      <c r="A14" s="78" t="s">
        <v>79</v>
      </c>
      <c r="B14" s="79" t="s">
        <v>80</v>
      </c>
      <c r="C14" s="87">
        <v>0.11</v>
      </c>
      <c r="D14" s="87">
        <v>0.17</v>
      </c>
      <c r="E14" s="87">
        <v>0.14499999999999999</v>
      </c>
      <c r="F14" s="88">
        <v>0.19500000000000001</v>
      </c>
    </row>
    <row r="15" spans="1:6" ht="15.75" thickBot="1">
      <c r="A15" s="82" t="s">
        <v>81</v>
      </c>
      <c r="B15" s="83" t="s">
        <v>82</v>
      </c>
      <c r="C15" s="85"/>
      <c r="D15" s="85"/>
      <c r="E15" s="85"/>
      <c r="F15" s="89"/>
    </row>
    <row r="16" spans="1:6" ht="15.75" thickBot="1">
      <c r="A16" s="78" t="s">
        <v>83</v>
      </c>
      <c r="B16" s="79" t="s">
        <v>84</v>
      </c>
      <c r="C16" s="90">
        <v>0.13</v>
      </c>
      <c r="D16" s="90">
        <v>0.19</v>
      </c>
      <c r="E16" s="90">
        <v>0.185</v>
      </c>
      <c r="F16" s="91">
        <v>0.23499999999999999</v>
      </c>
    </row>
    <row r="17" spans="1:6" ht="15.75" thickBot="1">
      <c r="A17" s="82" t="s">
        <v>85</v>
      </c>
      <c r="B17" s="83" t="s">
        <v>86</v>
      </c>
      <c r="C17" s="92">
        <v>0.14749999999999999</v>
      </c>
      <c r="D17" s="92">
        <v>0.19750000000000001</v>
      </c>
      <c r="E17" s="92">
        <v>0.16</v>
      </c>
      <c r="F17" s="93">
        <v>0.21</v>
      </c>
    </row>
    <row r="18" spans="1:6" ht="15.75" thickBot="1">
      <c r="A18" s="78" t="s">
        <v>87</v>
      </c>
      <c r="B18" s="79" t="s">
        <v>88</v>
      </c>
      <c r="C18" s="94"/>
      <c r="D18" s="94"/>
      <c r="E18" s="94"/>
      <c r="F18" s="95"/>
    </row>
    <row r="19" spans="1:6" ht="15.75" thickBot="1">
      <c r="A19" s="82" t="s">
        <v>89</v>
      </c>
      <c r="B19" s="83" t="s">
        <v>90</v>
      </c>
      <c r="C19" s="85"/>
      <c r="D19" s="85"/>
      <c r="E19" s="85"/>
      <c r="F19" s="89"/>
    </row>
    <row r="20" spans="1:6" ht="15.75" thickBot="1">
      <c r="A20" s="78" t="s">
        <v>91</v>
      </c>
      <c r="B20" s="79" t="s">
        <v>92</v>
      </c>
      <c r="C20" s="87">
        <v>0.09</v>
      </c>
      <c r="D20" s="87">
        <v>0.17</v>
      </c>
      <c r="E20" s="87">
        <v>0.11</v>
      </c>
      <c r="F20" s="88">
        <v>0.19</v>
      </c>
    </row>
    <row r="21" spans="1:6" ht="15.75" thickBot="1">
      <c r="A21" s="82" t="s">
        <v>93</v>
      </c>
      <c r="B21" s="83" t="s">
        <v>94</v>
      </c>
      <c r="C21" s="85"/>
      <c r="D21" s="85"/>
      <c r="E21" s="85"/>
      <c r="F21" s="89"/>
    </row>
    <row r="22" spans="1:6" ht="15.75" thickBot="1">
      <c r="A22" s="78" t="s">
        <v>95</v>
      </c>
      <c r="B22" s="79" t="s">
        <v>96</v>
      </c>
      <c r="C22" s="90">
        <v>0.12</v>
      </c>
      <c r="D22" s="90">
        <v>0.16</v>
      </c>
      <c r="E22" s="90">
        <v>0.13500000000000001</v>
      </c>
      <c r="F22" s="91">
        <v>0.17</v>
      </c>
    </row>
    <row r="23" spans="1:6" ht="15.75" thickBot="1">
      <c r="A23" s="82" t="s">
        <v>97</v>
      </c>
      <c r="B23" s="83" t="s">
        <v>98</v>
      </c>
      <c r="C23" s="84">
        <v>0.12</v>
      </c>
      <c r="D23" s="84">
        <v>0.16</v>
      </c>
      <c r="E23" s="84">
        <v>0.13500000000000001</v>
      </c>
      <c r="F23" s="86">
        <v>0.17499999999999999</v>
      </c>
    </row>
    <row r="24" spans="1:6" ht="15.75" thickBot="1">
      <c r="A24" s="78" t="s">
        <v>39</v>
      </c>
      <c r="B24" s="79" t="s">
        <v>99</v>
      </c>
      <c r="C24" s="90">
        <v>7.7499999999999999E-2</v>
      </c>
      <c r="D24" s="90">
        <v>0.1225</v>
      </c>
      <c r="E24" s="90">
        <v>8.5000000000000006E-2</v>
      </c>
      <c r="F24" s="91">
        <v>0.125</v>
      </c>
    </row>
    <row r="25" spans="1:6" ht="15.75" thickBot="1">
      <c r="A25" s="82" t="s">
        <v>100</v>
      </c>
      <c r="B25" s="83" t="s">
        <v>101</v>
      </c>
      <c r="C25" s="84">
        <v>0.1</v>
      </c>
      <c r="D25" s="84">
        <v>0.15</v>
      </c>
      <c r="E25" s="84">
        <v>0.105</v>
      </c>
      <c r="F25" s="86">
        <v>0.155</v>
      </c>
    </row>
    <row r="26" spans="1:6" ht="15.75" thickBot="1">
      <c r="A26" s="78" t="s">
        <v>102</v>
      </c>
      <c r="B26" s="79" t="s">
        <v>103</v>
      </c>
      <c r="C26" s="87">
        <v>0.2</v>
      </c>
      <c r="D26" s="87">
        <v>0.28000000000000003</v>
      </c>
      <c r="E26" s="87">
        <v>0.2</v>
      </c>
      <c r="F26" s="88">
        <v>0.27</v>
      </c>
    </row>
    <row r="27" spans="1:6" ht="15.75" thickBot="1">
      <c r="A27" s="82" t="s">
        <v>104</v>
      </c>
      <c r="B27" s="83" t="s">
        <v>105</v>
      </c>
      <c r="C27" s="96"/>
      <c r="D27" s="96"/>
      <c r="E27" s="96"/>
      <c r="F27" s="97"/>
    </row>
    <row r="28" spans="1:6" ht="15.75" thickBot="1">
      <c r="A28" s="78" t="s">
        <v>106</v>
      </c>
      <c r="B28" s="79" t="s">
        <v>107</v>
      </c>
      <c r="C28" s="98"/>
      <c r="D28" s="98"/>
      <c r="E28" s="98"/>
      <c r="F28" s="99"/>
    </row>
    <row r="29" spans="1:6" ht="15.75" thickBot="1">
      <c r="A29" s="82" t="s">
        <v>108</v>
      </c>
      <c r="B29" s="83" t="s">
        <v>109</v>
      </c>
      <c r="C29" s="84">
        <v>0.23250000000000001</v>
      </c>
      <c r="D29" s="84">
        <v>0.28749999999999998</v>
      </c>
      <c r="E29" s="84">
        <v>0.22</v>
      </c>
      <c r="F29" s="86">
        <v>0.27</v>
      </c>
    </row>
    <row r="30" spans="1:6" ht="15.75" thickBot="1">
      <c r="A30" s="78" t="s">
        <v>110</v>
      </c>
      <c r="B30" s="79" t="s">
        <v>111</v>
      </c>
      <c r="C30" s="87">
        <v>0.19</v>
      </c>
      <c r="D30" s="87">
        <v>0.23</v>
      </c>
      <c r="E30" s="87">
        <v>0.2</v>
      </c>
      <c r="F30" s="88">
        <v>0.24</v>
      </c>
    </row>
    <row r="31" spans="1:6" ht="15.75" thickBot="1">
      <c r="A31" s="82" t="s">
        <v>112</v>
      </c>
      <c r="B31" s="83" t="s">
        <v>113</v>
      </c>
      <c r="C31" s="85"/>
      <c r="D31" s="85"/>
      <c r="E31" s="85"/>
      <c r="F31" s="89"/>
    </row>
    <row r="32" spans="1:6" ht="15.75" thickBot="1">
      <c r="A32" s="78" t="s">
        <v>114</v>
      </c>
      <c r="B32" s="79" t="s">
        <v>115</v>
      </c>
      <c r="C32" s="90">
        <v>0.3</v>
      </c>
      <c r="D32" s="90">
        <v>0.4</v>
      </c>
      <c r="E32" s="90">
        <v>0.30499999999999999</v>
      </c>
      <c r="F32" s="91">
        <v>0.39500000000000002</v>
      </c>
    </row>
    <row r="33" spans="1:6" ht="15.75" thickBot="1">
      <c r="A33" s="82" t="s">
        <v>116</v>
      </c>
      <c r="B33" s="83" t="s">
        <v>117</v>
      </c>
      <c r="C33" s="84">
        <v>0.1225</v>
      </c>
      <c r="D33" s="84">
        <v>0.16250000000000001</v>
      </c>
      <c r="E33" s="84">
        <v>0.13</v>
      </c>
      <c r="F33" s="86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H28" sqref="H28"/>
    </sheetView>
  </sheetViews>
  <sheetFormatPr defaultRowHeight="13.5"/>
  <cols>
    <col min="1" max="1" width="9" style="1"/>
  </cols>
  <sheetData>
    <row r="1" spans="1:16">
      <c r="A1" s="16" t="s">
        <v>36</v>
      </c>
      <c r="B1" s="2" t="s">
        <v>19</v>
      </c>
      <c r="C1" s="2" t="s">
        <v>24</v>
      </c>
      <c r="K1" s="40" t="s">
        <v>155</v>
      </c>
      <c r="L1" s="40" t="s">
        <v>152</v>
      </c>
      <c r="M1" s="40"/>
      <c r="N1" s="40"/>
      <c r="O1" s="40"/>
      <c r="P1" s="40"/>
    </row>
    <row r="2" spans="1:16">
      <c r="A2" s="16" t="s">
        <v>3</v>
      </c>
      <c r="B2" s="2" t="s">
        <v>21</v>
      </c>
      <c r="C2" s="2" t="s">
        <v>25</v>
      </c>
      <c r="K2" s="40" t="s">
        <v>156</v>
      </c>
      <c r="L2" s="40" t="s">
        <v>157</v>
      </c>
      <c r="M2" s="40"/>
      <c r="N2" s="40"/>
      <c r="O2" s="40"/>
      <c r="P2" s="40"/>
    </row>
    <row r="3" spans="1:16">
      <c r="A3" s="2" t="s">
        <v>5</v>
      </c>
      <c r="C3" s="2" t="s">
        <v>153</v>
      </c>
    </row>
    <row r="4" spans="1:16">
      <c r="A4" s="2" t="s">
        <v>4</v>
      </c>
      <c r="C4" s="2" t="s">
        <v>154</v>
      </c>
    </row>
    <row r="5" spans="1:16">
      <c r="A5" s="2" t="s">
        <v>6</v>
      </c>
    </row>
    <row r="6" spans="1:16">
      <c r="A6" s="2" t="s">
        <v>35</v>
      </c>
    </row>
    <row r="7" spans="1:16">
      <c r="A7" s="2" t="s">
        <v>42</v>
      </c>
    </row>
    <row r="8" spans="1:16">
      <c r="A8" s="2" t="s">
        <v>43</v>
      </c>
    </row>
    <row r="9" spans="1:16">
      <c r="A9" s="2" t="s">
        <v>161</v>
      </c>
    </row>
    <row r="10" spans="1:16">
      <c r="A10" s="2" t="s">
        <v>169</v>
      </c>
    </row>
    <row r="11" spans="1:16">
      <c r="A11" s="2" t="s">
        <v>176</v>
      </c>
    </row>
    <row r="12" spans="1:16">
      <c r="A12" s="2" t="s">
        <v>177</v>
      </c>
    </row>
    <row r="13" spans="1:16">
      <c r="A13" s="2" t="s">
        <v>178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ColWidth="9"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>
      <c r="B1" s="169" t="s">
        <v>37</v>
      </c>
      <c r="C1" s="169"/>
    </row>
    <row r="2" spans="1:21" ht="12" thickTop="1">
      <c r="B2" s="3" t="s">
        <v>0</v>
      </c>
      <c r="C2" s="4">
        <v>43061</v>
      </c>
    </row>
    <row r="3" spans="1:21">
      <c r="B3" s="3" t="s">
        <v>1</v>
      </c>
      <c r="C3" s="3">
        <v>0.02</v>
      </c>
    </row>
    <row r="4" spans="1:21" ht="12" thickBot="1">
      <c r="B4" s="5" t="s">
        <v>18</v>
      </c>
      <c r="C4" s="5">
        <v>0.01</v>
      </c>
    </row>
    <row r="5" spans="1:21" ht="12" thickTop="1"/>
    <row r="6" spans="1:21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3735</v>
      </c>
      <c r="I8" s="19">
        <v>3800</v>
      </c>
      <c r="J8" s="21">
        <f ca="1">TODAY()</f>
        <v>43173</v>
      </c>
      <c r="K8" s="21">
        <f ca="1">J8+L8</f>
        <v>43203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100.50401224729285</v>
      </c>
      <c r="P8" s="25">
        <v>80</v>
      </c>
      <c r="Q8" s="24">
        <f>P8/10000*M8*H8*(-E8)</f>
        <v>2.4558904109589044</v>
      </c>
      <c r="R8" s="24">
        <f>O8+Q8</f>
        <v>102.95990265825175</v>
      </c>
      <c r="S8" s="26">
        <f>R8/H8</f>
        <v>2.756623899819324E-2</v>
      </c>
      <c r="T8" s="24">
        <f>_xll.dnetGBlackScholesNGreeks("delta",$G8,$H8,$I8,$M8,$C$3,$C$4,$N8,$C$4)</f>
        <v>0.44079235095750846</v>
      </c>
      <c r="U8" s="24">
        <f>_xll.dnetGBlackScholesNGreeks("vega",$G8,$H8,$I8,$M8,$C$3,$C$4,$N8)</f>
        <v>4.221725086733386</v>
      </c>
    </row>
    <row r="9" spans="1:21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43173</v>
      </c>
      <c r="K9" s="8">
        <f ca="1">J9+L9</f>
        <v>43203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43173</v>
      </c>
      <c r="K10" s="8">
        <f ca="1">J10+L10</f>
        <v>43203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quate_van</vt:lpstr>
      <vt:lpstr>quote_sf</vt:lpstr>
      <vt:lpstr>recap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2018-03-14T09:01:45Z</dcterms:modified>
</cp:coreProperties>
</file>