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2" i="1" l="1"/>
  <c r="I12" i="1"/>
  <c r="E12" i="1"/>
  <c r="F12" i="1" s="1"/>
  <c r="V12" i="1"/>
  <c r="N12" i="1" l="1"/>
  <c r="E11" i="1"/>
  <c r="F11" i="1" s="1"/>
  <c r="R11" i="1"/>
  <c r="I11" i="1"/>
  <c r="U12" i="1"/>
  <c r="L12" i="1"/>
  <c r="P11" i="1"/>
  <c r="U11" i="1" s="1"/>
  <c r="V11" i="1"/>
  <c r="O12" i="1" l="1"/>
  <c r="T12" i="1" s="1"/>
  <c r="N11" i="1"/>
  <c r="L11" i="1"/>
  <c r="O11" i="1" l="1"/>
  <c r="T11" i="1" s="1"/>
  <c r="H10" i="1" l="1"/>
  <c r="I10" i="1" s="1"/>
  <c r="N10" i="1" s="1"/>
  <c r="R10" i="1"/>
  <c r="V10" i="1"/>
  <c r="D40" i="2" l="1"/>
  <c r="D37" i="2"/>
  <c r="I26" i="2"/>
  <c r="I23" i="2"/>
  <c r="L10" i="1"/>
  <c r="U10" i="1"/>
  <c r="O10" i="1" l="1"/>
  <c r="T10" i="1" s="1"/>
  <c r="X23" i="2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V9" i="9"/>
  <c r="M9" i="9"/>
  <c r="U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H8" i="8"/>
  <c r="T10" i="7"/>
  <c r="T9" i="7"/>
  <c r="U9" i="7"/>
  <c r="O9" i="7"/>
  <c r="H8" i="7"/>
  <c r="U10" i="7"/>
  <c r="O10" i="7"/>
  <c r="U8" i="8" l="1"/>
  <c r="Q9" i="7"/>
  <c r="R9" i="7" s="1"/>
  <c r="S9" i="7" s="1"/>
  <c r="Q10" i="7"/>
  <c r="R10" i="7" s="1"/>
  <c r="S10" i="7" s="1"/>
  <c r="Q8" i="7"/>
  <c r="S9" i="8"/>
  <c r="O8" i="7"/>
  <c r="T8" i="7"/>
  <c r="K8" i="8"/>
  <c r="X9" i="8"/>
  <c r="Y9" i="8"/>
  <c r="U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P8" i="1"/>
  <c r="U9" i="1"/>
  <c r="V9" i="1"/>
  <c r="L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<sst xmlns="http://schemas.openxmlformats.org/spreadsheetml/2006/main" count="1023" uniqueCount="214">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</sst>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53790</v>
        <stp/>
        <stp>cu1805</stp>
        <stp>LastPrice</stp>
        <tr r="P11" s="1"/>
      </tp>
      <tp>
        <v>4028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92"/>
  <sheetViews>
    <sheetView topLeftCell="A67" zoomScaleNormal="100" workbookViewId="0">
      <selection activeCell="F99" sqref="F99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18" x14ac:dyDescent="0.15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18" x14ac:dyDescent="0.15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18" x14ac:dyDescent="0.15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18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18" x14ac:dyDescent="0.15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18" x14ac:dyDescent="0.15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18" x14ac:dyDescent="0.15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18" x14ac:dyDescent="0.15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18" x14ac:dyDescent="0.15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18" x14ac:dyDescent="0.15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18" x14ac:dyDescent="0.15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18" x14ac:dyDescent="0.15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B22" sqref="B22:E48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1" t="s">
        <v>118</v>
      </c>
      <c r="C1" s="181"/>
    </row>
    <row r="2" spans="2:20" ht="11.25" thickTop="1" x14ac:dyDescent="0.15"/>
    <row r="3" spans="2:20" ht="11.25" thickBot="1" x14ac:dyDescent="0.2">
      <c r="B3" s="182" t="s">
        <v>119</v>
      </c>
      <c r="C3" s="182"/>
      <c r="D3" s="182"/>
      <c r="E3" s="182"/>
      <c r="G3" s="186" t="s">
        <v>120</v>
      </c>
      <c r="H3" s="186"/>
      <c r="I3" s="186"/>
      <c r="J3" s="186"/>
      <c r="L3" s="182" t="s">
        <v>165</v>
      </c>
      <c r="M3" s="182"/>
      <c r="N3" s="182"/>
      <c r="O3" s="182"/>
      <c r="Q3" s="186" t="s">
        <v>166</v>
      </c>
      <c r="R3" s="186"/>
      <c r="S3" s="186"/>
      <c r="T3" s="186"/>
    </row>
    <row r="4" spans="2:20" ht="12" thickTop="1" thickBot="1" x14ac:dyDescent="0.2">
      <c r="B4" s="183" t="s">
        <v>121</v>
      </c>
      <c r="C4" s="183"/>
      <c r="D4" s="183"/>
      <c r="E4" s="183"/>
      <c r="G4" s="183" t="s">
        <v>34</v>
      </c>
      <c r="H4" s="183"/>
      <c r="I4" s="183"/>
      <c r="J4" s="183"/>
      <c r="L4" s="183" t="s">
        <v>121</v>
      </c>
      <c r="M4" s="183"/>
      <c r="N4" s="183"/>
      <c r="O4" s="183"/>
      <c r="Q4" s="183" t="s">
        <v>34</v>
      </c>
      <c r="R4" s="183"/>
      <c r="S4" s="183"/>
      <c r="T4" s="183"/>
    </row>
    <row r="5" spans="2:20" ht="15" customHeight="1" thickTop="1" x14ac:dyDescent="0.15">
      <c r="B5" s="180" t="s">
        <v>122</v>
      </c>
      <c r="C5" s="180"/>
      <c r="D5" s="184"/>
      <c r="E5" s="185"/>
      <c r="G5" s="180" t="s">
        <v>123</v>
      </c>
      <c r="H5" s="180"/>
      <c r="I5" s="158"/>
      <c r="J5" s="159"/>
      <c r="L5" s="156" t="s">
        <v>122</v>
      </c>
      <c r="M5" s="157"/>
      <c r="N5" s="158"/>
      <c r="O5" s="159"/>
      <c r="Q5" s="180" t="s">
        <v>123</v>
      </c>
      <c r="R5" s="180"/>
      <c r="S5" s="158"/>
      <c r="T5" s="159"/>
    </row>
    <row r="6" spans="2:20" x14ac:dyDescent="0.15">
      <c r="B6" s="180" t="s">
        <v>124</v>
      </c>
      <c r="C6" s="180"/>
      <c r="D6" s="178" t="s">
        <v>125</v>
      </c>
      <c r="E6" s="179"/>
      <c r="G6" s="180" t="s">
        <v>126</v>
      </c>
      <c r="H6" s="180"/>
      <c r="I6" s="178"/>
      <c r="J6" s="179"/>
      <c r="L6" s="180" t="s">
        <v>124</v>
      </c>
      <c r="M6" s="180"/>
      <c r="N6" s="178" t="s">
        <v>125</v>
      </c>
      <c r="O6" s="179"/>
      <c r="Q6" s="180" t="s">
        <v>126</v>
      </c>
      <c r="R6" s="180"/>
      <c r="S6" s="178"/>
      <c r="T6" s="179"/>
    </row>
    <row r="7" spans="2:20" ht="2.25" customHeight="1" x14ac:dyDescent="0.15">
      <c r="B7" s="180" t="s">
        <v>127</v>
      </c>
      <c r="C7" s="180"/>
      <c r="D7" s="178" t="s">
        <v>125</v>
      </c>
      <c r="E7" s="179"/>
      <c r="G7" s="180" t="s">
        <v>128</v>
      </c>
      <c r="H7" s="180"/>
      <c r="I7" s="178"/>
      <c r="J7" s="179"/>
      <c r="L7" s="180" t="s">
        <v>127</v>
      </c>
      <c r="M7" s="180"/>
      <c r="N7" s="178" t="s">
        <v>125</v>
      </c>
      <c r="O7" s="179"/>
      <c r="Q7" s="180" t="s">
        <v>128</v>
      </c>
      <c r="R7" s="180"/>
      <c r="S7" s="178"/>
      <c r="T7" s="179"/>
    </row>
    <row r="8" spans="2:20" hidden="1" x14ac:dyDescent="0.15">
      <c r="B8" s="180" t="s">
        <v>129</v>
      </c>
      <c r="C8" s="180"/>
      <c r="D8" s="178">
        <f>D13*D15</f>
        <v>305000</v>
      </c>
      <c r="E8" s="179"/>
      <c r="G8" s="180" t="s">
        <v>130</v>
      </c>
      <c r="H8" s="180"/>
      <c r="I8" s="178"/>
      <c r="J8" s="179"/>
      <c r="L8" s="180" t="s">
        <v>129</v>
      </c>
      <c r="M8" s="180"/>
      <c r="N8" s="178">
        <f>N14*N16</f>
        <v>305000</v>
      </c>
      <c r="O8" s="179"/>
      <c r="Q8" s="180" t="s">
        <v>130</v>
      </c>
      <c r="R8" s="180"/>
      <c r="S8" s="178"/>
      <c r="T8" s="179"/>
    </row>
    <row r="9" spans="2:20" hidden="1" x14ac:dyDescent="0.15">
      <c r="B9" s="180" t="s">
        <v>131</v>
      </c>
      <c r="C9" s="180"/>
      <c r="D9" s="178" t="s">
        <v>132</v>
      </c>
      <c r="E9" s="179"/>
      <c r="G9" s="180" t="s">
        <v>133</v>
      </c>
      <c r="H9" s="180"/>
      <c r="I9" s="178"/>
      <c r="J9" s="179"/>
      <c r="L9" s="180" t="s">
        <v>131</v>
      </c>
      <c r="M9" s="180"/>
      <c r="N9" s="178" t="s">
        <v>132</v>
      </c>
      <c r="O9" s="179"/>
      <c r="Q9" s="180" t="s">
        <v>133</v>
      </c>
      <c r="R9" s="180"/>
      <c r="S9" s="178"/>
      <c r="T9" s="179"/>
    </row>
    <row r="10" spans="2:20" hidden="1" x14ac:dyDescent="0.15">
      <c r="B10" s="180" t="s">
        <v>134</v>
      </c>
      <c r="C10" s="180"/>
      <c r="D10" s="178">
        <v>43084</v>
      </c>
      <c r="E10" s="179"/>
      <c r="G10" s="160" t="s">
        <v>135</v>
      </c>
      <c r="H10" s="160"/>
      <c r="I10" s="178"/>
      <c r="J10" s="179"/>
      <c r="L10" s="180" t="s">
        <v>134</v>
      </c>
      <c r="M10" s="180"/>
      <c r="N10" s="178">
        <v>43084</v>
      </c>
      <c r="O10" s="179"/>
      <c r="Q10" s="160" t="s">
        <v>135</v>
      </c>
      <c r="R10" s="160"/>
      <c r="S10" s="178"/>
      <c r="T10" s="179"/>
    </row>
    <row r="11" spans="2:20" hidden="1" x14ac:dyDescent="0.15">
      <c r="B11" s="180" t="s">
        <v>136</v>
      </c>
      <c r="C11" s="180"/>
      <c r="D11" s="178">
        <v>3935</v>
      </c>
      <c r="E11" s="179"/>
      <c r="G11" s="180" t="s">
        <v>137</v>
      </c>
      <c r="H11" s="180"/>
      <c r="I11" s="178"/>
      <c r="J11" s="179"/>
      <c r="L11" s="180" t="s">
        <v>136</v>
      </c>
      <c r="M11" s="180"/>
      <c r="N11" s="178">
        <v>3935</v>
      </c>
      <c r="O11" s="179"/>
      <c r="Q11" s="180" t="s">
        <v>137</v>
      </c>
      <c r="R11" s="180"/>
      <c r="S11" s="178"/>
      <c r="T11" s="179"/>
    </row>
    <row r="12" spans="2:20" hidden="1" x14ac:dyDescent="0.15">
      <c r="B12" s="180" t="s">
        <v>138</v>
      </c>
      <c r="C12" s="180"/>
      <c r="D12" s="178">
        <v>3800</v>
      </c>
      <c r="E12" s="179"/>
      <c r="G12" s="180" t="s">
        <v>139</v>
      </c>
      <c r="H12" s="180"/>
      <c r="I12" s="178"/>
      <c r="J12" s="179"/>
      <c r="L12" s="180" t="s">
        <v>163</v>
      </c>
      <c r="M12" s="180"/>
      <c r="N12" s="178">
        <v>3800</v>
      </c>
      <c r="O12" s="179"/>
      <c r="Q12" s="180" t="s">
        <v>167</v>
      </c>
      <c r="R12" s="180"/>
      <c r="S12" s="178"/>
      <c r="T12" s="179"/>
    </row>
    <row r="13" spans="2:20" hidden="1" x14ac:dyDescent="0.15">
      <c r="B13" s="180" t="s">
        <v>140</v>
      </c>
      <c r="C13" s="180"/>
      <c r="D13" s="178">
        <v>61</v>
      </c>
      <c r="E13" s="179"/>
      <c r="G13" s="180" t="s">
        <v>141</v>
      </c>
      <c r="H13" s="180"/>
      <c r="I13" s="178"/>
      <c r="J13" s="179"/>
      <c r="L13" s="180" t="s">
        <v>164</v>
      </c>
      <c r="M13" s="180"/>
      <c r="N13" s="178">
        <v>3800</v>
      </c>
      <c r="O13" s="179"/>
      <c r="Q13" s="180" t="s">
        <v>168</v>
      </c>
      <c r="R13" s="180"/>
      <c r="S13" s="178"/>
      <c r="T13" s="179"/>
    </row>
    <row r="14" spans="2:20" hidden="1" x14ac:dyDescent="0.15">
      <c r="B14" s="180" t="s">
        <v>142</v>
      </c>
      <c r="C14" s="180"/>
      <c r="D14" s="178" t="s">
        <v>143</v>
      </c>
      <c r="E14" s="179"/>
      <c r="G14" s="180" t="s">
        <v>144</v>
      </c>
      <c r="H14" s="180"/>
      <c r="I14" s="161"/>
      <c r="J14" s="162"/>
      <c r="L14" s="180" t="s">
        <v>140</v>
      </c>
      <c r="M14" s="180"/>
      <c r="N14" s="178">
        <v>61</v>
      </c>
      <c r="O14" s="179"/>
      <c r="Q14" s="180" t="s">
        <v>141</v>
      </c>
      <c r="R14" s="180"/>
      <c r="S14" s="178"/>
      <c r="T14" s="179"/>
    </row>
    <row r="15" spans="2:20" hidden="1" x14ac:dyDescent="0.15">
      <c r="B15" s="180" t="s">
        <v>145</v>
      </c>
      <c r="C15" s="180"/>
      <c r="D15" s="178">
        <v>5000</v>
      </c>
      <c r="E15" s="179"/>
      <c r="G15" s="180" t="s">
        <v>146</v>
      </c>
      <c r="H15" s="180"/>
      <c r="I15" s="178"/>
      <c r="J15" s="179"/>
      <c r="L15" s="180" t="s">
        <v>142</v>
      </c>
      <c r="M15" s="180"/>
      <c r="N15" s="178" t="s">
        <v>143</v>
      </c>
      <c r="O15" s="179"/>
      <c r="Q15" s="180" t="s">
        <v>144</v>
      </c>
      <c r="R15" s="180"/>
      <c r="S15" s="161"/>
      <c r="T15" s="162"/>
    </row>
    <row r="16" spans="2:20" ht="11.25" hidden="1" thickBot="1" x14ac:dyDescent="0.2">
      <c r="B16" s="175" t="s">
        <v>147</v>
      </c>
      <c r="C16" s="175"/>
      <c r="D16" s="176" t="s">
        <v>148</v>
      </c>
      <c r="E16" s="177"/>
      <c r="G16" s="175" t="s">
        <v>149</v>
      </c>
      <c r="H16" s="175"/>
      <c r="I16" s="176"/>
      <c r="J16" s="177"/>
      <c r="L16" s="180" t="s">
        <v>145</v>
      </c>
      <c r="M16" s="180"/>
      <c r="N16" s="178">
        <v>5000</v>
      </c>
      <c r="O16" s="179"/>
      <c r="Q16" s="180" t="s">
        <v>146</v>
      </c>
      <c r="R16" s="180"/>
      <c r="S16" s="178"/>
      <c r="T16" s="179"/>
    </row>
    <row r="17" spans="2:25" ht="12" hidden="1" thickTop="1" thickBot="1" x14ac:dyDescent="0.2">
      <c r="L17" s="175" t="s">
        <v>147</v>
      </c>
      <c r="M17" s="175"/>
      <c r="N17" s="176" t="s">
        <v>148</v>
      </c>
      <c r="O17" s="177"/>
      <c r="Q17" s="175" t="s">
        <v>149</v>
      </c>
      <c r="R17" s="175"/>
      <c r="S17" s="176"/>
      <c r="T17" s="177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3" t="s">
        <v>195</v>
      </c>
      <c r="C22" s="173"/>
      <c r="D22" s="173"/>
      <c r="E22" s="173"/>
      <c r="G22" s="173" t="s">
        <v>196</v>
      </c>
      <c r="H22" s="173"/>
      <c r="I22" s="173"/>
      <c r="J22" s="173"/>
      <c r="L22" s="183" t="s">
        <v>196</v>
      </c>
      <c r="M22" s="183"/>
      <c r="N22" s="183"/>
      <c r="O22" s="183"/>
      <c r="Q22" s="173" t="s">
        <v>195</v>
      </c>
      <c r="R22" s="173"/>
      <c r="S22" s="173"/>
      <c r="T22" s="173"/>
      <c r="V22" s="183" t="s">
        <v>196</v>
      </c>
      <c r="W22" s="183"/>
      <c r="X22" s="183"/>
      <c r="Y22" s="183"/>
    </row>
    <row r="23" spans="2:25" ht="12" thickTop="1" x14ac:dyDescent="0.15">
      <c r="B23" s="166" t="s">
        <v>122</v>
      </c>
      <c r="C23" s="166"/>
      <c r="D23" s="172">
        <f ca="1">TODAY()</f>
        <v>43157</v>
      </c>
      <c r="E23" s="174"/>
      <c r="G23" s="166" t="s">
        <v>122</v>
      </c>
      <c r="H23" s="166"/>
      <c r="I23" s="172">
        <f ca="1">TODAY()</f>
        <v>43157</v>
      </c>
      <c r="J23" s="174"/>
      <c r="L23" s="166" t="s">
        <v>122</v>
      </c>
      <c r="M23" s="166"/>
      <c r="N23" s="172">
        <f ca="1">TODAY()</f>
        <v>43157</v>
      </c>
      <c r="O23" s="174"/>
      <c r="Q23" s="166" t="s">
        <v>122</v>
      </c>
      <c r="R23" s="166"/>
      <c r="S23" s="172">
        <f ca="1">TODAY()-1</f>
        <v>43156</v>
      </c>
      <c r="T23" s="174"/>
      <c r="V23" s="166" t="s">
        <v>122</v>
      </c>
      <c r="W23" s="166"/>
      <c r="X23" s="172">
        <f ca="1">TODAY()-1</f>
        <v>43156</v>
      </c>
      <c r="Y23" s="174"/>
    </row>
    <row r="24" spans="2:25" ht="11.25" x14ac:dyDescent="0.15">
      <c r="B24" s="166" t="s">
        <v>124</v>
      </c>
      <c r="C24" s="166"/>
      <c r="D24" s="167" t="s">
        <v>190</v>
      </c>
      <c r="E24" s="168"/>
      <c r="G24" s="166" t="s">
        <v>124</v>
      </c>
      <c r="H24" s="166"/>
      <c r="I24" s="167" t="s">
        <v>190</v>
      </c>
      <c r="J24" s="168"/>
      <c r="L24" s="166" t="s">
        <v>124</v>
      </c>
      <c r="M24" s="166"/>
      <c r="N24" s="167" t="s">
        <v>36</v>
      </c>
      <c r="O24" s="168"/>
      <c r="Q24" s="166" t="s">
        <v>124</v>
      </c>
      <c r="R24" s="166"/>
      <c r="S24" s="167" t="s">
        <v>36</v>
      </c>
      <c r="T24" s="168"/>
      <c r="V24" s="166" t="s">
        <v>124</v>
      </c>
      <c r="W24" s="166"/>
      <c r="X24" s="167" t="s">
        <v>36</v>
      </c>
      <c r="Y24" s="168"/>
    </row>
    <row r="25" spans="2:25" ht="11.25" x14ac:dyDescent="0.15">
      <c r="B25" s="166" t="s">
        <v>127</v>
      </c>
      <c r="C25" s="166"/>
      <c r="D25" s="167" t="s">
        <v>5</v>
      </c>
      <c r="E25" s="168"/>
      <c r="G25" s="166" t="s">
        <v>127</v>
      </c>
      <c r="H25" s="166"/>
      <c r="I25" s="167" t="s">
        <v>5</v>
      </c>
      <c r="J25" s="168"/>
      <c r="L25" s="166" t="s">
        <v>127</v>
      </c>
      <c r="M25" s="166"/>
      <c r="N25" s="167" t="s">
        <v>203</v>
      </c>
      <c r="O25" s="168"/>
      <c r="Q25" s="166" t="s">
        <v>127</v>
      </c>
      <c r="R25" s="166"/>
      <c r="S25" s="167" t="s">
        <v>194</v>
      </c>
      <c r="T25" s="168"/>
      <c r="V25" s="166" t="s">
        <v>127</v>
      </c>
      <c r="W25" s="166"/>
      <c r="X25" s="167" t="s">
        <v>194</v>
      </c>
      <c r="Y25" s="168"/>
    </row>
    <row r="26" spans="2:25" ht="11.25" x14ac:dyDescent="0.15">
      <c r="B26" s="166" t="s">
        <v>129</v>
      </c>
      <c r="C26" s="166"/>
      <c r="D26" s="167">
        <f>D31*D33</f>
        <v>388800</v>
      </c>
      <c r="E26" s="168"/>
      <c r="G26" s="166" t="s">
        <v>179</v>
      </c>
      <c r="H26" s="166"/>
      <c r="I26" s="167">
        <f>I31*I33</f>
        <v>271800</v>
      </c>
      <c r="J26" s="168"/>
      <c r="L26" s="166" t="s">
        <v>129</v>
      </c>
      <c r="M26" s="166"/>
      <c r="N26" s="167">
        <f>N31*N33</f>
        <v>275000</v>
      </c>
      <c r="O26" s="168"/>
      <c r="Q26" s="166" t="s">
        <v>129</v>
      </c>
      <c r="R26" s="166"/>
      <c r="S26" s="167">
        <f>S31*S33</f>
        <v>235799.99999999997</v>
      </c>
      <c r="T26" s="168"/>
      <c r="V26" s="166" t="s">
        <v>129</v>
      </c>
      <c r="W26" s="166"/>
      <c r="X26" s="167">
        <f>X31*X33</f>
        <v>235799.99999999997</v>
      </c>
      <c r="Y26" s="168"/>
    </row>
    <row r="27" spans="2:25" ht="11.25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 t="s">
        <v>207</v>
      </c>
      <c r="J27" s="168"/>
      <c r="L27" s="166" t="s">
        <v>131</v>
      </c>
      <c r="M27" s="166"/>
      <c r="N27" s="167" t="s">
        <v>197</v>
      </c>
      <c r="O27" s="168"/>
      <c r="Q27" s="166" t="s">
        <v>131</v>
      </c>
      <c r="R27" s="166"/>
      <c r="S27" s="167" t="s">
        <v>198</v>
      </c>
      <c r="T27" s="168"/>
      <c r="V27" s="166" t="s">
        <v>131</v>
      </c>
      <c r="W27" s="166"/>
      <c r="X27" s="167" t="s">
        <v>197</v>
      </c>
      <c r="Y27" s="168"/>
    </row>
    <row r="28" spans="2:25" ht="11.25" x14ac:dyDescent="0.15">
      <c r="B28" s="166" t="s">
        <v>134</v>
      </c>
      <c r="C28" s="166"/>
      <c r="D28" s="172">
        <v>43182</v>
      </c>
      <c r="E28" s="168"/>
      <c r="G28" s="166" t="s">
        <v>134</v>
      </c>
      <c r="H28" s="166"/>
      <c r="I28" s="172">
        <v>43182</v>
      </c>
      <c r="J28" s="168"/>
      <c r="L28" s="166" t="s">
        <v>134</v>
      </c>
      <c r="M28" s="166"/>
      <c r="N28" s="172">
        <v>43219</v>
      </c>
      <c r="O28" s="168"/>
      <c r="Q28" s="166" t="s">
        <v>134</v>
      </c>
      <c r="R28" s="166"/>
      <c r="S28" s="172">
        <v>43201</v>
      </c>
      <c r="T28" s="168"/>
      <c r="V28" s="166" t="s">
        <v>134</v>
      </c>
      <c r="W28" s="166"/>
      <c r="X28" s="172">
        <v>43201</v>
      </c>
      <c r="Y28" s="168"/>
    </row>
    <row r="29" spans="2:25" ht="11.25" x14ac:dyDescent="0.15">
      <c r="B29" s="166" t="s">
        <v>136</v>
      </c>
      <c r="C29" s="166"/>
      <c r="D29" s="167">
        <v>3856</v>
      </c>
      <c r="E29" s="168"/>
      <c r="G29" s="166" t="s">
        <v>136</v>
      </c>
      <c r="H29" s="166"/>
      <c r="I29" s="167">
        <v>3856</v>
      </c>
      <c r="J29" s="168"/>
      <c r="L29" s="166" t="s">
        <v>136</v>
      </c>
      <c r="M29" s="166"/>
      <c r="N29" s="167">
        <v>3760</v>
      </c>
      <c r="O29" s="168"/>
      <c r="Q29" s="166" t="s">
        <v>136</v>
      </c>
      <c r="R29" s="166"/>
      <c r="S29" s="167">
        <v>524</v>
      </c>
      <c r="T29" s="168"/>
      <c r="V29" s="166" t="s">
        <v>136</v>
      </c>
      <c r="W29" s="166"/>
      <c r="X29" s="167">
        <v>524</v>
      </c>
      <c r="Y29" s="168"/>
    </row>
    <row r="30" spans="2:25" ht="11.25" x14ac:dyDescent="0.15">
      <c r="B30" s="166" t="s">
        <v>138</v>
      </c>
      <c r="C30" s="166"/>
      <c r="D30" s="167">
        <v>3800</v>
      </c>
      <c r="E30" s="168"/>
      <c r="G30" s="166" t="s">
        <v>138</v>
      </c>
      <c r="H30" s="166"/>
      <c r="I30" s="167">
        <v>3930</v>
      </c>
      <c r="J30" s="168"/>
      <c r="L30" s="166" t="s">
        <v>138</v>
      </c>
      <c r="M30" s="166"/>
      <c r="N30" s="167">
        <v>3700</v>
      </c>
      <c r="O30" s="168"/>
      <c r="Q30" s="166" t="s">
        <v>138</v>
      </c>
      <c r="R30" s="166"/>
      <c r="S30" s="167">
        <v>524</v>
      </c>
      <c r="T30" s="168"/>
      <c r="V30" s="166" t="s">
        <v>138</v>
      </c>
      <c r="W30" s="166"/>
      <c r="X30" s="167">
        <v>524</v>
      </c>
      <c r="Y30" s="168"/>
    </row>
    <row r="31" spans="2:25" ht="11.25" x14ac:dyDescent="0.15">
      <c r="B31" s="166" t="s">
        <v>140</v>
      </c>
      <c r="C31" s="166"/>
      <c r="D31" s="167">
        <v>38.880000000000003</v>
      </c>
      <c r="E31" s="168"/>
      <c r="G31" s="166" t="s">
        <v>208</v>
      </c>
      <c r="H31" s="166"/>
      <c r="I31" s="167">
        <v>27.18</v>
      </c>
      <c r="J31" s="168"/>
      <c r="L31" s="166" t="s">
        <v>140</v>
      </c>
      <c r="M31" s="166"/>
      <c r="N31" s="167">
        <v>55</v>
      </c>
      <c r="O31" s="168"/>
      <c r="Q31" s="166" t="s">
        <v>140</v>
      </c>
      <c r="R31" s="166"/>
      <c r="S31" s="167">
        <v>23.58</v>
      </c>
      <c r="T31" s="168"/>
      <c r="V31" s="166" t="s">
        <v>140</v>
      </c>
      <c r="W31" s="166"/>
      <c r="X31" s="167">
        <v>23.58</v>
      </c>
      <c r="Y31" s="168"/>
    </row>
    <row r="32" spans="2:25" ht="11.25" x14ac:dyDescent="0.15">
      <c r="B32" s="166" t="s">
        <v>142</v>
      </c>
      <c r="C32" s="166"/>
      <c r="D32" s="167" t="s">
        <v>206</v>
      </c>
      <c r="E32" s="168"/>
      <c r="G32" s="166" t="s">
        <v>209</v>
      </c>
      <c r="H32" s="166"/>
      <c r="I32" s="167" t="s">
        <v>206</v>
      </c>
      <c r="J32" s="168"/>
      <c r="L32" s="166" t="s">
        <v>142</v>
      </c>
      <c r="M32" s="166"/>
      <c r="N32" s="167" t="s">
        <v>202</v>
      </c>
      <c r="O32" s="168"/>
      <c r="Q32" s="166" t="s">
        <v>142</v>
      </c>
      <c r="R32" s="166"/>
      <c r="S32" s="167" t="s">
        <v>199</v>
      </c>
      <c r="T32" s="168"/>
      <c r="V32" s="166" t="s">
        <v>142</v>
      </c>
      <c r="W32" s="166"/>
      <c r="X32" s="167" t="s">
        <v>199</v>
      </c>
      <c r="Y32" s="168"/>
    </row>
    <row r="33" spans="2:25" ht="11.25" x14ac:dyDescent="0.15">
      <c r="B33" s="166" t="s">
        <v>145</v>
      </c>
      <c r="C33" s="166"/>
      <c r="D33" s="167">
        <v>10000</v>
      </c>
      <c r="E33" s="168"/>
      <c r="G33" s="166" t="s">
        <v>210</v>
      </c>
      <c r="H33" s="166"/>
      <c r="I33" s="167">
        <v>10000</v>
      </c>
      <c r="J33" s="168"/>
      <c r="L33" s="166" t="s">
        <v>145</v>
      </c>
      <c r="M33" s="166"/>
      <c r="N33" s="167">
        <v>5000</v>
      </c>
      <c r="O33" s="168"/>
      <c r="Q33" s="166" t="s">
        <v>145</v>
      </c>
      <c r="R33" s="166"/>
      <c r="S33" s="167">
        <v>10000</v>
      </c>
      <c r="T33" s="168"/>
      <c r="V33" s="166" t="s">
        <v>145</v>
      </c>
      <c r="W33" s="166"/>
      <c r="X33" s="167">
        <v>10000</v>
      </c>
      <c r="Y33" s="168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69" t="s">
        <v>147</v>
      </c>
      <c r="H34" s="169"/>
      <c r="I34" s="170" t="s">
        <v>148</v>
      </c>
      <c r="J34" s="171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1.25" thickTop="1" x14ac:dyDescent="0.15"/>
    <row r="36" spans="2:25" ht="12" thickBot="1" x14ac:dyDescent="0.2">
      <c r="B36" s="173" t="s">
        <v>196</v>
      </c>
      <c r="C36" s="173"/>
      <c r="D36" s="173"/>
      <c r="E36" s="173"/>
    </row>
    <row r="37" spans="2:25" ht="12" thickTop="1" x14ac:dyDescent="0.15">
      <c r="B37" s="166" t="s">
        <v>122</v>
      </c>
      <c r="C37" s="166"/>
      <c r="D37" s="172">
        <f ca="1">TODAY()</f>
        <v>43157</v>
      </c>
      <c r="E37" s="174"/>
    </row>
    <row r="38" spans="2:25" ht="11.25" x14ac:dyDescent="0.15">
      <c r="B38" s="166" t="s">
        <v>124</v>
      </c>
      <c r="C38" s="166"/>
      <c r="D38" s="167" t="s">
        <v>190</v>
      </c>
      <c r="E38" s="168"/>
    </row>
    <row r="39" spans="2:25" ht="11.25" x14ac:dyDescent="0.15">
      <c r="B39" s="166" t="s">
        <v>127</v>
      </c>
      <c r="C39" s="166"/>
      <c r="D39" s="167" t="s">
        <v>5</v>
      </c>
      <c r="E39" s="168"/>
    </row>
    <row r="40" spans="2:25" ht="11.25" x14ac:dyDescent="0.15">
      <c r="B40" s="166" t="s">
        <v>179</v>
      </c>
      <c r="C40" s="166"/>
      <c r="D40" s="167">
        <f>D45*D47</f>
        <v>271800</v>
      </c>
      <c r="E40" s="168"/>
    </row>
    <row r="41" spans="2:25" ht="11.25" x14ac:dyDescent="0.15">
      <c r="B41" s="166" t="s">
        <v>131</v>
      </c>
      <c r="C41" s="166"/>
      <c r="D41" s="167" t="s">
        <v>207</v>
      </c>
      <c r="E41" s="168"/>
    </row>
    <row r="42" spans="2:25" ht="11.25" x14ac:dyDescent="0.15">
      <c r="B42" s="166" t="s">
        <v>134</v>
      </c>
      <c r="C42" s="166"/>
      <c r="D42" s="172">
        <v>43182</v>
      </c>
      <c r="E42" s="168"/>
    </row>
    <row r="43" spans="2:25" ht="11.25" x14ac:dyDescent="0.15">
      <c r="B43" s="166" t="s">
        <v>136</v>
      </c>
      <c r="C43" s="166"/>
      <c r="D43" s="167">
        <v>3856</v>
      </c>
      <c r="E43" s="168"/>
    </row>
    <row r="44" spans="2:25" ht="11.25" x14ac:dyDescent="0.15">
      <c r="B44" s="166" t="s">
        <v>138</v>
      </c>
      <c r="C44" s="166"/>
      <c r="D44" s="167">
        <v>3930</v>
      </c>
      <c r="E44" s="168"/>
    </row>
    <row r="45" spans="2:25" ht="11.25" x14ac:dyDescent="0.15">
      <c r="B45" s="166" t="s">
        <v>208</v>
      </c>
      <c r="C45" s="166"/>
      <c r="D45" s="167">
        <v>27.18</v>
      </c>
      <c r="E45" s="168"/>
    </row>
    <row r="46" spans="2:25" ht="11.25" x14ac:dyDescent="0.15">
      <c r="B46" s="166" t="s">
        <v>209</v>
      </c>
      <c r="C46" s="166"/>
      <c r="D46" s="167" t="s">
        <v>206</v>
      </c>
      <c r="E46" s="168"/>
    </row>
    <row r="47" spans="2:25" ht="11.25" x14ac:dyDescent="0.15">
      <c r="B47" s="166" t="s">
        <v>210</v>
      </c>
      <c r="C47" s="166"/>
      <c r="D47" s="167">
        <v>10000</v>
      </c>
      <c r="E47" s="168"/>
    </row>
    <row r="48" spans="2:25" ht="12" thickBot="1" x14ac:dyDescent="0.2">
      <c r="B48" s="169" t="s">
        <v>147</v>
      </c>
      <c r="C48" s="169"/>
      <c r="D48" s="170" t="s">
        <v>148</v>
      </c>
      <c r="E48" s="171"/>
    </row>
    <row r="49" ht="11.25" thickTop="1" x14ac:dyDescent="0.15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abSelected="1" topLeftCell="A4" zoomScaleNormal="100" workbookViewId="0">
      <selection activeCell="G34" sqref="G3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7" t="s">
        <v>37</v>
      </c>
      <c r="C1" s="18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28" ca="1" si="0">TODAY()</f>
        <v>43157</v>
      </c>
      <c r="F8" s="21">
        <f t="shared" ref="F8:F11" ca="1" si="1">E8+H8</f>
        <v>43187</v>
      </c>
      <c r="G8" s="19">
        <v>3800</v>
      </c>
      <c r="H8" s="19">
        <v>30</v>
      </c>
      <c r="I8" s="22">
        <f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-277.45485367620222</v>
      </c>
      <c r="M8" s="25"/>
      <c r="N8" s="24">
        <f t="shared" ref="N8:N9" si="2">M8/10000*I8*P8</f>
        <v>0</v>
      </c>
      <c r="O8" s="24">
        <f t="shared" ref="O8:O9" si="3">IF(L8&lt;=0,ABS(L8)+N8,L8-N8)</f>
        <v>277.45485367620222</v>
      </c>
      <c r="P8" s="20">
        <f>RTD("wdf.rtq",,D8,"LastPrice")</f>
        <v>4028</v>
      </c>
      <c r="Q8" s="19" t="s">
        <v>27</v>
      </c>
      <c r="R8" s="19">
        <f t="shared" ref="R8:R9" si="4">IF(S8="中金买入",1,-1)</f>
        <v>-1</v>
      </c>
      <c r="S8" s="19" t="s">
        <v>31</v>
      </c>
      <c r="T8" s="26">
        <f t="shared" ref="T8:T9" si="5">O8/P8</f>
        <v>6.8881542620705616E-2</v>
      </c>
      <c r="U8" s="24">
        <f>_xll.dnetGBlackScholesNGreeks("delta",$Q8,$P8,$G8,$I8,$C$3,$J8,$K8,$C$4)*R8</f>
        <v>-0.7631332524397294</v>
      </c>
      <c r="V8" s="24">
        <f>_xll.dnetGBlackScholesNGreeks("vega",$Q8,$P8,$G8,$I8,$C$3,$J8,$K8,$C$4)*R8</f>
        <v>-3.5471767105391336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43157</v>
      </c>
      <c r="F9" s="8">
        <f t="shared" ca="1" si="1"/>
        <v>43189</v>
      </c>
      <c r="G9" s="10">
        <v>102.5</v>
      </c>
      <c r="H9" s="10">
        <v>32</v>
      </c>
      <c r="I9" s="12">
        <f>H9/365</f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2"/>
        <v>0</v>
      </c>
      <c r="O9" s="13">
        <f t="shared" si="3"/>
        <v>1.0209659960206068</v>
      </c>
      <c r="P9" s="11">
        <v>100</v>
      </c>
      <c r="Q9" s="10" t="s">
        <v>27</v>
      </c>
      <c r="R9" s="10">
        <f t="shared" si="4"/>
        <v>1</v>
      </c>
      <c r="S9" s="10" t="s">
        <v>151</v>
      </c>
      <c r="T9" s="14">
        <f t="shared" si="5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172</v>
      </c>
      <c r="C10" s="10" t="s">
        <v>161</v>
      </c>
      <c r="D10" s="10" t="s">
        <v>212</v>
      </c>
      <c r="E10" s="8">
        <v>43046</v>
      </c>
      <c r="F10" s="8">
        <v>43126</v>
      </c>
      <c r="G10" s="10">
        <v>100</v>
      </c>
      <c r="H10" s="10">
        <f>F10-E10</f>
        <v>80</v>
      </c>
      <c r="I10" s="12">
        <f>H10/365</f>
        <v>0.21917808219178081</v>
      </c>
      <c r="J10" s="12">
        <v>0</v>
      </c>
      <c r="K10" s="9">
        <v>0.25</v>
      </c>
      <c r="L10" s="13">
        <f>_xll.dnetGBlackScholesNGreeks("price",$Q10,$P10,$G10,$I10,$C$3,$J10,$K10,$C$4)*R10</f>
        <v>4.6461909092771876</v>
      </c>
      <c r="M10" s="15"/>
      <c r="N10" s="13">
        <f t="shared" ref="N10" si="6">M10/10000*I10*P10</f>
        <v>0</v>
      </c>
      <c r="O10" s="13">
        <f t="shared" ref="O10" si="7">IF(L10&lt;=0,ABS(L10)+N10,L10-N10)</f>
        <v>4.6461909092771876</v>
      </c>
      <c r="P10" s="11">
        <v>100</v>
      </c>
      <c r="Q10" s="10" t="s">
        <v>24</v>
      </c>
      <c r="R10" s="10">
        <f t="shared" ref="R10" si="8">IF(S10="中金买入",1,-1)</f>
        <v>1</v>
      </c>
      <c r="S10" s="10" t="s">
        <v>151</v>
      </c>
      <c r="T10" s="14">
        <f t="shared" ref="T10" si="9">O10/P10</f>
        <v>4.6461909092771876E-2</v>
      </c>
      <c r="U10" s="13">
        <f>_xll.dnetGBlackScholesNGreeks("delta",$Q10,$P10,$G10,$I10,$C$3,$J10,$K10,$C$4)*R10</f>
        <v>0.52104396214645021</v>
      </c>
      <c r="V10" s="13">
        <f>_xll.dnetGBlackScholesNGreeks("vega",$Q10,$P10,$G10,$I10,$C$3,$J10,$K10,$C$4)*R10</f>
        <v>0.18563540944411017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43157</v>
      </c>
      <c r="F11" s="8">
        <f t="shared" ca="1" si="1"/>
        <v>43217</v>
      </c>
      <c r="G11" s="10">
        <v>50000</v>
      </c>
      <c r="H11" s="10">
        <v>60</v>
      </c>
      <c r="I11" s="12">
        <f>H11/365</f>
        <v>0.16438356164383561</v>
      </c>
      <c r="J11" s="12">
        <v>0</v>
      </c>
      <c r="K11" s="9">
        <v>0.14499999999999999</v>
      </c>
      <c r="L11" s="13">
        <f>_xll.dnetGBlackScholesNGreeks("price",$Q11,$P11,$G11,$I11,$C$3,$J11,$K11,$C$4)*R11</f>
        <v>155.99670213368881</v>
      </c>
      <c r="M11" s="15">
        <v>30</v>
      </c>
      <c r="N11" s="13">
        <f t="shared" ref="N11" si="10">M11/10000*I11*P11</f>
        <v>26.526575342465751</v>
      </c>
      <c r="O11" s="13">
        <f t="shared" ref="O11" si="11">IF(L11&lt;=0,ABS(L11)+N11,L11-N11)</f>
        <v>129.47012679122307</v>
      </c>
      <c r="P11" s="11">
        <f>RTD("wdf.rtq",,D11,"LastPrice")</f>
        <v>53790</v>
      </c>
      <c r="Q11" s="10" t="s">
        <v>85</v>
      </c>
      <c r="R11" s="10">
        <f t="shared" ref="R11" si="12">IF(S11="中金买入",1,-1)</f>
        <v>1</v>
      </c>
      <c r="S11" s="10" t="s">
        <v>151</v>
      </c>
      <c r="T11" s="14">
        <f t="shared" ref="T11" si="13">O11/P11</f>
        <v>2.4069553223874897E-3</v>
      </c>
      <c r="U11" s="13">
        <f>_xll.dnetGBlackScholesNGreeks("delta",$Q11,$P11,$G11,$I11,$C$3,$J11,$K11,$C$4)*R11</f>
        <v>-0.10131409330824681</v>
      </c>
      <c r="V11" s="13">
        <f>_xll.dnetGBlackScholesNGreeks("vega",$Q11,$P11,$G11,$I11,$C$3,$J11,$K11,$C$4)*R11</f>
        <v>38.536985501341405</v>
      </c>
    </row>
    <row r="12" spans="1:25" ht="10.5" customHeight="1" x14ac:dyDescent="0.15">
      <c r="A12" s="42"/>
      <c r="B12" s="13" t="s">
        <v>172</v>
      </c>
      <c r="C12" s="10" t="s">
        <v>161</v>
      </c>
      <c r="D12" s="10" t="s">
        <v>206</v>
      </c>
      <c r="E12" s="8">
        <f t="shared" ca="1" si="0"/>
        <v>43157</v>
      </c>
      <c r="F12" s="8">
        <f t="shared" ref="F12" ca="1" si="14">E12+H12</f>
        <v>43203</v>
      </c>
      <c r="G12" s="10">
        <v>96</v>
      </c>
      <c r="H12" s="10">
        <v>46</v>
      </c>
      <c r="I12" s="12">
        <f>H12/365</f>
        <v>0.12602739726027398</v>
      </c>
      <c r="J12" s="12">
        <v>0</v>
      </c>
      <c r="K12" s="9">
        <v>0.24</v>
      </c>
      <c r="L12" s="13">
        <f>_xll.dnetGBlackScholesNGreeks("price",$Q12,$P12,$G12,$I12,$C$3,$J12,$K12,$C$4)*R12</f>
        <v>-1.7005272775470353</v>
      </c>
      <c r="M12" s="15">
        <v>0</v>
      </c>
      <c r="N12" s="13">
        <f t="shared" ref="N12" si="15">M12/10000*I12*P12</f>
        <v>0</v>
      </c>
      <c r="O12" s="13">
        <f t="shared" ref="O12" si="16">IF(L12&lt;=0,ABS(L12)+N12,L12-N12)</f>
        <v>1.7005272775470353</v>
      </c>
      <c r="P12" s="11">
        <v>100</v>
      </c>
      <c r="Q12" s="10" t="s">
        <v>85</v>
      </c>
      <c r="R12" s="10">
        <f t="shared" ref="R12" si="17">IF(S12="中金买入",1,-1)</f>
        <v>-1</v>
      </c>
      <c r="S12" s="10" t="s">
        <v>20</v>
      </c>
      <c r="T12" s="14">
        <f t="shared" ref="T12" si="18">O12/P12</f>
        <v>1.7005272775470353E-2</v>
      </c>
      <c r="U12" s="13">
        <f>_xll.dnetGBlackScholesNGreeks("delta",$Q12,$P12,$G12,$I12,$C$3,$J12,$K12,$C$4)*R12</f>
        <v>0.30017262283248414</v>
      </c>
      <c r="V12" s="13">
        <f>_xll.dnetGBlackScholesNGreeks("vega",$Q12,$P12,$G12,$I12,$C$3,$J12,$K12,$C$4)*R12</f>
        <v>-0.12327079289164722</v>
      </c>
    </row>
    <row r="13" spans="1:25" x14ac:dyDescent="0.15">
      <c r="A13" s="42"/>
      <c r="B13" s="13"/>
      <c r="C13" s="10"/>
      <c r="D13" s="10"/>
      <c r="E13" s="8"/>
      <c r="F13" s="8"/>
      <c r="G13" s="11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x14ac:dyDescent="0.15">
      <c r="A14" s="42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8" t="s">
        <v>37</v>
      </c>
      <c r="C1" s="18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43157</v>
      </c>
      <c r="G8" s="54">
        <f ca="1">F8+I8</f>
        <v>43187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43157</v>
      </c>
      <c r="G9" s="62">
        <f ca="1">G8</f>
        <v>43187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43157</v>
      </c>
      <c r="G10" s="70">
        <f ca="1">G9</f>
        <v>43187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7" t="s">
        <v>38</v>
      </c>
      <c r="C1" s="18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4028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43157</v>
      </c>
      <c r="N8" s="21">
        <f ca="1">M8+O8</f>
        <v>43187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-80.56</v>
      </c>
      <c r="T8" s="25">
        <v>80</v>
      </c>
      <c r="U8" s="24">
        <f>T8/10000*P8*H8</f>
        <v>2.6485479452054794</v>
      </c>
      <c r="V8" s="24">
        <f>IF(S8&lt;=0,ABS(S8)+U8,S8-U8)</f>
        <v>83.208547945205481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43157</v>
      </c>
      <c r="N9" s="8">
        <f ca="1">M9+O9</f>
        <v>43337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9" t="s">
        <v>37</v>
      </c>
      <c r="C1" s="18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4028</v>
      </c>
      <c r="I8" s="19">
        <v>3800</v>
      </c>
      <c r="J8" s="21">
        <f ca="1">TODAY()</f>
        <v>43157</v>
      </c>
      <c r="K8" s="21">
        <f ca="1">J8+L8</f>
        <v>43187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279.98723768996706</v>
      </c>
      <c r="P8" s="25">
        <v>80</v>
      </c>
      <c r="Q8" s="24">
        <f>P8/10000*M8*H8*(-E8)</f>
        <v>2.6485479452054794</v>
      </c>
      <c r="R8" s="24">
        <f>O8+Q8</f>
        <v>282.63578563517257</v>
      </c>
      <c r="S8" s="26">
        <f>R8/H8</f>
        <v>7.0167772004759821E-2</v>
      </c>
      <c r="T8" s="24">
        <f>_xll.dnetGBlackScholesNGreeks("delta",$G8,$H8,$I8,$M8,$C$3,$C$4,$N8,$C$4)</f>
        <v>0.76668908884585107</v>
      </c>
      <c r="U8" s="24">
        <f>_xll.dnetGBlackScholesNGreeks("vega",$G8,$H8,$I8,$M8,$C$3,$C$4,$N8)</f>
        <v>3.5255553202987358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43157</v>
      </c>
      <c r="K9" s="8">
        <f ca="1">J9+L9</f>
        <v>43187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43157</v>
      </c>
      <c r="K10" s="8">
        <f ca="1">J10+L10</f>
        <v>43187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2018-02-26T07:19:13Z</dcterms:modified>
</cp:coreProperties>
</file>