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 activeTab="2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R51" i="1" l="1"/>
  <c r="I51" i="1"/>
  <c r="E51" i="1"/>
  <c r="F51" i="1" s="1"/>
  <c r="K29" i="9"/>
  <c r="K26" i="9"/>
  <c r="L51" i="1"/>
  <c r="N51" i="1" l="1"/>
  <c r="O51" i="1" s="1"/>
  <c r="T51" i="1" s="1"/>
  <c r="R49" i="1"/>
  <c r="I49" i="1"/>
  <c r="E49" i="1"/>
  <c r="F49" i="1" s="1"/>
  <c r="U51" i="1"/>
  <c r="V51" i="1"/>
  <c r="P49" i="1"/>
  <c r="V49" i="1"/>
  <c r="Y51" i="1" l="1"/>
  <c r="N49" i="1"/>
  <c r="U49" i="1"/>
  <c r="L49" i="1"/>
  <c r="O49" i="1" l="1"/>
  <c r="T49" i="1" s="1"/>
  <c r="Y49" i="1"/>
  <c r="R47" i="1" l="1"/>
  <c r="I47" i="1"/>
  <c r="N47" i="1" s="1"/>
  <c r="E47" i="1"/>
  <c r="F47" i="1" s="1"/>
  <c r="R46" i="1"/>
  <c r="I46" i="1"/>
  <c r="N46" i="1" s="1"/>
  <c r="E46" i="1"/>
  <c r="F46" i="1" s="1"/>
  <c r="R45" i="1"/>
  <c r="I45" i="1"/>
  <c r="N45" i="1" s="1"/>
  <c r="E45" i="1"/>
  <c r="F45" i="1" s="1"/>
  <c r="R44" i="1"/>
  <c r="I44" i="1"/>
  <c r="N44" i="1" s="1"/>
  <c r="E44" i="1"/>
  <c r="F44" i="1" s="1"/>
  <c r="R43" i="1"/>
  <c r="I43" i="1"/>
  <c r="N43" i="1" s="1"/>
  <c r="E43" i="1"/>
  <c r="F43" i="1" s="1"/>
  <c r="R42" i="1"/>
  <c r="I42" i="1"/>
  <c r="N42" i="1" s="1"/>
  <c r="E42" i="1"/>
  <c r="F42" i="1" s="1"/>
  <c r="R40" i="1"/>
  <c r="I40" i="1"/>
  <c r="N40" i="1" s="1"/>
  <c r="E40" i="1"/>
  <c r="F40" i="1" s="1"/>
  <c r="R39" i="1"/>
  <c r="I39" i="1"/>
  <c r="N39" i="1" s="1"/>
  <c r="E39" i="1"/>
  <c r="F39" i="1" s="1"/>
  <c r="R38" i="1"/>
  <c r="I38" i="1"/>
  <c r="N38" i="1" s="1"/>
  <c r="E38" i="1"/>
  <c r="F38" i="1" s="1"/>
  <c r="R37" i="1"/>
  <c r="I37" i="1"/>
  <c r="N37" i="1" s="1"/>
  <c r="E37" i="1"/>
  <c r="F37" i="1" s="1"/>
  <c r="V40" i="1"/>
  <c r="L39" i="1"/>
  <c r="V46" i="1"/>
  <c r="U40" i="1"/>
  <c r="L40" i="1"/>
  <c r="L43" i="1"/>
  <c r="L45" i="1"/>
  <c r="L37" i="1"/>
  <c r="V43" i="1"/>
  <c r="L47" i="1"/>
  <c r="V44" i="1"/>
  <c r="L42" i="1"/>
  <c r="U47" i="1"/>
  <c r="L38" i="1"/>
  <c r="O42" i="1" l="1"/>
  <c r="T42" i="1" s="1"/>
  <c r="O45" i="1"/>
  <c r="T45" i="1" s="1"/>
  <c r="O43" i="1"/>
  <c r="T43" i="1" s="1"/>
  <c r="Y47" i="1"/>
  <c r="O47" i="1"/>
  <c r="T47" i="1" s="1"/>
  <c r="O39" i="1"/>
  <c r="T39" i="1" s="1"/>
  <c r="O40" i="1"/>
  <c r="T40" i="1" s="1"/>
  <c r="Y40" i="1"/>
  <c r="O37" i="1"/>
  <c r="T37" i="1" s="1"/>
  <c r="O38" i="1"/>
  <c r="T38" i="1" s="1"/>
  <c r="R35" i="1"/>
  <c r="I35" i="1"/>
  <c r="N35" i="1" s="1"/>
  <c r="E35" i="1"/>
  <c r="F35" i="1" s="1"/>
  <c r="R34" i="1"/>
  <c r="I34" i="1"/>
  <c r="N34" i="1" s="1"/>
  <c r="E34" i="1"/>
  <c r="F34" i="1" s="1"/>
  <c r="R33" i="1"/>
  <c r="I33" i="1"/>
  <c r="N33" i="1" s="1"/>
  <c r="E33" i="1"/>
  <c r="F33" i="1" s="1"/>
  <c r="R32" i="1"/>
  <c r="I32" i="1"/>
  <c r="N32" i="1" s="1"/>
  <c r="E32" i="1"/>
  <c r="F32" i="1" s="1"/>
  <c r="R31" i="1"/>
  <c r="I31" i="1"/>
  <c r="N31" i="1" s="1"/>
  <c r="E31" i="1"/>
  <c r="F31" i="1" s="1"/>
  <c r="R30" i="1"/>
  <c r="I30" i="1"/>
  <c r="N30" i="1" s="1"/>
  <c r="E30" i="1"/>
  <c r="F30" i="1" s="1"/>
  <c r="V47" i="1"/>
  <c r="L46" i="1"/>
  <c r="V42" i="1"/>
  <c r="U44" i="1"/>
  <c r="U43" i="1"/>
  <c r="U45" i="1"/>
  <c r="U38" i="1"/>
  <c r="V45" i="1"/>
  <c r="U39" i="1"/>
  <c r="L44" i="1"/>
  <c r="U33" i="1"/>
  <c r="V38" i="1"/>
  <c r="U46" i="1"/>
  <c r="U42" i="1"/>
  <c r="L31" i="1"/>
  <c r="V37" i="1"/>
  <c r="U37" i="1"/>
  <c r="U31" i="1"/>
  <c r="V31" i="1"/>
  <c r="V30" i="1"/>
  <c r="V39" i="1"/>
  <c r="L30" i="1"/>
  <c r="V33" i="1"/>
  <c r="V35" i="1"/>
  <c r="L32" i="1"/>
  <c r="L34" i="1"/>
  <c r="O44" i="1" l="1"/>
  <c r="T44" i="1" s="1"/>
  <c r="Y44" i="1"/>
  <c r="O46" i="1"/>
  <c r="T46" i="1" s="1"/>
  <c r="Y45" i="1"/>
  <c r="Y42" i="1"/>
  <c r="Y46" i="1"/>
  <c r="Y43" i="1"/>
  <c r="Y39" i="1"/>
  <c r="Y38" i="1"/>
  <c r="Y37" i="1"/>
  <c r="O32" i="1"/>
  <c r="T32" i="1" s="1"/>
  <c r="O34" i="1"/>
  <c r="T34" i="1" s="1"/>
  <c r="Y33" i="1"/>
  <c r="O30" i="1"/>
  <c r="T30" i="1" s="1"/>
  <c r="Y31" i="1"/>
  <c r="O31" i="1"/>
  <c r="T31" i="1" s="1"/>
  <c r="R28" i="1"/>
  <c r="I28" i="1"/>
  <c r="N28" i="1" s="1"/>
  <c r="E28" i="1"/>
  <c r="F28" i="1" s="1"/>
  <c r="L35" i="1"/>
  <c r="U34" i="1"/>
  <c r="U30" i="1"/>
  <c r="U35" i="1"/>
  <c r="U32" i="1"/>
  <c r="V28" i="1"/>
  <c r="V32" i="1"/>
  <c r="V34" i="1"/>
  <c r="L33" i="1"/>
  <c r="O35" i="1" l="1"/>
  <c r="T35" i="1" s="1"/>
  <c r="O33" i="1"/>
  <c r="T33" i="1" s="1"/>
  <c r="Y32" i="1"/>
  <c r="Y30" i="1"/>
  <c r="Y35" i="1"/>
  <c r="Y34" i="1"/>
  <c r="U28" i="1"/>
  <c r="L28" i="1"/>
  <c r="Y28" i="1" l="1"/>
  <c r="O28" i="1"/>
  <c r="T28" i="1" s="1"/>
  <c r="R25" i="1"/>
  <c r="I25" i="1"/>
  <c r="E25" i="1"/>
  <c r="F25" i="1" s="1"/>
  <c r="V25" i="1"/>
  <c r="N25" i="1" l="1"/>
  <c r="R23" i="1"/>
  <c r="I23" i="1"/>
  <c r="E23" i="1"/>
  <c r="F23" i="1" s="1"/>
  <c r="R22" i="1"/>
  <c r="I22" i="1"/>
  <c r="E22" i="1"/>
  <c r="F22" i="1" s="1"/>
  <c r="L25" i="1"/>
  <c r="U25" i="1"/>
  <c r="P23" i="1"/>
  <c r="P22" i="1"/>
  <c r="V23" i="1"/>
  <c r="Y25" i="1" l="1"/>
  <c r="O25" i="1"/>
  <c r="T25" i="1" s="1"/>
  <c r="N23" i="1"/>
  <c r="N22" i="1"/>
  <c r="U22" i="1"/>
  <c r="L23" i="1"/>
  <c r="L22" i="1"/>
  <c r="V22" i="1"/>
  <c r="U23" i="1"/>
  <c r="O23" i="1" l="1"/>
  <c r="T23" i="1" s="1"/>
  <c r="O22" i="1"/>
  <c r="T22" i="1" s="1"/>
  <c r="R20" i="1" l="1"/>
  <c r="I20" i="1"/>
  <c r="E20" i="1"/>
  <c r="F20" i="1" s="1"/>
  <c r="R19" i="1"/>
  <c r="I19" i="1"/>
  <c r="E19" i="1"/>
  <c r="F19" i="1" s="1"/>
  <c r="P19" i="1"/>
  <c r="P20" i="1"/>
  <c r="N20" i="1" l="1"/>
  <c r="N19" i="1"/>
  <c r="P84" i="2"/>
  <c r="N83" i="2"/>
  <c r="I83" i="2"/>
  <c r="N81" i="2"/>
  <c r="I81" i="2"/>
  <c r="Q72" i="2"/>
  <c r="N69" i="2"/>
  <c r="I69" i="2"/>
  <c r="N67" i="2"/>
  <c r="U20" i="1"/>
  <c r="U19" i="1"/>
  <c r="V20" i="1"/>
  <c r="L19" i="1"/>
  <c r="V19" i="1"/>
  <c r="L20" i="1"/>
  <c r="O20" i="1" l="1"/>
  <c r="T20" i="1" s="1"/>
  <c r="O19" i="1"/>
  <c r="T19" i="1" s="1"/>
  <c r="Y19" i="1"/>
  <c r="R17" i="1"/>
  <c r="I17" i="1"/>
  <c r="N17" i="1" s="1"/>
  <c r="E17" i="1"/>
  <c r="F17" i="1" s="1"/>
  <c r="R16" i="1"/>
  <c r="I16" i="1"/>
  <c r="E16" i="1"/>
  <c r="F16" i="1" s="1"/>
  <c r="R15" i="1"/>
  <c r="I15" i="1"/>
  <c r="E15" i="1"/>
  <c r="F15" i="1" s="1"/>
  <c r="R14" i="1"/>
  <c r="I14" i="1"/>
  <c r="E14" i="1"/>
  <c r="F14" i="1" s="1"/>
  <c r="R13" i="1"/>
  <c r="I13" i="1"/>
  <c r="E13" i="1"/>
  <c r="F13" i="1" s="1"/>
  <c r="P13" i="1"/>
  <c r="P15" i="1"/>
  <c r="P16" i="1"/>
  <c r="P14" i="1"/>
  <c r="L17" i="1"/>
  <c r="L13" i="1"/>
  <c r="O17" i="1" l="1"/>
  <c r="T17" i="1" s="1"/>
  <c r="N14" i="1"/>
  <c r="N16" i="1"/>
  <c r="N15" i="1"/>
  <c r="N13" i="1"/>
  <c r="O13" i="1" s="1"/>
  <c r="T13" i="1" s="1"/>
  <c r="U15" i="1"/>
  <c r="V13" i="1"/>
  <c r="V15" i="1"/>
  <c r="U17" i="1"/>
  <c r="V14" i="1"/>
  <c r="L14" i="1"/>
  <c r="U16" i="1"/>
  <c r="L16" i="1"/>
  <c r="U13" i="1"/>
  <c r="V17" i="1"/>
  <c r="V16" i="1"/>
  <c r="L15" i="1"/>
  <c r="U14" i="1"/>
  <c r="O16" i="1" l="1"/>
  <c r="T16" i="1" s="1"/>
  <c r="Y14" i="1"/>
  <c r="Y16" i="1"/>
  <c r="O15" i="1"/>
  <c r="T15" i="1" s="1"/>
  <c r="O14" i="1"/>
  <c r="T14" i="1" s="1"/>
  <c r="Y17" i="1"/>
  <c r="Y15" i="1"/>
  <c r="Y13" i="1"/>
  <c r="H9" i="1" l="1"/>
  <c r="I67" i="2" l="1"/>
  <c r="S55" i="2" l="1"/>
  <c r="S53" i="2"/>
  <c r="N55" i="2" l="1"/>
  <c r="N53" i="2"/>
  <c r="I53" i="2" l="1"/>
  <c r="D55" i="2" l="1"/>
  <c r="D28" i="9" l="1"/>
  <c r="D22" i="9"/>
  <c r="D23" i="9" s="1"/>
  <c r="D19" i="9"/>
  <c r="D20" i="9" s="1"/>
  <c r="G31" i="9"/>
  <c r="R30" i="9"/>
  <c r="J30" i="9"/>
  <c r="R29" i="9"/>
  <c r="I29" i="9"/>
  <c r="E29" i="9"/>
  <c r="F29" i="9" s="1"/>
  <c r="F30" i="9" s="1"/>
  <c r="F31" i="9" s="1"/>
  <c r="R27" i="9"/>
  <c r="J27" i="9"/>
  <c r="I27" i="9"/>
  <c r="I28" i="9" s="1"/>
  <c r="R26" i="9"/>
  <c r="I26" i="9"/>
  <c r="E26" i="9"/>
  <c r="E27" i="9" s="1"/>
  <c r="E28" i="9" s="1"/>
  <c r="P29" i="9"/>
  <c r="P26" i="9"/>
  <c r="E30" i="9" l="1"/>
  <c r="E31" i="9" s="1"/>
  <c r="P30" i="9"/>
  <c r="P27" i="9"/>
  <c r="F26" i="9"/>
  <c r="F27" i="9" s="1"/>
  <c r="F28" i="9" s="1"/>
  <c r="I30" i="9"/>
  <c r="I31" i="9" s="1"/>
  <c r="L27" i="9"/>
  <c r="V27" i="9"/>
  <c r="L30" i="9"/>
  <c r="V30" i="9"/>
  <c r="V26" i="9"/>
  <c r="U30" i="9"/>
  <c r="U27" i="9"/>
  <c r="U26" i="9"/>
  <c r="L29" i="9"/>
  <c r="U29" i="9"/>
  <c r="L26" i="9"/>
  <c r="V29" i="9"/>
  <c r="O29" i="9" l="1"/>
  <c r="O26" i="9"/>
  <c r="U31" i="9"/>
  <c r="U28" i="9"/>
  <c r="V28" i="9"/>
  <c r="L28" i="9"/>
  <c r="O27" i="9"/>
  <c r="L31" i="9"/>
  <c r="O30" i="9"/>
  <c r="V31" i="9"/>
  <c r="G28" i="9"/>
  <c r="P28" i="9"/>
  <c r="N28" i="9" s="1"/>
  <c r="P31" i="9"/>
  <c r="N31" i="9" s="1"/>
  <c r="O28" i="9" l="1"/>
  <c r="T28" i="9" s="1"/>
  <c r="O31" i="9"/>
  <c r="T31" i="9" s="1"/>
  <c r="D53" i="2" l="1"/>
  <c r="I42" i="2"/>
  <c r="D42" i="2"/>
  <c r="D40" i="2" l="1"/>
  <c r="F44" i="2"/>
  <c r="R8" i="1" l="1"/>
  <c r="I8" i="1"/>
  <c r="E8" i="1"/>
  <c r="F8" i="1" s="1"/>
  <c r="P8" i="1"/>
  <c r="N8" i="1" l="1"/>
  <c r="L8" i="1"/>
  <c r="U8" i="1"/>
  <c r="V8" i="1"/>
  <c r="O8" i="1" l="1"/>
  <c r="T8" i="1" s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18" i="9"/>
  <c r="P21" i="9"/>
  <c r="E22" i="9" l="1"/>
  <c r="E23" i="9" s="1"/>
  <c r="P22" i="9"/>
  <c r="I22" i="9"/>
  <c r="I23" i="9" s="1"/>
  <c r="I19" i="9"/>
  <c r="I20" i="9" s="1"/>
  <c r="E19" i="9"/>
  <c r="E20" i="9" s="1"/>
  <c r="P19" i="9"/>
  <c r="L22" i="9"/>
  <c r="U21" i="9"/>
  <c r="U19" i="9"/>
  <c r="L18" i="9"/>
  <c r="V22" i="9"/>
  <c r="L21" i="9"/>
  <c r="U18" i="9"/>
  <c r="V21" i="9"/>
  <c r="V18" i="9"/>
  <c r="L19" i="9"/>
  <c r="V19" i="9"/>
  <c r="U22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P14" i="9"/>
  <c r="K14" i="8"/>
  <c r="K15" i="8"/>
  <c r="K11" i="8"/>
  <c r="K12" i="8"/>
  <c r="K13" i="8"/>
  <c r="K16" i="8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X16" i="8"/>
  <c r="Y11" i="8"/>
  <c r="S13" i="8"/>
  <c r="Y13" i="8"/>
  <c r="X14" i="8"/>
  <c r="X11" i="8"/>
  <c r="Y15" i="8"/>
  <c r="S11" i="8"/>
  <c r="X12" i="8"/>
  <c r="X15" i="8"/>
  <c r="U14" i="9"/>
  <c r="S15" i="8"/>
  <c r="Y12" i="8"/>
  <c r="X13" i="8"/>
  <c r="V14" i="9"/>
  <c r="Y14" i="8"/>
  <c r="S12" i="8"/>
  <c r="S14" i="8"/>
  <c r="Y16" i="8"/>
  <c r="L14" i="9"/>
  <c r="S16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L15" i="9"/>
  <c r="V15" i="9"/>
  <c r="U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N9" i="1" l="1"/>
  <c r="U9" i="1"/>
  <c r="L9" i="1"/>
  <c r="V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U8" i="9"/>
  <c r="L8" i="9"/>
  <c r="L9" i="9"/>
  <c r="V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10" i="7"/>
  <c r="U9" i="7"/>
  <c r="K9" i="8"/>
  <c r="T9" i="7"/>
  <c r="O10" i="7"/>
  <c r="O9" i="7"/>
  <c r="T10" i="7"/>
  <c r="H8" i="8"/>
  <c r="H8" i="7"/>
  <c r="U8" i="8" l="1"/>
  <c r="Q9" i="7"/>
  <c r="R9" i="7" s="1"/>
  <c r="S9" i="7" s="1"/>
  <c r="Q10" i="7"/>
  <c r="R10" i="7" s="1"/>
  <c r="S10" i="7" s="1"/>
  <c r="Q8" i="7"/>
  <c r="K8" i="8"/>
  <c r="O8" i="7"/>
  <c r="X9" i="8"/>
  <c r="Y9" i="8"/>
  <c r="T8" i="7"/>
  <c r="S9" i="8"/>
  <c r="U8" i="7"/>
  <c r="V9" i="8" l="1"/>
  <c r="W9" i="8" s="1"/>
  <c r="R8" i="7"/>
  <c r="S8" i="7" s="1"/>
  <c r="X8" i="8"/>
  <c r="Y8" i="8"/>
  <c r="S8" i="8"/>
  <c r="V8" i="8" l="1"/>
  <c r="W8" i="8" s="1"/>
  <c r="G12" i="9" l="1"/>
  <c r="G13" i="9" s="1"/>
  <c r="V12" i="9"/>
  <c r="L11" i="9"/>
  <c r="U11" i="9"/>
  <c r="L12" i="9"/>
  <c r="U12" i="9"/>
  <c r="V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<sst xmlns="http://schemas.openxmlformats.org/spreadsheetml/2006/main" count="1286" uniqueCount="270">
  <si>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</si>
  <si>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</si>
  <si>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</si>
  <si>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</si>
  <si>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</si>
  <si>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</si>
  <si>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</si>
  <si>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</si>
  <si>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</si>
  <si>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</si>
  <si>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</si>
  <si>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</si>
  <si>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</si>
  <si>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</si>
  <si>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</si>
  <si>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</si>
  <si>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</si>
  <si>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</si>
  <si>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</si>
  <si>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</si>
  <si>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</si>
  <si>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</si>
  <si>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</si>
  <si>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</si>
  <si>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</si>
  <si>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</si>
  <si>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</si>
  <si>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</si>
  <si>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</si>
  <si>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</si>
  <si>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</si>
  <si>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</si>
  <si>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</si>
  <si>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</si>
  <si>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</si>
  <si>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</si>
  <si>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</si>
  <si>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</si>
  <si>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</si>
  <si>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</si>
  <si>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</si>
  <si>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</si>
  <si>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</si>
  <si>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</si>
  <si>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</si>
  <si>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</si>
  <si>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</si>
  <si>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</si>
  <si>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</si>
  <si>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</si>
  <si>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</si>
  <si>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</si>
  <si>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</si>
  <si>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</si>
  <si>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</si>
  <si>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</si>
  <si>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</si>
  <si>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</si>
  <si>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</si>
  <si>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</si>
  <si>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</si>
  <si>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</si>
  <si>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</si>
  <si>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</si>
  <si>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</si>
  <si>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</si>
  <si>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</si>
  <si>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</si>
  <si>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</si>
  <si>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</si>
  <si>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</si>
  <si>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</si>
  <si>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</si>
  <si>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</si>
  <si>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</si>
  <si>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</si>
  <si>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</si>
  <si>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</si>
  <si>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</si>
  <si>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</si>
  <si>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</si>
  <si>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</si>
  <si>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</si>
  <si>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</si>
  <si>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</si>
  <si>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</si>
  <si>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</si>
  <si>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</si>
  <si>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</si>
  <si>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</si>
  <si>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</si>
  <si>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</si>
  <si>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</si>
  <si>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</si>
  <si>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</si>
  <si>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</si>
  <si>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</si>
  <si>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</si>
  <si>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</si>
  <si>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</si>
  <si>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</si>
  <si>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</si>
  <si>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</si>
  <si>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</si>
  <si>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</si>
  <si>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</si>
  <si>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</si>
  <si>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</si>
  <si>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</si>
  <si>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</si>
  <si>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</si>
  <si>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</si>
  <si>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</si>
  <si>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</si>
  <si>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</si>
  <si>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</si>
  <si>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</si>
  <si>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</si>
  <si>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</si>
  <si>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</si>
  <si>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</si>
  <si>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</si>
  <si>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</si>
  <si>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</si>
  <si>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</si>
  <si>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</si>
  <si>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</si>
  <si>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</si>
  <si>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</si>
  <si>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</si>
  <si>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</si>
  <si>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</si>
  <si>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</si>
  <si>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</si>
  <si>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</si>
  <si>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</si>
  <si>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</si>
  <si>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</si>
  <si>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</si>
  <si>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</si>
  <si>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</si>
  <si>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</si>
  <si>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</si>
  <si>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</si>
  <si>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</si>
  <si>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</si>
  <si>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</si>
  <si>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</si>
  <si>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</si>
  <si>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</si>
  <si>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</si>
  <si>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</si>
  <si>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</si>
  <si>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</si>
  <si>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</si>
  <si>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</si>
  <si>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</si>
  <si>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</si>
  <si>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</si>
  <si>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</si>
  <si>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</si>
  <si>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</si>
  <si>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</si>
  <si>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</si>
  <si>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</si>
  <si>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</si>
  <si>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</si>
  <si>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</si>
  <si>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</si>
  <si>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</si>
  <si>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</si>
  <si>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</si>
  <si>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</si>
  <si>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</si>
  <si>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</si>
  <si>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</si>
  <si>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</si>
  <si>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</si>
  <si>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</si>
  <si>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</si>
  <si>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</si>
  <si>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</si>
  <si>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</si>
  <si>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</si>
  <si>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</si>
  <si>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</si>
  <si>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</si>
  <si>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</si>
  <si>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</si>
  <si>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</si>
  <si>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</si>
  <si>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</si>
  <si>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LME20180122-CICC-MRJH-NI-SWP-4</t>
    <phoneticPr fontId="19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</si>
  <si>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</si>
  <si>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</si>
  <si>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</si>
  <si>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</si>
  <si>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</si>
  <si>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</si>
  <si>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</si>
  <si>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</si>
  <si>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</si>
  <si>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</si>
  <si>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</si>
  <si>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</si>
  <si>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</si>
  <si>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</si>
  <si>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</si>
  <si>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</si>
  <si>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</si>
  <si>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</si>
  <si>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</si>
  <si>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</si>
  <si>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</si>
  <si>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</si>
  <si>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</si>
  <si>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</si>
  <si>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</si>
  <si>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</si>
  <si>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</si>
  <si>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</si>
  <si>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</si>
  <si>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中金公司</t>
    <phoneticPr fontId="2" type="noConversion"/>
  </si>
  <si>
    <t>看涨期权</t>
    <phoneticPr fontId="2" type="noConversion"/>
  </si>
  <si>
    <t>RMB</t>
    <phoneticPr fontId="2" type="noConversion"/>
  </si>
  <si>
    <t>j1809</t>
  </si>
  <si>
    <t>成交回报 l</t>
    <phoneticPr fontId="2" type="noConversion"/>
  </si>
  <si>
    <t>成交回报 2</t>
    <phoneticPr fontId="2" type="noConversion"/>
  </si>
  <si>
    <t>m1809</t>
    <phoneticPr fontId="2" type="noConversion"/>
  </si>
  <si>
    <t>al1808</t>
  </si>
  <si>
    <t>cu1808</t>
  </si>
  <si>
    <t>al1809</t>
    <phoneticPr fontId="2" type="noConversion"/>
  </si>
  <si>
    <t>中天科技</t>
    <phoneticPr fontId="2" type="noConversion"/>
  </si>
  <si>
    <t>al1808</t>
    <phoneticPr fontId="2" type="noConversion"/>
  </si>
  <si>
    <t>成交回报3</t>
    <phoneticPr fontId="2" type="noConversion"/>
  </si>
  <si>
    <t>al1809</t>
  </si>
  <si>
    <t>al1809</t>
    <phoneticPr fontId="2" type="noConversion"/>
  </si>
  <si>
    <t>华泰长城</t>
    <phoneticPr fontId="2" type="noConversion"/>
  </si>
  <si>
    <t>看涨期权</t>
    <phoneticPr fontId="2" type="noConversion"/>
  </si>
  <si>
    <t>成交回报-跨式leg1</t>
    <phoneticPr fontId="2" type="noConversion"/>
  </si>
  <si>
    <t>成交回报-跨式leg2</t>
    <phoneticPr fontId="2" type="noConversion"/>
  </si>
  <si>
    <t>al1810</t>
  </si>
  <si>
    <t>i1809</t>
  </si>
  <si>
    <t>i1809</t>
    <phoneticPr fontId="2" type="noConversion"/>
  </si>
  <si>
    <t>ap810</t>
  </si>
  <si>
    <t>ap810</t>
    <phoneticPr fontId="2" type="noConversion"/>
  </si>
  <si>
    <t>cu1808</t>
    <phoneticPr fontId="2" type="noConversion"/>
  </si>
  <si>
    <t>i1905</t>
    <phoneticPr fontId="2" type="noConversion"/>
  </si>
  <si>
    <t>c</t>
    <phoneticPr fontId="2" type="noConversion"/>
  </si>
  <si>
    <t>cf901</t>
    <phoneticPr fontId="2" type="noConversion"/>
  </si>
  <si>
    <t>y</t>
    <phoneticPr fontId="2" type="noConversion"/>
  </si>
  <si>
    <t>m</t>
    <phoneticPr fontId="2" type="noConversion"/>
  </si>
  <si>
    <t>rm</t>
    <phoneticPr fontId="2" type="noConversion"/>
  </si>
  <si>
    <t>oi</t>
  </si>
  <si>
    <t>oi</t>
    <phoneticPr fontId="2" type="noConversion"/>
  </si>
  <si>
    <t>c1901</t>
    <phoneticPr fontId="2" type="noConversion"/>
  </si>
  <si>
    <t>c</t>
    <phoneticPr fontId="2" type="noConversion"/>
  </si>
  <si>
    <t>rb</t>
    <phoneticPr fontId="2" type="noConversion"/>
  </si>
  <si>
    <t>hc</t>
    <phoneticPr fontId="2" type="noConversion"/>
  </si>
  <si>
    <t>bu1812</t>
  </si>
  <si>
    <t>bu1812</t>
    <phoneticPr fontId="2" type="noConversion"/>
  </si>
  <si>
    <t>p1809</t>
  </si>
  <si>
    <t>p1809</t>
    <phoneticPr fontId="2" type="noConversion"/>
  </si>
  <si>
    <t>p1809</t>
    <phoneticPr fontId="2" type="noConversion"/>
  </si>
  <si>
    <t>4800|4990</t>
  </si>
  <si>
    <t>4700|4990</t>
  </si>
  <si>
    <t>rr</t>
    <phoneticPr fontId="2" type="noConversion"/>
  </si>
  <si>
    <t>c1901</t>
  </si>
  <si>
    <t>c1901</t>
    <phoneticPr fontId="2" type="noConversion"/>
  </si>
  <si>
    <t>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</si>
</sst>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#,##0_ 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/>
    <xf numFmtId="9" fontId="35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10" fontId="6" fillId="6" borderId="0" xfId="0" applyNumberFormat="1" applyFont="1" applyFill="1"/>
    <xf numFmtId="181" fontId="13" fillId="9" borderId="6" xfId="0" applyNumberFormat="1" applyFont="1" applyFill="1" applyBorder="1"/>
    <xf numFmtId="181" fontId="13" fillId="9" borderId="2" xfId="0" applyNumberFormat="1" applyFont="1" applyFill="1" applyBorder="1"/>
    <xf numFmtId="2" fontId="6" fillId="6" borderId="0" xfId="0" applyNumberFormat="1" applyFont="1" applyFill="1"/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0" fontId="32" fillId="10" borderId="16" xfId="0" applyFont="1" applyFill="1" applyBorder="1" applyAlignment="1">
      <alignment horizontal="left" vertical="center"/>
    </xf>
    <xf numFmtId="0" fontId="26" fillId="10" borderId="1" xfId="0" applyFont="1" applyFill="1" applyBorder="1" applyAlignment="1">
      <alignment horizont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5" fillId="6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5">
    <cellStyle name="百分比" xfId="1" builtinId="5"/>
    <cellStyle name="百分比 2" xfId="4"/>
    <cellStyle name="常规" xfId="0" builtinId="0"/>
    <cellStyle name="常规 2" xfId="3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4976</v>
        <stp/>
        <stp>p1809</stp>
        <stp>LastPrice</stp>
        <tr r="P26" s="9"/>
        <tr r="P29" s="9"/>
      </tp>
      <tp>
        <v>3192</v>
        <stp/>
        <stp>bu1812</stp>
        <stp>LastPrice</stp>
        <tr r="P49" s="1"/>
      </tp>
      <tp>
        <v>14985</v>
        <stp/>
        <stp>al1809</stp>
        <stp>LastPrice</stp>
        <tr r="P16" s="1"/>
        <tr r="P15" s="1"/>
      </tp>
      <tp>
        <v>14910</v>
        <stp/>
        <stp>al1808</stp>
        <stp>LastPrice</stp>
        <tr r="P8" s="1"/>
        <tr r="P14" s="1"/>
        <tr r="P13" s="1"/>
      </tp>
      <tp>
        <v>467</v>
        <stp/>
        <stp>i1809</stp>
        <stp>LastPrice</stp>
        <tr r="P11" s="9"/>
        <tr r="P20" s="1"/>
        <tr r="P19" s="1"/>
      </tp>
      <tp>
        <v>8657</v>
        <stp/>
        <stp>ap810</stp>
        <stp>LastPrice</stp>
        <tr r="P22" s="1"/>
        <tr r="P23" s="1"/>
      </tp>
      <tp>
        <v>2893</v>
        <stp/>
        <stp>m1809</stp>
        <stp>LastPrice</stp>
        <tr r="P21" s="9"/>
        <tr r="P18" s="9"/>
      </tp>
      <tp>
        <v>3806</v>
        <stp/>
        <stp>rb1810</stp>
        <stp>LastPrice</stp>
        <tr r="P14" s="9"/>
      </tp>
      <tp t="e">
        <v>#N/A</v>
        <stp/>
        <stp>RB1805</stp>
        <stp>LastPrice</stp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J52"/>
  <sheetViews>
    <sheetView topLeftCell="A19" zoomScaleNormal="100" workbookViewId="0">
      <selection activeCell="P62" sqref="P62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21" width="9" style="6"/>
    <col min="22" max="22" width="13" style="6" bestFit="1" customWidth="1"/>
    <col min="23" max="16384" width="9" style="6"/>
  </cols>
  <sheetData>
    <row r="1" spans="2:18" ht="14.25" customHeight="1" thickBot="1" x14ac:dyDescent="0.2">
      <c r="B1" s="121" t="s">
        <v>158</v>
      </c>
      <c r="C1" s="121"/>
      <c r="D1" s="121"/>
    </row>
    <row r="2" spans="2:18" ht="12" thickTop="1" x14ac:dyDescent="0.15"/>
    <row r="3" spans="2:18" ht="13.5" x14ac:dyDescent="0.15">
      <c r="I3" s="112" t="s">
        <v>200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229</v>
      </c>
      <c r="D9" s="93">
        <v>43250</v>
      </c>
      <c r="E9" s="93">
        <v>43294</v>
      </c>
      <c r="F9" s="92">
        <v>14500</v>
      </c>
      <c r="G9" s="92">
        <v>44</v>
      </c>
      <c r="H9" s="92">
        <v>0.12054794520547946</v>
      </c>
      <c r="I9" s="92">
        <v>0</v>
      </c>
      <c r="J9" s="92">
        <v>0.13</v>
      </c>
      <c r="K9" s="92">
        <v>148.1957993354099</v>
      </c>
      <c r="L9" s="92">
        <v>30</v>
      </c>
      <c r="M9" s="92">
        <v>5.3432876712328774</v>
      </c>
      <c r="N9" s="99">
        <v>142.85251166417703</v>
      </c>
      <c r="O9" s="92">
        <v>14775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235</v>
      </c>
      <c r="D10" s="93">
        <v>43250</v>
      </c>
      <c r="E10" s="93">
        <v>43325</v>
      </c>
      <c r="F10" s="92">
        <v>14500</v>
      </c>
      <c r="G10" s="92">
        <v>75</v>
      </c>
      <c r="H10" s="92">
        <v>0.20547945205479451</v>
      </c>
      <c r="I10" s="92">
        <v>0</v>
      </c>
      <c r="J10" s="92">
        <v>0.13</v>
      </c>
      <c r="K10" s="92">
        <v>197.0015228979737</v>
      </c>
      <c r="L10" s="92">
        <v>30</v>
      </c>
      <c r="M10" s="92">
        <v>9.1541095890410951</v>
      </c>
      <c r="N10" s="99">
        <v>187.8474133089326</v>
      </c>
      <c r="O10" s="92">
        <v>14850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241</v>
      </c>
      <c r="D11" s="93">
        <v>43250</v>
      </c>
      <c r="E11" s="93">
        <v>43356</v>
      </c>
      <c r="F11" s="92">
        <v>14500</v>
      </c>
      <c r="G11" s="92">
        <v>106</v>
      </c>
      <c r="H11" s="92">
        <v>0.29041095890410956</v>
      </c>
      <c r="I11" s="92">
        <v>0</v>
      </c>
      <c r="J11" s="92">
        <v>0.13</v>
      </c>
      <c r="K11" s="92">
        <v>231.7094428625951</v>
      </c>
      <c r="L11" s="92">
        <v>30</v>
      </c>
      <c r="M11" s="92">
        <v>13.003150684931507</v>
      </c>
      <c r="N11" s="99">
        <v>218.70629217766358</v>
      </c>
      <c r="O11" s="92">
        <v>14925</v>
      </c>
      <c r="P11" s="92" t="s">
        <v>85</v>
      </c>
      <c r="Q11" s="92">
        <v>1</v>
      </c>
      <c r="R11" s="92" t="s">
        <v>151</v>
      </c>
    </row>
    <row r="12" spans="2:18" x14ac:dyDescent="0.15">
      <c r="B12" s="91" t="s">
        <v>2</v>
      </c>
      <c r="C12" s="33" t="s">
        <v>181</v>
      </c>
      <c r="D12" s="33" t="s">
        <v>180</v>
      </c>
      <c r="E12" s="33" t="s">
        <v>10</v>
      </c>
      <c r="F12" s="33" t="s">
        <v>184</v>
      </c>
      <c r="G12" s="33" t="s">
        <v>11</v>
      </c>
      <c r="H12" s="33" t="s">
        <v>12</v>
      </c>
      <c r="I12" s="33" t="s">
        <v>47</v>
      </c>
      <c r="J12" s="33" t="s">
        <v>13</v>
      </c>
      <c r="K12" s="33" t="s">
        <v>14</v>
      </c>
      <c r="L12" s="33" t="s">
        <v>26</v>
      </c>
      <c r="M12" s="33" t="s">
        <v>28</v>
      </c>
      <c r="N12" s="33" t="s">
        <v>182</v>
      </c>
      <c r="O12" s="33" t="s">
        <v>8</v>
      </c>
      <c r="P12" s="33" t="s">
        <v>23</v>
      </c>
      <c r="Q12" s="33"/>
      <c r="R12" s="33" t="s">
        <v>30</v>
      </c>
    </row>
    <row r="13" spans="2:18" x14ac:dyDescent="0.15">
      <c r="B13" s="92" t="s">
        <v>160</v>
      </c>
      <c r="C13" s="92" t="s">
        <v>230</v>
      </c>
      <c r="D13" s="93">
        <v>43250</v>
      </c>
      <c r="E13" s="93">
        <v>43280</v>
      </c>
      <c r="F13" s="92">
        <v>49500</v>
      </c>
      <c r="G13" s="92">
        <v>30</v>
      </c>
      <c r="H13" s="92">
        <v>8.2191780821917804E-2</v>
      </c>
      <c r="I13" s="92">
        <v>0</v>
      </c>
      <c r="J13" s="92">
        <v>0.12</v>
      </c>
      <c r="K13" s="92">
        <v>171.01217245503904</v>
      </c>
      <c r="L13" s="92">
        <v>30</v>
      </c>
      <c r="M13" s="92">
        <v>12.592602739726027</v>
      </c>
      <c r="N13" s="99">
        <v>158.419569715313</v>
      </c>
      <c r="O13" s="92">
        <v>51070</v>
      </c>
      <c r="P13" s="92" t="s">
        <v>85</v>
      </c>
      <c r="Q13" s="92">
        <v>1</v>
      </c>
      <c r="R13" s="92" t="s">
        <v>151</v>
      </c>
    </row>
    <row r="14" spans="2:18" x14ac:dyDescent="0.15">
      <c r="B14" s="91" t="s">
        <v>2</v>
      </c>
      <c r="C14" s="33" t="s">
        <v>181</v>
      </c>
      <c r="D14" s="33" t="s">
        <v>180</v>
      </c>
      <c r="E14" s="33" t="s">
        <v>10</v>
      </c>
      <c r="F14" s="33" t="s">
        <v>184</v>
      </c>
      <c r="G14" s="33" t="s">
        <v>11</v>
      </c>
      <c r="H14" s="33" t="s">
        <v>12</v>
      </c>
      <c r="I14" s="33" t="s">
        <v>47</v>
      </c>
      <c r="J14" s="33" t="s">
        <v>13</v>
      </c>
      <c r="K14" s="33" t="s">
        <v>14</v>
      </c>
      <c r="L14" s="33" t="s">
        <v>26</v>
      </c>
      <c r="M14" s="33" t="s">
        <v>28</v>
      </c>
      <c r="N14" s="33" t="s">
        <v>182</v>
      </c>
      <c r="O14" s="33" t="s">
        <v>8</v>
      </c>
      <c r="P14" s="33" t="s">
        <v>23</v>
      </c>
      <c r="Q14" s="33"/>
      <c r="R14" s="33" t="s">
        <v>30</v>
      </c>
    </row>
    <row r="15" spans="2:18" x14ac:dyDescent="0.15">
      <c r="B15" s="92" t="s">
        <v>160</v>
      </c>
      <c r="C15" s="92" t="s">
        <v>229</v>
      </c>
      <c r="D15" s="93">
        <v>43251</v>
      </c>
      <c r="E15" s="93">
        <v>43294</v>
      </c>
      <c r="F15" s="92">
        <v>14500</v>
      </c>
      <c r="G15" s="92">
        <v>43</v>
      </c>
      <c r="H15" s="92">
        <v>0.11780821917808219</v>
      </c>
      <c r="I15" s="92">
        <v>0</v>
      </c>
      <c r="J15" s="92">
        <v>0.13</v>
      </c>
      <c r="K15" s="92">
        <v>175.34549282843636</v>
      </c>
      <c r="L15" s="92">
        <v>30</v>
      </c>
      <c r="M15" s="92">
        <v>5.1918082191780819</v>
      </c>
      <c r="N15" s="99">
        <v>170.15368460925828</v>
      </c>
      <c r="O15" s="92">
        <v>14690</v>
      </c>
      <c r="P15" s="92" t="s">
        <v>85</v>
      </c>
      <c r="Q15" s="92">
        <v>1</v>
      </c>
      <c r="R15" s="92" t="s">
        <v>151</v>
      </c>
    </row>
    <row r="16" spans="2:18" x14ac:dyDescent="0.15">
      <c r="B16" s="92" t="s">
        <v>160</v>
      </c>
      <c r="C16" s="92" t="s">
        <v>235</v>
      </c>
      <c r="D16" s="93">
        <v>43251</v>
      </c>
      <c r="E16" s="93">
        <v>43325</v>
      </c>
      <c r="F16" s="92">
        <v>14500</v>
      </c>
      <c r="G16" s="92">
        <v>74</v>
      </c>
      <c r="H16" s="92">
        <v>0.20273972602739726</v>
      </c>
      <c r="I16" s="92">
        <v>0</v>
      </c>
      <c r="J16" s="92">
        <v>0.13</v>
      </c>
      <c r="K16" s="92">
        <v>224.45519980339668</v>
      </c>
      <c r="L16" s="92">
        <v>30</v>
      </c>
      <c r="M16" s="92">
        <v>8.9803561643835614</v>
      </c>
      <c r="N16" s="99">
        <v>215.47484363901313</v>
      </c>
      <c r="O16" s="92">
        <v>14765</v>
      </c>
      <c r="P16" s="92" t="s">
        <v>85</v>
      </c>
      <c r="Q16" s="92">
        <v>1</v>
      </c>
      <c r="R16" s="92" t="s">
        <v>151</v>
      </c>
    </row>
    <row r="17" spans="2:36" x14ac:dyDescent="0.15">
      <c r="B17" s="92" t="s">
        <v>160</v>
      </c>
      <c r="C17" s="92" t="s">
        <v>241</v>
      </c>
      <c r="D17" s="93">
        <v>43251</v>
      </c>
      <c r="E17" s="93">
        <v>43294</v>
      </c>
      <c r="F17" s="92">
        <v>14500</v>
      </c>
      <c r="G17" s="92">
        <v>43</v>
      </c>
      <c r="H17" s="92">
        <v>0.11780821917808219</v>
      </c>
      <c r="I17" s="92">
        <v>0</v>
      </c>
      <c r="J17" s="92">
        <v>0.13</v>
      </c>
      <c r="K17" s="92">
        <v>126.74305290502434</v>
      </c>
      <c r="L17" s="92">
        <v>30</v>
      </c>
      <c r="M17" s="92">
        <v>5.2430547945205479</v>
      </c>
      <c r="N17" s="99">
        <v>121.4999981105038</v>
      </c>
      <c r="O17" s="92">
        <v>14835</v>
      </c>
      <c r="P17" s="92" t="s">
        <v>85</v>
      </c>
      <c r="Q17" s="92">
        <v>1</v>
      </c>
      <c r="R17" s="92" t="s">
        <v>151</v>
      </c>
    </row>
    <row r="18" spans="2:36" x14ac:dyDescent="0.15">
      <c r="B18" s="91" t="s">
        <v>2</v>
      </c>
      <c r="C18" s="33" t="s">
        <v>181</v>
      </c>
      <c r="D18" s="33" t="s">
        <v>180</v>
      </c>
      <c r="E18" s="33" t="s">
        <v>10</v>
      </c>
      <c r="F18" s="33" t="s">
        <v>184</v>
      </c>
      <c r="G18" s="33" t="s">
        <v>11</v>
      </c>
      <c r="H18" s="33" t="s">
        <v>12</v>
      </c>
      <c r="I18" s="33" t="s">
        <v>47</v>
      </c>
      <c r="J18" s="33" t="s">
        <v>13</v>
      </c>
      <c r="K18" s="33" t="s">
        <v>14</v>
      </c>
      <c r="L18" s="33" t="s">
        <v>26</v>
      </c>
      <c r="M18" s="33" t="s">
        <v>28</v>
      </c>
      <c r="N18" s="33" t="s">
        <v>182</v>
      </c>
      <c r="O18" s="33" t="s">
        <v>8</v>
      </c>
      <c r="P18" s="33" t="s">
        <v>23</v>
      </c>
      <c r="Q18" s="33"/>
      <c r="R18" s="33" t="s">
        <v>30</v>
      </c>
    </row>
    <row r="19" spans="2:36" x14ac:dyDescent="0.15">
      <c r="B19" s="92" t="s">
        <v>160</v>
      </c>
      <c r="C19" s="92" t="s">
        <v>225</v>
      </c>
      <c r="D19" s="93">
        <v>43251</v>
      </c>
      <c r="E19" s="93">
        <v>43312</v>
      </c>
      <c r="F19" s="92">
        <v>2090</v>
      </c>
      <c r="G19" s="92">
        <v>61</v>
      </c>
      <c r="H19" s="92">
        <v>0.16712328767123288</v>
      </c>
      <c r="I19" s="92">
        <v>0</v>
      </c>
      <c r="J19" s="92">
        <v>0.375</v>
      </c>
      <c r="K19" s="92">
        <v>-130.338401596067</v>
      </c>
      <c r="L19" s="92"/>
      <c r="M19" s="92">
        <v>0</v>
      </c>
      <c r="N19" s="99">
        <v>130.338401596067</v>
      </c>
      <c r="O19" s="92">
        <v>2083.5</v>
      </c>
      <c r="P19" s="92" t="s">
        <v>85</v>
      </c>
      <c r="Q19" s="92">
        <v>-1</v>
      </c>
      <c r="R19" s="92" t="s">
        <v>20</v>
      </c>
      <c r="AJ19" s="6">
        <v>7147</v>
      </c>
    </row>
    <row r="20" spans="2:36" x14ac:dyDescent="0.15">
      <c r="B20" s="92" t="s">
        <v>160</v>
      </c>
      <c r="C20" s="92" t="s">
        <v>225</v>
      </c>
      <c r="D20" s="93">
        <v>43251</v>
      </c>
      <c r="E20" s="93">
        <v>43312</v>
      </c>
      <c r="F20" s="92">
        <v>2000</v>
      </c>
      <c r="G20" s="92">
        <v>61</v>
      </c>
      <c r="H20" s="92">
        <v>0.16712328767123288</v>
      </c>
      <c r="I20" s="92">
        <v>0</v>
      </c>
      <c r="J20" s="92">
        <v>0.38</v>
      </c>
      <c r="K20" s="92">
        <v>-88.709007591763793</v>
      </c>
      <c r="L20" s="92"/>
      <c r="M20" s="92">
        <v>0</v>
      </c>
      <c r="N20" s="99">
        <v>88.709007591763793</v>
      </c>
      <c r="O20" s="92">
        <v>2083.5</v>
      </c>
      <c r="P20" s="92" t="s">
        <v>85</v>
      </c>
      <c r="Q20" s="92">
        <v>-1</v>
      </c>
      <c r="R20" s="92" t="s">
        <v>20</v>
      </c>
    </row>
    <row r="21" spans="2:36" x14ac:dyDescent="0.15">
      <c r="B21" s="91" t="s">
        <v>2</v>
      </c>
      <c r="C21" s="33" t="s">
        <v>181</v>
      </c>
      <c r="D21" s="33" t="s">
        <v>180</v>
      </c>
      <c r="E21" s="33" t="s">
        <v>10</v>
      </c>
      <c r="F21" s="33" t="s">
        <v>184</v>
      </c>
      <c r="G21" s="33" t="s">
        <v>11</v>
      </c>
      <c r="H21" s="33" t="s">
        <v>12</v>
      </c>
      <c r="I21" s="33" t="s">
        <v>47</v>
      </c>
      <c r="J21" s="33" t="s">
        <v>13</v>
      </c>
      <c r="K21" s="33" t="s">
        <v>14</v>
      </c>
      <c r="L21" s="33" t="s">
        <v>26</v>
      </c>
      <c r="M21" s="33" t="s">
        <v>28</v>
      </c>
      <c r="N21" s="33" t="s">
        <v>182</v>
      </c>
      <c r="O21" s="33" t="s">
        <v>8</v>
      </c>
      <c r="P21" s="33" t="s">
        <v>23</v>
      </c>
      <c r="Q21" s="33"/>
      <c r="R21" s="33" t="s">
        <v>30</v>
      </c>
    </row>
    <row r="22" spans="2:36" x14ac:dyDescent="0.15">
      <c r="B22" s="92" t="s">
        <v>160</v>
      </c>
      <c r="C22" s="92" t="s">
        <v>230</v>
      </c>
      <c r="D22" s="93">
        <v>43251</v>
      </c>
      <c r="E22" s="93">
        <v>43280</v>
      </c>
      <c r="F22" s="92">
        <v>53500</v>
      </c>
      <c r="G22" s="92">
        <v>29</v>
      </c>
      <c r="H22" s="92">
        <v>7.9452054794520555E-2</v>
      </c>
      <c r="I22" s="92">
        <v>0</v>
      </c>
      <c r="J22" s="92">
        <v>0.12</v>
      </c>
      <c r="K22" s="92">
        <v>115.41411183967375</v>
      </c>
      <c r="L22" s="92">
        <v>30</v>
      </c>
      <c r="M22" s="92">
        <v>12.275342465753425</v>
      </c>
      <c r="N22" s="99">
        <v>103.13876937392033</v>
      </c>
      <c r="O22" s="92">
        <v>51500</v>
      </c>
      <c r="P22" s="92" t="s">
        <v>39</v>
      </c>
      <c r="Q22" s="92">
        <v>1</v>
      </c>
      <c r="R22" s="92" t="s">
        <v>151</v>
      </c>
    </row>
    <row r="23" spans="2:36" x14ac:dyDescent="0.15">
      <c r="B23" s="91" t="s">
        <v>2</v>
      </c>
      <c r="C23" s="33" t="s">
        <v>181</v>
      </c>
      <c r="D23" s="33" t="s">
        <v>180</v>
      </c>
      <c r="E23" s="33" t="s">
        <v>10</v>
      </c>
      <c r="F23" s="33" t="s">
        <v>184</v>
      </c>
      <c r="G23" s="33" t="s">
        <v>11</v>
      </c>
      <c r="H23" s="33" t="s">
        <v>12</v>
      </c>
      <c r="I23" s="33" t="s">
        <v>47</v>
      </c>
      <c r="J23" s="33" t="s">
        <v>13</v>
      </c>
      <c r="K23" s="33" t="s">
        <v>14</v>
      </c>
      <c r="L23" s="33" t="s">
        <v>26</v>
      </c>
      <c r="M23" s="33" t="s">
        <v>28</v>
      </c>
      <c r="N23" s="33" t="s">
        <v>182</v>
      </c>
      <c r="O23" s="33" t="s">
        <v>8</v>
      </c>
      <c r="P23" s="33" t="s">
        <v>23</v>
      </c>
      <c r="Q23" s="33"/>
      <c r="R23" s="33" t="s">
        <v>30</v>
      </c>
    </row>
    <row r="24" spans="2:36" x14ac:dyDescent="0.15">
      <c r="B24" s="92" t="s">
        <v>160</v>
      </c>
      <c r="C24" s="92" t="s">
        <v>229</v>
      </c>
      <c r="D24" s="93">
        <v>43251</v>
      </c>
      <c r="E24" s="93">
        <v>43294</v>
      </c>
      <c r="F24" s="92">
        <v>14500</v>
      </c>
      <c r="G24" s="92">
        <v>43</v>
      </c>
      <c r="H24" s="92">
        <v>0.11780821917808219</v>
      </c>
      <c r="I24" s="92">
        <v>0</v>
      </c>
      <c r="J24" s="92">
        <v>0.1275</v>
      </c>
      <c r="K24" s="92">
        <v>170.57397244306321</v>
      </c>
      <c r="L24" s="92"/>
      <c r="M24" s="92">
        <v>0</v>
      </c>
      <c r="N24" s="99">
        <v>170.57397244306321</v>
      </c>
      <c r="O24" s="92">
        <v>14690</v>
      </c>
      <c r="P24" s="92" t="s">
        <v>85</v>
      </c>
      <c r="Q24" s="92">
        <v>1</v>
      </c>
      <c r="R24" s="92" t="s">
        <v>151</v>
      </c>
    </row>
    <row r="26" spans="2:36" x14ac:dyDescent="0.15">
      <c r="B26" s="91" t="s">
        <v>2</v>
      </c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36" x14ac:dyDescent="0.15">
      <c r="B27" s="92" t="s">
        <v>160</v>
      </c>
      <c r="C27" s="92" t="s">
        <v>242</v>
      </c>
      <c r="D27" s="93">
        <v>43255</v>
      </c>
      <c r="E27" s="93">
        <v>43285</v>
      </c>
      <c r="F27" s="92">
        <v>500</v>
      </c>
      <c r="G27" s="92">
        <v>30</v>
      </c>
      <c r="H27" s="92">
        <v>8.2191780821917804E-2</v>
      </c>
      <c r="I27" s="92">
        <v>0</v>
      </c>
      <c r="J27" s="92">
        <v>0.35</v>
      </c>
      <c r="K27" s="92">
        <v>-45.006856166576028</v>
      </c>
      <c r="L27" s="92"/>
      <c r="M27" s="92">
        <v>0</v>
      </c>
      <c r="N27" s="99">
        <v>45.006856166576028</v>
      </c>
      <c r="O27" s="92">
        <v>460.5</v>
      </c>
      <c r="P27" s="92" t="s">
        <v>85</v>
      </c>
      <c r="Q27" s="92">
        <v>-1</v>
      </c>
      <c r="R27" s="92" t="s">
        <v>20</v>
      </c>
    </row>
    <row r="28" spans="2:36" x14ac:dyDescent="0.15">
      <c r="B28" s="92" t="s">
        <v>160</v>
      </c>
      <c r="C28" s="92" t="s">
        <v>242</v>
      </c>
      <c r="D28" s="93">
        <v>43255</v>
      </c>
      <c r="E28" s="93">
        <v>43285</v>
      </c>
      <c r="F28" s="92">
        <v>500</v>
      </c>
      <c r="G28" s="92">
        <v>30</v>
      </c>
      <c r="H28" s="92">
        <v>8.2191780821917804E-2</v>
      </c>
      <c r="I28" s="92">
        <v>0</v>
      </c>
      <c r="J28" s="92">
        <v>0.35</v>
      </c>
      <c r="K28" s="92">
        <v>-5.5717343342945043</v>
      </c>
      <c r="L28" s="92"/>
      <c r="M28" s="92">
        <v>0</v>
      </c>
      <c r="N28" s="99">
        <v>5.5717343342945043</v>
      </c>
      <c r="O28" s="92">
        <v>460.5</v>
      </c>
      <c r="P28" s="92" t="s">
        <v>39</v>
      </c>
      <c r="Q28" s="92">
        <v>-1</v>
      </c>
      <c r="R28" s="92" t="s">
        <v>20</v>
      </c>
    </row>
    <row r="29" spans="2:36" x14ac:dyDescent="0.15">
      <c r="B29" s="91" t="s">
        <v>2</v>
      </c>
      <c r="C29" s="33" t="s">
        <v>181</v>
      </c>
      <c r="D29" s="33" t="s">
        <v>180</v>
      </c>
      <c r="E29" s="33" t="s">
        <v>10</v>
      </c>
      <c r="F29" s="33" t="s">
        <v>184</v>
      </c>
      <c r="G29" s="33" t="s">
        <v>11</v>
      </c>
      <c r="H29" s="33" t="s">
        <v>12</v>
      </c>
      <c r="I29" s="33" t="s">
        <v>47</v>
      </c>
      <c r="J29" s="33" t="s">
        <v>13</v>
      </c>
      <c r="K29" s="33" t="s">
        <v>14</v>
      </c>
      <c r="L29" s="33" t="s">
        <v>26</v>
      </c>
      <c r="M29" s="33" t="s">
        <v>28</v>
      </c>
      <c r="N29" s="33" t="s">
        <v>182</v>
      </c>
      <c r="O29" s="33" t="s">
        <v>8</v>
      </c>
      <c r="P29" s="92" t="s">
        <v>23</v>
      </c>
      <c r="Q29" s="92"/>
      <c r="R29" s="93" t="s">
        <v>30</v>
      </c>
      <c r="S29" s="93"/>
      <c r="T29" s="92"/>
      <c r="U29" s="92"/>
      <c r="V29" s="92"/>
      <c r="W29" s="92"/>
      <c r="X29" s="92"/>
      <c r="Y29" s="92"/>
      <c r="Z29" s="92"/>
      <c r="AA29" s="92"/>
      <c r="AB29" s="99"/>
      <c r="AC29" s="92"/>
      <c r="AD29" s="92"/>
      <c r="AE29" s="92"/>
      <c r="AF29" s="92"/>
    </row>
    <row r="30" spans="2:36" x14ac:dyDescent="0.15">
      <c r="B30" s="92" t="s">
        <v>160</v>
      </c>
      <c r="C30" s="92" t="s">
        <v>244</v>
      </c>
      <c r="D30" s="93">
        <v>43255</v>
      </c>
      <c r="E30" s="93">
        <v>43285</v>
      </c>
      <c r="F30" s="92">
        <v>9000</v>
      </c>
      <c r="G30" s="92">
        <v>30</v>
      </c>
      <c r="H30" s="92">
        <v>8.2191780821917804E-2</v>
      </c>
      <c r="I30" s="92">
        <v>0</v>
      </c>
      <c r="J30" s="92">
        <v>0.31</v>
      </c>
      <c r="K30" s="92">
        <v>-180.66464906178908</v>
      </c>
      <c r="L30" s="92"/>
      <c r="M30" s="92">
        <v>0</v>
      </c>
      <c r="N30" s="99">
        <v>180.66464906178908</v>
      </c>
      <c r="O30" s="92">
        <v>9346</v>
      </c>
      <c r="P30" s="92" t="s">
        <v>85</v>
      </c>
      <c r="Q30" s="92">
        <v>-1</v>
      </c>
      <c r="R30" s="92" t="s">
        <v>20</v>
      </c>
    </row>
    <row r="31" spans="2:36" x14ac:dyDescent="0.15">
      <c r="B31" s="92" t="s">
        <v>160</v>
      </c>
      <c r="C31" s="92" t="s">
        <v>244</v>
      </c>
      <c r="D31" s="93">
        <v>43255</v>
      </c>
      <c r="E31" s="93">
        <v>43316</v>
      </c>
      <c r="F31" s="92">
        <v>9000</v>
      </c>
      <c r="G31" s="92">
        <v>61</v>
      </c>
      <c r="H31" s="92">
        <v>0.16712328767123288</v>
      </c>
      <c r="I31" s="92">
        <v>0</v>
      </c>
      <c r="J31" s="92">
        <v>0.31</v>
      </c>
      <c r="K31" s="92">
        <v>-309.77408623978454</v>
      </c>
      <c r="L31" s="92"/>
      <c r="M31" s="92">
        <v>0</v>
      </c>
      <c r="N31" s="99">
        <v>309.77408623978454</v>
      </c>
      <c r="O31" s="92">
        <v>9346</v>
      </c>
      <c r="P31" s="92" t="s">
        <v>85</v>
      </c>
      <c r="Q31" s="92">
        <v>-1</v>
      </c>
      <c r="R31" s="92" t="s">
        <v>20</v>
      </c>
    </row>
    <row r="32" spans="2:36" x14ac:dyDescent="0.15">
      <c r="B32" s="91" t="s">
        <v>2</v>
      </c>
      <c r="C32" s="33" t="s">
        <v>181</v>
      </c>
      <c r="D32" s="33" t="s">
        <v>180</v>
      </c>
      <c r="E32" s="33" t="s">
        <v>10</v>
      </c>
      <c r="F32" s="33" t="s">
        <v>184</v>
      </c>
      <c r="G32" s="33" t="s">
        <v>11</v>
      </c>
      <c r="H32" s="33" t="s">
        <v>12</v>
      </c>
      <c r="I32" s="33" t="s">
        <v>47</v>
      </c>
      <c r="J32" s="33" t="s">
        <v>13</v>
      </c>
      <c r="K32" s="33" t="s">
        <v>14</v>
      </c>
      <c r="L32" s="33" t="s">
        <v>26</v>
      </c>
      <c r="M32" s="33" t="s">
        <v>28</v>
      </c>
      <c r="N32" s="33" t="s">
        <v>182</v>
      </c>
      <c r="O32" s="33" t="s">
        <v>8</v>
      </c>
      <c r="P32" s="33" t="s">
        <v>23</v>
      </c>
      <c r="Q32" s="33"/>
      <c r="R32" s="33" t="s">
        <v>30</v>
      </c>
    </row>
    <row r="33" spans="2:18" hidden="1" x14ac:dyDescent="0.15">
      <c r="B33" s="92" t="s">
        <v>160</v>
      </c>
      <c r="C33" s="92" t="s">
        <v>230</v>
      </c>
      <c r="D33" s="93">
        <v>43256</v>
      </c>
      <c r="E33" s="93">
        <v>43280</v>
      </c>
      <c r="F33" s="92">
        <v>52230</v>
      </c>
      <c r="G33" s="92">
        <v>24</v>
      </c>
      <c r="H33" s="92">
        <v>6.575342465753424E-2</v>
      </c>
      <c r="I33" s="92">
        <v>0</v>
      </c>
      <c r="J33" s="92">
        <v>0.1275</v>
      </c>
      <c r="K33" s="92">
        <v>190.50384453499828</v>
      </c>
      <c r="L33" s="92">
        <v>30</v>
      </c>
      <c r="M33" s="92">
        <v>10.592876712328767</v>
      </c>
      <c r="N33" s="99">
        <v>179.91096782266951</v>
      </c>
      <c r="O33" s="92">
        <v>53700</v>
      </c>
      <c r="P33" s="92" t="s">
        <v>85</v>
      </c>
      <c r="Q33" s="92">
        <v>1</v>
      </c>
      <c r="R33" s="92" t="s">
        <v>151</v>
      </c>
    </row>
    <row r="34" spans="2:18" x14ac:dyDescent="0.15">
      <c r="B34" s="92" t="s">
        <v>160</v>
      </c>
      <c r="C34" s="92" t="s">
        <v>95</v>
      </c>
      <c r="D34" s="93">
        <v>43258</v>
      </c>
      <c r="E34" s="93">
        <v>43288</v>
      </c>
      <c r="F34" s="92">
        <v>100</v>
      </c>
      <c r="G34" s="92">
        <v>30</v>
      </c>
      <c r="H34" s="92">
        <v>8.2191780821917804E-2</v>
      </c>
      <c r="I34" s="92">
        <v>0</v>
      </c>
      <c r="J34" s="92">
        <v>0.15</v>
      </c>
      <c r="K34" s="92">
        <v>-1.7126481423616866</v>
      </c>
      <c r="L34" s="92"/>
      <c r="M34" s="92">
        <v>0</v>
      </c>
      <c r="N34" s="99">
        <v>1.7126481423616866</v>
      </c>
      <c r="O34" s="92">
        <v>100</v>
      </c>
      <c r="P34" s="92" t="s">
        <v>85</v>
      </c>
      <c r="Q34" s="92">
        <v>-1</v>
      </c>
      <c r="R34" s="92" t="s">
        <v>20</v>
      </c>
    </row>
    <row r="35" spans="2:18" x14ac:dyDescent="0.15">
      <c r="B35" s="92" t="s">
        <v>160</v>
      </c>
      <c r="C35" s="92" t="s">
        <v>97</v>
      </c>
      <c r="D35" s="93">
        <v>43258</v>
      </c>
      <c r="E35" s="93">
        <v>43288</v>
      </c>
      <c r="F35" s="92">
        <v>100</v>
      </c>
      <c r="G35" s="92">
        <v>30</v>
      </c>
      <c r="H35" s="92">
        <v>8.2191780821917804E-2</v>
      </c>
      <c r="I35" s="92">
        <v>0</v>
      </c>
      <c r="J35" s="92">
        <v>0.24</v>
      </c>
      <c r="K35" s="92">
        <v>-2.7399076922064793</v>
      </c>
      <c r="L35" s="92"/>
      <c r="M35" s="92">
        <v>0</v>
      </c>
      <c r="N35" s="99">
        <v>2.7399076922064793</v>
      </c>
      <c r="O35" s="92">
        <v>100</v>
      </c>
      <c r="P35" s="92" t="s">
        <v>85</v>
      </c>
      <c r="Q35" s="92">
        <v>-1</v>
      </c>
      <c r="R35" s="92" t="s">
        <v>20</v>
      </c>
    </row>
    <row r="36" spans="2:18" x14ac:dyDescent="0.15">
      <c r="B36" s="92" t="s">
        <v>160</v>
      </c>
      <c r="C36" s="92" t="s">
        <v>89</v>
      </c>
      <c r="D36" s="93">
        <v>43258</v>
      </c>
      <c r="E36" s="93">
        <v>43288</v>
      </c>
      <c r="F36" s="92">
        <v>100</v>
      </c>
      <c r="G36" s="92">
        <v>30</v>
      </c>
      <c r="H36" s="92">
        <v>8.2191780821917804E-2</v>
      </c>
      <c r="I36" s="92">
        <v>0</v>
      </c>
      <c r="J36" s="92">
        <v>0.22</v>
      </c>
      <c r="K36" s="92">
        <v>-2.5116611729829543</v>
      </c>
      <c r="L36" s="92"/>
      <c r="M36" s="92">
        <v>0</v>
      </c>
      <c r="N36" s="99">
        <v>2.5116611729829543</v>
      </c>
      <c r="O36" s="92">
        <v>100</v>
      </c>
      <c r="P36" s="92" t="s">
        <v>39</v>
      </c>
      <c r="Q36" s="92">
        <v>-1</v>
      </c>
      <c r="R36" s="92" t="s">
        <v>20</v>
      </c>
    </row>
    <row r="37" spans="2:18" x14ac:dyDescent="0.15">
      <c r="B37" s="92" t="s">
        <v>160</v>
      </c>
      <c r="C37" s="92" t="s">
        <v>253</v>
      </c>
      <c r="D37" s="93">
        <v>43258</v>
      </c>
      <c r="E37" s="93">
        <v>43288</v>
      </c>
      <c r="F37" s="92">
        <v>100</v>
      </c>
      <c r="G37" s="92">
        <v>30</v>
      </c>
      <c r="H37" s="92">
        <v>8.2191780821917804E-2</v>
      </c>
      <c r="I37" s="92">
        <v>0</v>
      </c>
      <c r="J37" s="92">
        <v>0.18</v>
      </c>
      <c r="K37" s="92">
        <v>-2.0551080982827798</v>
      </c>
      <c r="L37" s="92"/>
      <c r="M37" s="92">
        <v>0</v>
      </c>
      <c r="N37" s="99">
        <v>2.0551080982827798</v>
      </c>
      <c r="O37" s="92">
        <v>100</v>
      </c>
      <c r="P37" s="92" t="s">
        <v>85</v>
      </c>
      <c r="Q37" s="92">
        <v>-1</v>
      </c>
      <c r="R37" s="92" t="s">
        <v>20</v>
      </c>
    </row>
    <row r="38" spans="2:18" x14ac:dyDescent="0.15">
      <c r="B38" s="92" t="s">
        <v>160</v>
      </c>
      <c r="C38" s="92" t="s">
        <v>85</v>
      </c>
      <c r="D38" s="93">
        <v>43258</v>
      </c>
      <c r="E38" s="93">
        <v>43288</v>
      </c>
      <c r="F38" s="92">
        <v>100</v>
      </c>
      <c r="G38" s="92">
        <v>30</v>
      </c>
      <c r="H38" s="92">
        <v>8.2191780821917804E-2</v>
      </c>
      <c r="I38" s="92">
        <v>0</v>
      </c>
      <c r="J38" s="92">
        <v>0.17</v>
      </c>
      <c r="K38" s="92">
        <v>-1.9409586889787747</v>
      </c>
      <c r="L38" s="92"/>
      <c r="M38" s="92">
        <v>0</v>
      </c>
      <c r="N38" s="99">
        <v>1.9409586889787747</v>
      </c>
      <c r="O38" s="92">
        <v>100</v>
      </c>
      <c r="P38" s="92" t="s">
        <v>85</v>
      </c>
      <c r="Q38" s="92">
        <v>-1</v>
      </c>
      <c r="R38" s="92" t="s">
        <v>20</v>
      </c>
    </row>
    <row r="39" spans="2:18" x14ac:dyDescent="0.15">
      <c r="B39" s="91" t="s">
        <v>2</v>
      </c>
      <c r="C39" s="33" t="s">
        <v>181</v>
      </c>
      <c r="D39" s="33" t="s">
        <v>180</v>
      </c>
      <c r="E39" s="33" t="s">
        <v>10</v>
      </c>
      <c r="F39" s="33" t="s">
        <v>184</v>
      </c>
      <c r="G39" s="33" t="s">
        <v>11</v>
      </c>
      <c r="H39" s="33" t="s">
        <v>12</v>
      </c>
      <c r="I39" s="33" t="s">
        <v>47</v>
      </c>
      <c r="J39" s="33" t="s">
        <v>13</v>
      </c>
      <c r="K39" s="33" t="s">
        <v>14</v>
      </c>
      <c r="L39" s="33" t="s">
        <v>26</v>
      </c>
      <c r="M39" s="33" t="s">
        <v>28</v>
      </c>
      <c r="N39" s="33" t="s">
        <v>182</v>
      </c>
      <c r="O39" s="33" t="s">
        <v>8</v>
      </c>
      <c r="P39" s="33" t="s">
        <v>23</v>
      </c>
      <c r="Q39" s="33"/>
      <c r="R39" s="33" t="s">
        <v>30</v>
      </c>
    </row>
    <row r="40" spans="2:18" x14ac:dyDescent="0.15">
      <c r="B40" s="92" t="s">
        <v>160</v>
      </c>
      <c r="C40" s="92" t="s">
        <v>73</v>
      </c>
      <c r="D40" s="93">
        <v>43258</v>
      </c>
      <c r="E40" s="93">
        <v>43319</v>
      </c>
      <c r="F40" s="92">
        <v>100</v>
      </c>
      <c r="G40" s="92">
        <v>61</v>
      </c>
      <c r="H40" s="92">
        <v>0.16712328767123288</v>
      </c>
      <c r="I40" s="92">
        <v>0</v>
      </c>
      <c r="J40" s="92">
        <v>0.35</v>
      </c>
      <c r="K40" s="92">
        <v>-5.6842692773019508</v>
      </c>
      <c r="L40" s="92"/>
      <c r="M40" s="92">
        <v>0</v>
      </c>
      <c r="N40" s="99">
        <v>5.6842692773019508</v>
      </c>
      <c r="O40" s="92">
        <v>100</v>
      </c>
      <c r="P40" s="92" t="s">
        <v>39</v>
      </c>
      <c r="Q40" s="92">
        <v>-1</v>
      </c>
      <c r="R40" s="92" t="s">
        <v>20</v>
      </c>
    </row>
    <row r="41" spans="2:18" x14ac:dyDescent="0.15">
      <c r="B41" s="92" t="s">
        <v>160</v>
      </c>
      <c r="C41" s="92" t="s">
        <v>75</v>
      </c>
      <c r="D41" s="93">
        <v>43258</v>
      </c>
      <c r="E41" s="93">
        <v>43319</v>
      </c>
      <c r="F41" s="92">
        <v>100</v>
      </c>
      <c r="G41" s="92">
        <v>61</v>
      </c>
      <c r="H41" s="92">
        <v>0.16712328767123288</v>
      </c>
      <c r="I41" s="92">
        <v>0</v>
      </c>
      <c r="J41" s="92">
        <v>0.28499999999999998</v>
      </c>
      <c r="K41" s="92">
        <v>4.6299490498536215</v>
      </c>
      <c r="L41" s="92"/>
      <c r="M41" s="92">
        <v>0</v>
      </c>
      <c r="N41" s="99">
        <v>4.6299490498536215</v>
      </c>
      <c r="O41" s="92">
        <v>100</v>
      </c>
      <c r="P41" s="92" t="s">
        <v>39</v>
      </c>
      <c r="Q41" s="92">
        <v>1</v>
      </c>
      <c r="R41" s="92" t="s">
        <v>20</v>
      </c>
    </row>
    <row r="42" spans="2:18" x14ac:dyDescent="0.15">
      <c r="B42" s="92" t="s">
        <v>160</v>
      </c>
      <c r="C42" s="92" t="s">
        <v>71</v>
      </c>
      <c r="D42" s="93">
        <v>43258</v>
      </c>
      <c r="E42" s="93">
        <v>43319</v>
      </c>
      <c r="F42" s="92">
        <v>100</v>
      </c>
      <c r="G42" s="92">
        <v>61</v>
      </c>
      <c r="H42" s="92">
        <v>0.16712328767123288</v>
      </c>
      <c r="I42" s="92">
        <v>0</v>
      </c>
      <c r="J42" s="92">
        <v>0.28000000000000003</v>
      </c>
      <c r="K42" s="92">
        <v>-4.5488113162045707</v>
      </c>
      <c r="L42" s="92"/>
      <c r="M42" s="92">
        <v>0</v>
      </c>
      <c r="N42" s="99">
        <v>4.5488113162045707</v>
      </c>
      <c r="O42" s="92">
        <v>100</v>
      </c>
      <c r="P42" s="92" t="s">
        <v>39</v>
      </c>
      <c r="Q42" s="92">
        <v>-1</v>
      </c>
      <c r="R42" s="92" t="s">
        <v>20</v>
      </c>
    </row>
    <row r="43" spans="2:18" x14ac:dyDescent="0.15">
      <c r="B43" s="92" t="s">
        <v>160</v>
      </c>
      <c r="C43" s="92" t="s">
        <v>73</v>
      </c>
      <c r="D43" s="93">
        <v>43258</v>
      </c>
      <c r="E43" s="93">
        <v>43350</v>
      </c>
      <c r="F43" s="92">
        <v>100</v>
      </c>
      <c r="G43" s="92">
        <v>92</v>
      </c>
      <c r="H43" s="92">
        <v>0.25205479452054796</v>
      </c>
      <c r="I43" s="92">
        <v>0</v>
      </c>
      <c r="J43" s="92">
        <v>0.35</v>
      </c>
      <c r="K43" s="92">
        <v>-6.9659094732704858</v>
      </c>
      <c r="L43" s="92"/>
      <c r="M43" s="92">
        <v>0</v>
      </c>
      <c r="N43" s="99">
        <v>6.9659094732704858</v>
      </c>
      <c r="O43" s="92">
        <v>100</v>
      </c>
      <c r="P43" s="92" t="s">
        <v>39</v>
      </c>
      <c r="Q43" s="92">
        <v>-1</v>
      </c>
      <c r="R43" s="92" t="s">
        <v>20</v>
      </c>
    </row>
    <row r="44" spans="2:18" x14ac:dyDescent="0.15">
      <c r="B44" s="92" t="s">
        <v>160</v>
      </c>
      <c r="C44" s="92" t="s">
        <v>75</v>
      </c>
      <c r="D44" s="93">
        <v>43258</v>
      </c>
      <c r="E44" s="93">
        <v>43350</v>
      </c>
      <c r="F44" s="92">
        <v>100</v>
      </c>
      <c r="G44" s="92">
        <v>92</v>
      </c>
      <c r="H44" s="92">
        <v>0.25205479452054796</v>
      </c>
      <c r="I44" s="92">
        <v>0</v>
      </c>
      <c r="J44" s="92">
        <v>0.28499999999999998</v>
      </c>
      <c r="K44" s="92">
        <v>5.6746978121912122</v>
      </c>
      <c r="L44" s="92"/>
      <c r="M44" s="92">
        <v>0</v>
      </c>
      <c r="N44" s="99">
        <v>5.6746978121912122</v>
      </c>
      <c r="O44" s="92">
        <v>100</v>
      </c>
      <c r="P44" s="92" t="s">
        <v>39</v>
      </c>
      <c r="Q44" s="92">
        <v>1</v>
      </c>
      <c r="R44" s="92" t="s">
        <v>20</v>
      </c>
    </row>
    <row r="45" spans="2:18" x14ac:dyDescent="0.15">
      <c r="B45" s="92" t="s">
        <v>160</v>
      </c>
      <c r="C45" s="92" t="s">
        <v>71</v>
      </c>
      <c r="D45" s="93">
        <v>43258</v>
      </c>
      <c r="E45" s="93">
        <v>43350</v>
      </c>
      <c r="F45" s="92">
        <v>100</v>
      </c>
      <c r="G45" s="92">
        <v>92</v>
      </c>
      <c r="H45" s="92">
        <v>0.25205479452054796</v>
      </c>
      <c r="I45" s="92">
        <v>0</v>
      </c>
      <c r="J45" s="92">
        <v>0.28000000000000003</v>
      </c>
      <c r="K45" s="92">
        <v>-5.5753070103812092</v>
      </c>
      <c r="L45" s="92"/>
      <c r="M45" s="92">
        <v>0</v>
      </c>
      <c r="N45" s="99">
        <v>5.5753070103812092</v>
      </c>
      <c r="O45" s="92">
        <v>100</v>
      </c>
      <c r="P45" s="92" t="s">
        <v>39</v>
      </c>
      <c r="Q45" s="92">
        <v>-1</v>
      </c>
      <c r="R45" s="92" t="s">
        <v>20</v>
      </c>
    </row>
    <row r="46" spans="2:18" x14ac:dyDescent="0.15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18" x14ac:dyDescent="0.15">
      <c r="B47" s="92" t="s">
        <v>160</v>
      </c>
      <c r="C47" s="92" t="s">
        <v>259</v>
      </c>
      <c r="D47" s="93">
        <v>43258</v>
      </c>
      <c r="E47" s="93">
        <v>43350</v>
      </c>
      <c r="F47" s="92">
        <v>3320</v>
      </c>
      <c r="G47" s="92">
        <v>92</v>
      </c>
      <c r="H47" s="92">
        <v>0.25205479452054796</v>
      </c>
      <c r="I47" s="92">
        <v>0</v>
      </c>
      <c r="J47" s="92">
        <v>0.27</v>
      </c>
      <c r="K47" s="92">
        <v>-152.43041613213791</v>
      </c>
      <c r="L47" s="92"/>
      <c r="M47" s="92">
        <v>0</v>
      </c>
      <c r="N47" s="99">
        <v>152.43041613213791</v>
      </c>
      <c r="O47" s="92">
        <v>3268</v>
      </c>
      <c r="P47" s="92" t="s">
        <v>39</v>
      </c>
      <c r="Q47" s="92">
        <v>-1</v>
      </c>
      <c r="R47" s="92" t="s">
        <v>20</v>
      </c>
    </row>
    <row r="48" spans="2:18" x14ac:dyDescent="0.15">
      <c r="B48" s="91" t="s">
        <v>2</v>
      </c>
      <c r="C48" s="33" t="s">
        <v>181</v>
      </c>
      <c r="D48" s="33" t="s">
        <v>180</v>
      </c>
      <c r="E48" s="33" t="s">
        <v>10</v>
      </c>
      <c r="F48" s="33" t="s">
        <v>184</v>
      </c>
      <c r="G48" s="33" t="s">
        <v>11</v>
      </c>
      <c r="H48" s="33" t="s">
        <v>12</v>
      </c>
      <c r="I48" s="33" t="s">
        <v>47</v>
      </c>
      <c r="J48" s="33" t="s">
        <v>13</v>
      </c>
      <c r="K48" s="33" t="s">
        <v>14</v>
      </c>
      <c r="L48" s="33" t="s">
        <v>26</v>
      </c>
      <c r="M48" s="33" t="s">
        <v>28</v>
      </c>
      <c r="N48" s="33" t="s">
        <v>182</v>
      </c>
      <c r="O48" s="33" t="s">
        <v>8</v>
      </c>
      <c r="P48" s="33" t="s">
        <v>23</v>
      </c>
      <c r="Q48" s="33"/>
      <c r="R48" s="33" t="s">
        <v>30</v>
      </c>
    </row>
    <row r="49" spans="2:18" x14ac:dyDescent="0.15">
      <c r="B49" s="92" t="s">
        <v>160</v>
      </c>
      <c r="C49" s="92" t="s">
        <v>261</v>
      </c>
      <c r="D49" s="93">
        <v>43259</v>
      </c>
      <c r="E49" s="93">
        <v>43289</v>
      </c>
      <c r="F49" s="92" t="s">
        <v>264</v>
      </c>
      <c r="G49" s="92">
        <v>30</v>
      </c>
      <c r="H49" s="92">
        <v>8.2191780821917804E-2</v>
      </c>
      <c r="I49" s="92"/>
      <c r="J49" s="92"/>
      <c r="K49" s="92">
        <v>-75.037597099661866</v>
      </c>
      <c r="L49" s="92">
        <v>0</v>
      </c>
      <c r="M49" s="92">
        <v>0</v>
      </c>
      <c r="N49" s="99">
        <v>75.880366861716993</v>
      </c>
      <c r="O49" s="92">
        <v>4978</v>
      </c>
      <c r="P49" s="92" t="s">
        <v>266</v>
      </c>
      <c r="Q49" s="92"/>
      <c r="R49" s="92" t="s">
        <v>20</v>
      </c>
    </row>
    <row r="50" spans="2:18" x14ac:dyDescent="0.15">
      <c r="B50" s="92" t="s">
        <v>160</v>
      </c>
      <c r="C50" s="92" t="s">
        <v>261</v>
      </c>
      <c r="D50" s="93">
        <v>43259</v>
      </c>
      <c r="E50" s="93">
        <v>43289</v>
      </c>
      <c r="F50" s="92" t="s">
        <v>265</v>
      </c>
      <c r="G50" s="92">
        <v>30</v>
      </c>
      <c r="H50" s="92">
        <v>8.2191780821917804E-2</v>
      </c>
      <c r="I50" s="92"/>
      <c r="J50" s="92"/>
      <c r="K50" s="92">
        <v>-86.074815865016888</v>
      </c>
      <c r="L50" s="92">
        <v>0</v>
      </c>
      <c r="M50" s="92">
        <v>0</v>
      </c>
      <c r="N50" s="99">
        <v>87.298306393556857</v>
      </c>
      <c r="O50" s="92">
        <v>4978</v>
      </c>
      <c r="P50" s="92" t="s">
        <v>266</v>
      </c>
      <c r="Q50" s="92"/>
      <c r="R50" s="92" t="s">
        <v>20</v>
      </c>
    </row>
    <row r="51" spans="2:18" x14ac:dyDescent="0.15">
      <c r="B51" s="91" t="s">
        <v>2</v>
      </c>
      <c r="C51" s="33" t="s">
        <v>181</v>
      </c>
      <c r="D51" s="33" t="s">
        <v>180</v>
      </c>
      <c r="E51" s="33" t="s">
        <v>10</v>
      </c>
      <c r="F51" s="33" t="s">
        <v>184</v>
      </c>
      <c r="G51" s="33" t="s">
        <v>11</v>
      </c>
      <c r="H51" s="33" t="s">
        <v>12</v>
      </c>
      <c r="I51" s="33" t="s">
        <v>47</v>
      </c>
      <c r="J51" s="33" t="s">
        <v>13</v>
      </c>
      <c r="K51" s="33" t="s">
        <v>14</v>
      </c>
      <c r="L51" s="33" t="s">
        <v>26</v>
      </c>
      <c r="M51" s="33" t="s">
        <v>28</v>
      </c>
      <c r="N51" s="33" t="s">
        <v>182</v>
      </c>
      <c r="O51" s="33" t="s">
        <v>8</v>
      </c>
      <c r="P51" s="33" t="s">
        <v>23</v>
      </c>
      <c r="Q51" s="33"/>
      <c r="R51" s="33" t="s">
        <v>30</v>
      </c>
    </row>
    <row r="52" spans="2:18" x14ac:dyDescent="0.15">
      <c r="B52" s="92" t="s">
        <v>160</v>
      </c>
      <c r="C52" s="92" t="s">
        <v>267</v>
      </c>
      <c r="D52" s="93">
        <v>43259</v>
      </c>
      <c r="E52" s="93">
        <v>43381</v>
      </c>
      <c r="F52" s="92">
        <v>100</v>
      </c>
      <c r="G52" s="92">
        <v>122</v>
      </c>
      <c r="H52" s="92">
        <v>0.33424657534246577</v>
      </c>
      <c r="I52" s="92">
        <v>0</v>
      </c>
      <c r="J52" s="92">
        <v>0.125</v>
      </c>
      <c r="K52" s="92">
        <v>-2.8632273585665686</v>
      </c>
      <c r="L52" s="92"/>
      <c r="M52" s="92">
        <v>0</v>
      </c>
      <c r="N52" s="99">
        <v>2.8632273585665686</v>
      </c>
      <c r="O52" s="92">
        <v>100</v>
      </c>
      <c r="P52" s="92" t="s">
        <v>269</v>
      </c>
      <c r="Q52" s="92">
        <v>-1</v>
      </c>
      <c r="R52" s="92" t="s">
        <v>20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6" t="s">
        <v>37</v>
      </c>
      <c r="C1" s="146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43259</v>
      </c>
      <c r="K8" s="21">
        <f ca="1">J8+L8</f>
        <v>43289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43259</v>
      </c>
      <c r="K9" s="8">
        <f ca="1">J9+L9</f>
        <v>43289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43259</v>
      </c>
      <c r="K10" s="8">
        <f ca="1">J10+L10</f>
        <v>43289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90"/>
  <sheetViews>
    <sheetView topLeftCell="F1" zoomScale="115" zoomScaleNormal="115" workbookViewId="0">
      <pane ySplit="17" topLeftCell="A67" activePane="bottomLeft" state="frozen"/>
      <selection pane="bottomLeft" activeCell="K97" sqref="K97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41" t="s">
        <v>118</v>
      </c>
      <c r="C1" s="141"/>
    </row>
    <row r="2" spans="2:20" ht="11.25" thickTop="1" x14ac:dyDescent="0.15"/>
    <row r="3" spans="2:20" ht="11.25" thickBot="1" x14ac:dyDescent="0.2">
      <c r="B3" s="140" t="s">
        <v>119</v>
      </c>
      <c r="C3" s="140"/>
      <c r="D3" s="140"/>
      <c r="E3" s="140"/>
      <c r="G3" s="139" t="s">
        <v>120</v>
      </c>
      <c r="H3" s="139"/>
      <c r="I3" s="139"/>
      <c r="J3" s="139"/>
      <c r="L3" s="140" t="s">
        <v>165</v>
      </c>
      <c r="M3" s="140"/>
      <c r="N3" s="140"/>
      <c r="O3" s="140"/>
      <c r="Q3" s="139" t="s">
        <v>166</v>
      </c>
      <c r="R3" s="139"/>
      <c r="S3" s="139"/>
      <c r="T3" s="139"/>
    </row>
    <row r="4" spans="2:20" ht="12" thickTop="1" thickBot="1" x14ac:dyDescent="0.2">
      <c r="B4" s="132" t="s">
        <v>121</v>
      </c>
      <c r="C4" s="132"/>
      <c r="D4" s="132"/>
      <c r="E4" s="132"/>
      <c r="G4" s="132" t="s">
        <v>34</v>
      </c>
      <c r="H4" s="132"/>
      <c r="I4" s="132"/>
      <c r="J4" s="132"/>
      <c r="L4" s="132" t="s">
        <v>121</v>
      </c>
      <c r="M4" s="132"/>
      <c r="N4" s="132"/>
      <c r="O4" s="132"/>
      <c r="Q4" s="132" t="s">
        <v>34</v>
      </c>
      <c r="R4" s="132"/>
      <c r="S4" s="132"/>
      <c r="T4" s="132"/>
    </row>
    <row r="5" spans="2:20" ht="15" customHeight="1" thickTop="1" x14ac:dyDescent="0.15">
      <c r="B5" s="136" t="s">
        <v>122</v>
      </c>
      <c r="C5" s="136"/>
      <c r="D5" s="142"/>
      <c r="E5" s="143"/>
      <c r="G5" s="136" t="s">
        <v>123</v>
      </c>
      <c r="H5" s="136"/>
      <c r="I5" s="103"/>
      <c r="J5" s="104"/>
      <c r="L5" s="101" t="s">
        <v>122</v>
      </c>
      <c r="M5" s="102"/>
      <c r="N5" s="103"/>
      <c r="O5" s="104"/>
      <c r="Q5" s="136" t="s">
        <v>123</v>
      </c>
      <c r="R5" s="136"/>
      <c r="S5" s="103"/>
      <c r="T5" s="104"/>
    </row>
    <row r="6" spans="2:20" x14ac:dyDescent="0.15">
      <c r="B6" s="136" t="s">
        <v>124</v>
      </c>
      <c r="C6" s="136"/>
      <c r="D6" s="137" t="s">
        <v>125</v>
      </c>
      <c r="E6" s="138"/>
      <c r="G6" s="136" t="s">
        <v>126</v>
      </c>
      <c r="H6" s="136"/>
      <c r="I6" s="137"/>
      <c r="J6" s="138"/>
      <c r="L6" s="136" t="s">
        <v>124</v>
      </c>
      <c r="M6" s="136"/>
      <c r="N6" s="137" t="s">
        <v>125</v>
      </c>
      <c r="O6" s="138"/>
      <c r="Q6" s="136" t="s">
        <v>126</v>
      </c>
      <c r="R6" s="136"/>
      <c r="S6" s="137"/>
      <c r="T6" s="138"/>
    </row>
    <row r="7" spans="2:20" ht="2.25" customHeight="1" x14ac:dyDescent="0.15">
      <c r="B7" s="136" t="s">
        <v>127</v>
      </c>
      <c r="C7" s="136"/>
      <c r="D7" s="137" t="s">
        <v>125</v>
      </c>
      <c r="E7" s="138"/>
      <c r="G7" s="136" t="s">
        <v>128</v>
      </c>
      <c r="H7" s="136"/>
      <c r="I7" s="137"/>
      <c r="J7" s="138"/>
      <c r="L7" s="136" t="s">
        <v>127</v>
      </c>
      <c r="M7" s="136"/>
      <c r="N7" s="137" t="s">
        <v>125</v>
      </c>
      <c r="O7" s="138"/>
      <c r="Q7" s="136" t="s">
        <v>128</v>
      </c>
      <c r="R7" s="136"/>
      <c r="S7" s="137"/>
      <c r="T7" s="138"/>
    </row>
    <row r="8" spans="2:20" hidden="1" x14ac:dyDescent="0.15">
      <c r="B8" s="136" t="s">
        <v>129</v>
      </c>
      <c r="C8" s="136"/>
      <c r="D8" s="137">
        <f>D13*D15</f>
        <v>305000</v>
      </c>
      <c r="E8" s="138"/>
      <c r="G8" s="136" t="s">
        <v>130</v>
      </c>
      <c r="H8" s="136"/>
      <c r="I8" s="137"/>
      <c r="J8" s="138"/>
      <c r="L8" s="136" t="s">
        <v>129</v>
      </c>
      <c r="M8" s="136"/>
      <c r="N8" s="137">
        <f>N14*N16</f>
        <v>305000</v>
      </c>
      <c r="O8" s="138"/>
      <c r="Q8" s="136" t="s">
        <v>130</v>
      </c>
      <c r="R8" s="136"/>
      <c r="S8" s="137"/>
      <c r="T8" s="138"/>
    </row>
    <row r="9" spans="2:20" hidden="1" x14ac:dyDescent="0.15">
      <c r="B9" s="136" t="s">
        <v>131</v>
      </c>
      <c r="C9" s="136"/>
      <c r="D9" s="137" t="s">
        <v>132</v>
      </c>
      <c r="E9" s="138"/>
      <c r="G9" s="136" t="s">
        <v>133</v>
      </c>
      <c r="H9" s="136"/>
      <c r="I9" s="137"/>
      <c r="J9" s="138"/>
      <c r="L9" s="136" t="s">
        <v>131</v>
      </c>
      <c r="M9" s="136"/>
      <c r="N9" s="137" t="s">
        <v>132</v>
      </c>
      <c r="O9" s="138"/>
      <c r="Q9" s="136" t="s">
        <v>133</v>
      </c>
      <c r="R9" s="136"/>
      <c r="S9" s="137"/>
      <c r="T9" s="138"/>
    </row>
    <row r="10" spans="2:20" hidden="1" x14ac:dyDescent="0.15">
      <c r="B10" s="136" t="s">
        <v>134</v>
      </c>
      <c r="C10" s="136"/>
      <c r="D10" s="137">
        <v>43084</v>
      </c>
      <c r="E10" s="138"/>
      <c r="G10" s="105" t="s">
        <v>135</v>
      </c>
      <c r="H10" s="105"/>
      <c r="I10" s="137"/>
      <c r="J10" s="138"/>
      <c r="L10" s="136" t="s">
        <v>134</v>
      </c>
      <c r="M10" s="136"/>
      <c r="N10" s="137">
        <v>43084</v>
      </c>
      <c r="O10" s="138"/>
      <c r="Q10" s="105" t="s">
        <v>135</v>
      </c>
      <c r="R10" s="105"/>
      <c r="S10" s="137"/>
      <c r="T10" s="138"/>
    </row>
    <row r="11" spans="2:20" hidden="1" x14ac:dyDescent="0.15">
      <c r="B11" s="136" t="s">
        <v>136</v>
      </c>
      <c r="C11" s="136"/>
      <c r="D11" s="137">
        <v>3935</v>
      </c>
      <c r="E11" s="138"/>
      <c r="G11" s="136" t="s">
        <v>137</v>
      </c>
      <c r="H11" s="136"/>
      <c r="I11" s="137"/>
      <c r="J11" s="138"/>
      <c r="L11" s="136" t="s">
        <v>136</v>
      </c>
      <c r="M11" s="136"/>
      <c r="N11" s="137">
        <v>3935</v>
      </c>
      <c r="O11" s="138"/>
      <c r="Q11" s="136" t="s">
        <v>137</v>
      </c>
      <c r="R11" s="136"/>
      <c r="S11" s="137"/>
      <c r="T11" s="138"/>
    </row>
    <row r="12" spans="2:20" hidden="1" x14ac:dyDescent="0.15">
      <c r="B12" s="136" t="s">
        <v>138</v>
      </c>
      <c r="C12" s="136"/>
      <c r="D12" s="137">
        <v>3800</v>
      </c>
      <c r="E12" s="138"/>
      <c r="G12" s="136" t="s">
        <v>139</v>
      </c>
      <c r="H12" s="136"/>
      <c r="I12" s="137"/>
      <c r="J12" s="138"/>
      <c r="L12" s="136" t="s">
        <v>163</v>
      </c>
      <c r="M12" s="136"/>
      <c r="N12" s="137">
        <v>3800</v>
      </c>
      <c r="O12" s="138"/>
      <c r="Q12" s="136" t="s">
        <v>167</v>
      </c>
      <c r="R12" s="136"/>
      <c r="S12" s="137"/>
      <c r="T12" s="138"/>
    </row>
    <row r="13" spans="2:20" hidden="1" x14ac:dyDescent="0.15">
      <c r="B13" s="136" t="s">
        <v>140</v>
      </c>
      <c r="C13" s="136"/>
      <c r="D13" s="137">
        <v>61</v>
      </c>
      <c r="E13" s="138"/>
      <c r="G13" s="136" t="s">
        <v>141</v>
      </c>
      <c r="H13" s="136"/>
      <c r="I13" s="137"/>
      <c r="J13" s="138"/>
      <c r="L13" s="136" t="s">
        <v>164</v>
      </c>
      <c r="M13" s="136"/>
      <c r="N13" s="137">
        <v>3800</v>
      </c>
      <c r="O13" s="138"/>
      <c r="Q13" s="136" t="s">
        <v>168</v>
      </c>
      <c r="R13" s="136"/>
      <c r="S13" s="137"/>
      <c r="T13" s="138"/>
    </row>
    <row r="14" spans="2:20" hidden="1" x14ac:dyDescent="0.15">
      <c r="B14" s="136" t="s">
        <v>142</v>
      </c>
      <c r="C14" s="136"/>
      <c r="D14" s="137" t="s">
        <v>143</v>
      </c>
      <c r="E14" s="138"/>
      <c r="G14" s="136" t="s">
        <v>144</v>
      </c>
      <c r="H14" s="136"/>
      <c r="I14" s="106"/>
      <c r="J14" s="107"/>
      <c r="L14" s="136" t="s">
        <v>140</v>
      </c>
      <c r="M14" s="136"/>
      <c r="N14" s="137">
        <v>61</v>
      </c>
      <c r="O14" s="138"/>
      <c r="Q14" s="136" t="s">
        <v>141</v>
      </c>
      <c r="R14" s="136"/>
      <c r="S14" s="137"/>
      <c r="T14" s="138"/>
    </row>
    <row r="15" spans="2:20" hidden="1" x14ac:dyDescent="0.15">
      <c r="B15" s="136" t="s">
        <v>145</v>
      </c>
      <c r="C15" s="136"/>
      <c r="D15" s="137">
        <v>5000</v>
      </c>
      <c r="E15" s="138"/>
      <c r="G15" s="136" t="s">
        <v>146</v>
      </c>
      <c r="H15" s="136"/>
      <c r="I15" s="137"/>
      <c r="J15" s="138"/>
      <c r="L15" s="136" t="s">
        <v>142</v>
      </c>
      <c r="M15" s="136"/>
      <c r="N15" s="137" t="s">
        <v>143</v>
      </c>
      <c r="O15" s="138"/>
      <c r="Q15" s="136" t="s">
        <v>144</v>
      </c>
      <c r="R15" s="136"/>
      <c r="S15" s="106"/>
      <c r="T15" s="107"/>
    </row>
    <row r="16" spans="2:20" ht="11.25" hidden="1" thickBot="1" x14ac:dyDescent="0.2">
      <c r="B16" s="133" t="s">
        <v>147</v>
      </c>
      <c r="C16" s="133"/>
      <c r="D16" s="134" t="s">
        <v>148</v>
      </c>
      <c r="E16" s="135"/>
      <c r="G16" s="133" t="s">
        <v>149</v>
      </c>
      <c r="H16" s="133"/>
      <c r="I16" s="134"/>
      <c r="J16" s="135"/>
      <c r="L16" s="136" t="s">
        <v>145</v>
      </c>
      <c r="M16" s="136"/>
      <c r="N16" s="137">
        <v>5000</v>
      </c>
      <c r="O16" s="138"/>
      <c r="Q16" s="136" t="s">
        <v>146</v>
      </c>
      <c r="R16" s="136"/>
      <c r="S16" s="137"/>
      <c r="T16" s="138"/>
    </row>
    <row r="17" spans="2:25" ht="12" hidden="1" thickTop="1" thickBot="1" x14ac:dyDescent="0.2">
      <c r="L17" s="133" t="s">
        <v>147</v>
      </c>
      <c r="M17" s="133"/>
      <c r="N17" s="134" t="s">
        <v>148</v>
      </c>
      <c r="O17" s="135"/>
      <c r="Q17" s="133" t="s">
        <v>149</v>
      </c>
      <c r="R17" s="133"/>
      <c r="S17" s="134"/>
      <c r="T17" s="135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29" t="s">
        <v>220</v>
      </c>
      <c r="C22" s="129"/>
      <c r="D22" s="129"/>
      <c r="E22" s="129"/>
      <c r="G22" s="129" t="s">
        <v>188</v>
      </c>
      <c r="H22" s="129"/>
      <c r="I22" s="129"/>
      <c r="J22" s="129"/>
      <c r="L22" s="132" t="s">
        <v>188</v>
      </c>
      <c r="M22" s="132"/>
      <c r="N22" s="132"/>
      <c r="O22" s="132"/>
      <c r="Q22" s="129" t="s">
        <v>187</v>
      </c>
      <c r="R22" s="129"/>
      <c r="S22" s="129"/>
      <c r="T22" s="129"/>
      <c r="V22" s="132" t="s">
        <v>188</v>
      </c>
      <c r="W22" s="132"/>
      <c r="X22" s="132"/>
      <c r="Y22" s="132"/>
    </row>
    <row r="23" spans="2:25" ht="12" thickTop="1" x14ac:dyDescent="0.15">
      <c r="B23" s="122" t="s">
        <v>122</v>
      </c>
      <c r="C23" s="122"/>
      <c r="D23" s="128">
        <v>43209</v>
      </c>
      <c r="E23" s="130"/>
      <c r="G23" s="122" t="s">
        <v>122</v>
      </c>
      <c r="H23" s="122"/>
      <c r="I23" s="128">
        <f ca="1">TODAY()</f>
        <v>43259</v>
      </c>
      <c r="J23" s="130"/>
      <c r="L23" s="122" t="s">
        <v>122</v>
      </c>
      <c r="M23" s="122"/>
      <c r="N23" s="128">
        <f ca="1">TODAY()</f>
        <v>43259</v>
      </c>
      <c r="O23" s="130"/>
      <c r="Q23" s="122" t="s">
        <v>122</v>
      </c>
      <c r="R23" s="122"/>
      <c r="S23" s="128">
        <f ca="1">TODAY()-1</f>
        <v>43258</v>
      </c>
      <c r="T23" s="130"/>
      <c r="V23" s="122" t="s">
        <v>122</v>
      </c>
      <c r="W23" s="122"/>
      <c r="X23" s="128">
        <f ca="1">TODAY()-1</f>
        <v>43258</v>
      </c>
      <c r="Y23" s="130"/>
    </row>
    <row r="24" spans="2:25" ht="11.25" x14ac:dyDescent="0.15">
      <c r="B24" s="122" t="s">
        <v>124</v>
      </c>
      <c r="C24" s="122"/>
      <c r="D24" s="123" t="s">
        <v>185</v>
      </c>
      <c r="E24" s="124"/>
      <c r="G24" s="122" t="s">
        <v>124</v>
      </c>
      <c r="H24" s="122"/>
      <c r="I24" s="123" t="s">
        <v>185</v>
      </c>
      <c r="J24" s="124"/>
      <c r="L24" s="122" t="s">
        <v>124</v>
      </c>
      <c r="M24" s="122"/>
      <c r="N24" s="123" t="s">
        <v>36</v>
      </c>
      <c r="O24" s="124"/>
      <c r="Q24" s="122" t="s">
        <v>124</v>
      </c>
      <c r="R24" s="122"/>
      <c r="S24" s="123" t="s">
        <v>36</v>
      </c>
      <c r="T24" s="124"/>
      <c r="V24" s="122" t="s">
        <v>124</v>
      </c>
      <c r="W24" s="122"/>
      <c r="X24" s="123" t="s">
        <v>36</v>
      </c>
      <c r="Y24" s="124"/>
    </row>
    <row r="25" spans="2:25" ht="11.25" x14ac:dyDescent="0.15">
      <c r="B25" s="122" t="s">
        <v>127</v>
      </c>
      <c r="C25" s="122"/>
      <c r="D25" s="123" t="s">
        <v>221</v>
      </c>
      <c r="E25" s="124"/>
      <c r="G25" s="122" t="s">
        <v>127</v>
      </c>
      <c r="H25" s="122"/>
      <c r="I25" s="123" t="s">
        <v>5</v>
      </c>
      <c r="J25" s="124"/>
      <c r="L25" s="122" t="s">
        <v>127</v>
      </c>
      <c r="M25" s="122"/>
      <c r="N25" s="123" t="s">
        <v>194</v>
      </c>
      <c r="O25" s="124"/>
      <c r="Q25" s="122" t="s">
        <v>127</v>
      </c>
      <c r="R25" s="122"/>
      <c r="S25" s="123" t="s">
        <v>186</v>
      </c>
      <c r="T25" s="124"/>
      <c r="V25" s="122" t="s">
        <v>127</v>
      </c>
      <c r="W25" s="122"/>
      <c r="X25" s="123" t="s">
        <v>186</v>
      </c>
      <c r="Y25" s="124"/>
    </row>
    <row r="26" spans="2:25" ht="11.25" x14ac:dyDescent="0.15">
      <c r="B26" s="122" t="s">
        <v>129</v>
      </c>
      <c r="C26" s="122"/>
      <c r="D26" s="123">
        <f>D31*D33</f>
        <v>290000</v>
      </c>
      <c r="E26" s="124"/>
      <c r="G26" s="122" t="s">
        <v>179</v>
      </c>
      <c r="H26" s="122"/>
      <c r="I26" s="123">
        <f>I31*I33</f>
        <v>271800</v>
      </c>
      <c r="J26" s="124"/>
      <c r="L26" s="122" t="s">
        <v>129</v>
      </c>
      <c r="M26" s="122"/>
      <c r="N26" s="123">
        <f>N31*N33</f>
        <v>275000</v>
      </c>
      <c r="O26" s="124"/>
      <c r="Q26" s="122" t="s">
        <v>129</v>
      </c>
      <c r="R26" s="122"/>
      <c r="S26" s="123">
        <f>S31*S33</f>
        <v>235799.99999999997</v>
      </c>
      <c r="T26" s="124"/>
      <c r="V26" s="122" t="s">
        <v>129</v>
      </c>
      <c r="W26" s="122"/>
      <c r="X26" s="123">
        <f>X31*X33</f>
        <v>235799.99999999997</v>
      </c>
      <c r="Y26" s="124"/>
    </row>
    <row r="27" spans="2:25" ht="11.25" x14ac:dyDescent="0.15">
      <c r="B27" s="122" t="s">
        <v>131</v>
      </c>
      <c r="C27" s="122"/>
      <c r="D27" s="123" t="s">
        <v>190</v>
      </c>
      <c r="E27" s="124"/>
      <c r="F27" s="100">
        <f>1160*250</f>
        <v>290000</v>
      </c>
      <c r="G27" s="122" t="s">
        <v>131</v>
      </c>
      <c r="H27" s="122"/>
      <c r="I27" s="123" t="s">
        <v>196</v>
      </c>
      <c r="J27" s="124"/>
      <c r="L27" s="122" t="s">
        <v>131</v>
      </c>
      <c r="M27" s="122"/>
      <c r="N27" s="123" t="s">
        <v>189</v>
      </c>
      <c r="O27" s="124"/>
      <c r="Q27" s="122" t="s">
        <v>131</v>
      </c>
      <c r="R27" s="122"/>
      <c r="S27" s="123" t="s">
        <v>190</v>
      </c>
      <c r="T27" s="124"/>
      <c r="V27" s="122" t="s">
        <v>131</v>
      </c>
      <c r="W27" s="122"/>
      <c r="X27" s="123" t="s">
        <v>189</v>
      </c>
      <c r="Y27" s="124"/>
    </row>
    <row r="28" spans="2:25" ht="11.25" x14ac:dyDescent="0.15">
      <c r="B28" s="122" t="s">
        <v>134</v>
      </c>
      <c r="C28" s="122"/>
      <c r="D28" s="128">
        <v>43222</v>
      </c>
      <c r="E28" s="124"/>
      <c r="G28" s="122" t="s">
        <v>134</v>
      </c>
      <c r="H28" s="122"/>
      <c r="I28" s="128">
        <v>43182</v>
      </c>
      <c r="J28" s="124"/>
      <c r="L28" s="122" t="s">
        <v>134</v>
      </c>
      <c r="M28" s="122"/>
      <c r="N28" s="128">
        <v>43219</v>
      </c>
      <c r="O28" s="124"/>
      <c r="Q28" s="122" t="s">
        <v>134</v>
      </c>
      <c r="R28" s="122"/>
      <c r="S28" s="128">
        <v>43201</v>
      </c>
      <c r="T28" s="124"/>
      <c r="V28" s="122" t="s">
        <v>134</v>
      </c>
      <c r="W28" s="122"/>
      <c r="X28" s="128">
        <v>43201</v>
      </c>
      <c r="Y28" s="124"/>
    </row>
    <row r="29" spans="2:25" ht="11.25" x14ac:dyDescent="0.15">
      <c r="B29" s="122" t="s">
        <v>136</v>
      </c>
      <c r="C29" s="122"/>
      <c r="D29" s="123">
        <v>108500</v>
      </c>
      <c r="E29" s="124"/>
      <c r="G29" s="122" t="s">
        <v>136</v>
      </c>
      <c r="H29" s="122"/>
      <c r="I29" s="123">
        <v>3856</v>
      </c>
      <c r="J29" s="124"/>
      <c r="L29" s="122" t="s">
        <v>136</v>
      </c>
      <c r="M29" s="122"/>
      <c r="N29" s="123">
        <v>3760</v>
      </c>
      <c r="O29" s="124"/>
      <c r="Q29" s="122" t="s">
        <v>136</v>
      </c>
      <c r="R29" s="122"/>
      <c r="S29" s="123">
        <v>524</v>
      </c>
      <c r="T29" s="124"/>
      <c r="V29" s="122" t="s">
        <v>136</v>
      </c>
      <c r="W29" s="122"/>
      <c r="X29" s="123">
        <v>524</v>
      </c>
      <c r="Y29" s="124"/>
    </row>
    <row r="30" spans="2:25" ht="11.25" x14ac:dyDescent="0.15">
      <c r="B30" s="122" t="s">
        <v>138</v>
      </c>
      <c r="C30" s="122"/>
      <c r="D30" s="123">
        <v>110000</v>
      </c>
      <c r="E30" s="124"/>
      <c r="G30" s="122" t="s">
        <v>138</v>
      </c>
      <c r="H30" s="122"/>
      <c r="I30" s="123">
        <v>3930</v>
      </c>
      <c r="J30" s="124"/>
      <c r="L30" s="122" t="s">
        <v>138</v>
      </c>
      <c r="M30" s="122"/>
      <c r="N30" s="123">
        <v>3700</v>
      </c>
      <c r="O30" s="124"/>
      <c r="Q30" s="122" t="s">
        <v>138</v>
      </c>
      <c r="R30" s="122"/>
      <c r="S30" s="123">
        <v>524</v>
      </c>
      <c r="T30" s="124"/>
      <c r="V30" s="122" t="s">
        <v>138</v>
      </c>
      <c r="W30" s="122"/>
      <c r="X30" s="123">
        <v>524</v>
      </c>
      <c r="Y30" s="124"/>
    </row>
    <row r="31" spans="2:25" ht="11.25" x14ac:dyDescent="0.15">
      <c r="B31" s="122" t="s">
        <v>140</v>
      </c>
      <c r="C31" s="122"/>
      <c r="D31" s="123">
        <v>1160</v>
      </c>
      <c r="E31" s="124"/>
      <c r="G31" s="122" t="s">
        <v>197</v>
      </c>
      <c r="H31" s="122"/>
      <c r="I31" s="123">
        <v>27.18</v>
      </c>
      <c r="J31" s="124"/>
      <c r="L31" s="122" t="s">
        <v>140</v>
      </c>
      <c r="M31" s="122"/>
      <c r="N31" s="123">
        <v>55</v>
      </c>
      <c r="O31" s="124"/>
      <c r="Q31" s="122" t="s">
        <v>140</v>
      </c>
      <c r="R31" s="122"/>
      <c r="S31" s="123">
        <v>23.58</v>
      </c>
      <c r="T31" s="124"/>
      <c r="V31" s="122" t="s">
        <v>140</v>
      </c>
      <c r="W31" s="122"/>
      <c r="X31" s="123">
        <v>23.58</v>
      </c>
      <c r="Y31" s="124"/>
    </row>
    <row r="32" spans="2:25" ht="11.25" x14ac:dyDescent="0.15">
      <c r="B32" s="122" t="s">
        <v>142</v>
      </c>
      <c r="C32" s="122"/>
      <c r="D32" s="123" t="s">
        <v>208</v>
      </c>
      <c r="E32" s="124"/>
      <c r="G32" s="122" t="s">
        <v>198</v>
      </c>
      <c r="H32" s="122"/>
      <c r="I32" s="123" t="s">
        <v>195</v>
      </c>
      <c r="J32" s="124"/>
      <c r="L32" s="122" t="s">
        <v>142</v>
      </c>
      <c r="M32" s="122"/>
      <c r="N32" s="123" t="s">
        <v>193</v>
      </c>
      <c r="O32" s="124"/>
      <c r="Q32" s="122" t="s">
        <v>142</v>
      </c>
      <c r="R32" s="122"/>
      <c r="S32" s="123" t="s">
        <v>191</v>
      </c>
      <c r="T32" s="124"/>
      <c r="V32" s="122" t="s">
        <v>142</v>
      </c>
      <c r="W32" s="122"/>
      <c r="X32" s="123" t="s">
        <v>191</v>
      </c>
      <c r="Y32" s="124"/>
    </row>
    <row r="33" spans="2:25" ht="11.25" x14ac:dyDescent="0.15">
      <c r="B33" s="122" t="s">
        <v>145</v>
      </c>
      <c r="C33" s="122"/>
      <c r="D33" s="123">
        <v>250</v>
      </c>
      <c r="E33" s="124"/>
      <c r="G33" s="122" t="s">
        <v>199</v>
      </c>
      <c r="H33" s="122"/>
      <c r="I33" s="123">
        <v>10000</v>
      </c>
      <c r="J33" s="124"/>
      <c r="L33" s="122" t="s">
        <v>145</v>
      </c>
      <c r="M33" s="122"/>
      <c r="N33" s="123">
        <v>5000</v>
      </c>
      <c r="O33" s="124"/>
      <c r="Q33" s="122" t="s">
        <v>145</v>
      </c>
      <c r="R33" s="122"/>
      <c r="S33" s="123">
        <v>10000</v>
      </c>
      <c r="T33" s="124"/>
      <c r="V33" s="122" t="s">
        <v>145</v>
      </c>
      <c r="W33" s="122"/>
      <c r="X33" s="123">
        <v>10000</v>
      </c>
      <c r="Y33" s="124"/>
    </row>
    <row r="34" spans="2:25" ht="12" thickBot="1" x14ac:dyDescent="0.2">
      <c r="B34" s="125" t="s">
        <v>147</v>
      </c>
      <c r="C34" s="125"/>
      <c r="D34" s="126" t="s">
        <v>148</v>
      </c>
      <c r="E34" s="127"/>
      <c r="G34" s="125" t="s">
        <v>147</v>
      </c>
      <c r="H34" s="125"/>
      <c r="I34" s="126" t="s">
        <v>148</v>
      </c>
      <c r="J34" s="127"/>
      <c r="L34" s="125" t="s">
        <v>147</v>
      </c>
      <c r="M34" s="125"/>
      <c r="N34" s="126" t="s">
        <v>148</v>
      </c>
      <c r="O34" s="127"/>
      <c r="Q34" s="125" t="s">
        <v>147</v>
      </c>
      <c r="R34" s="125"/>
      <c r="S34" s="126" t="s">
        <v>148</v>
      </c>
      <c r="T34" s="127"/>
      <c r="V34" s="125" t="s">
        <v>147</v>
      </c>
      <c r="W34" s="125"/>
      <c r="X34" s="126" t="s">
        <v>148</v>
      </c>
      <c r="Y34" s="127"/>
    </row>
    <row r="35" spans="2:25" ht="11.25" thickTop="1" x14ac:dyDescent="0.15"/>
    <row r="36" spans="2:25" ht="12" thickBot="1" x14ac:dyDescent="0.2">
      <c r="B36" s="129" t="s">
        <v>226</v>
      </c>
      <c r="C36" s="129"/>
      <c r="D36" s="129"/>
      <c r="E36" s="129"/>
      <c r="G36" s="129" t="s">
        <v>227</v>
      </c>
      <c r="H36" s="129"/>
      <c r="I36" s="129"/>
      <c r="J36" s="129"/>
      <c r="L36" s="129" t="s">
        <v>205</v>
      </c>
      <c r="M36" s="129"/>
      <c r="N36" s="129"/>
      <c r="O36" s="129"/>
      <c r="Q36" s="129" t="s">
        <v>121</v>
      </c>
      <c r="R36" s="129"/>
      <c r="S36" s="129"/>
      <c r="T36" s="129"/>
    </row>
    <row r="37" spans="2:25" ht="12" thickTop="1" x14ac:dyDescent="0.15">
      <c r="B37" s="122" t="s">
        <v>122</v>
      </c>
      <c r="C37" s="122"/>
      <c r="D37" s="128">
        <v>43229</v>
      </c>
      <c r="E37" s="130"/>
      <c r="G37" s="122" t="s">
        <v>122</v>
      </c>
      <c r="H37" s="122"/>
      <c r="I37" s="128">
        <v>43229</v>
      </c>
      <c r="J37" s="130"/>
      <c r="L37" s="122" t="s">
        <v>122</v>
      </c>
      <c r="M37" s="122"/>
      <c r="N37" s="128">
        <v>43214</v>
      </c>
      <c r="O37" s="130"/>
      <c r="Q37" s="122" t="s">
        <v>122</v>
      </c>
      <c r="R37" s="122"/>
      <c r="S37" s="128">
        <v>43209</v>
      </c>
      <c r="T37" s="130"/>
    </row>
    <row r="38" spans="2:25" ht="11.25" x14ac:dyDescent="0.15">
      <c r="B38" s="122" t="s">
        <v>124</v>
      </c>
      <c r="C38" s="122"/>
      <c r="D38" s="123" t="s">
        <v>186</v>
      </c>
      <c r="E38" s="124"/>
      <c r="G38" s="122" t="s">
        <v>124</v>
      </c>
      <c r="H38" s="122"/>
      <c r="I38" s="123" t="s">
        <v>186</v>
      </c>
      <c r="J38" s="124"/>
      <c r="L38" s="122" t="s">
        <v>124</v>
      </c>
      <c r="M38" s="122"/>
      <c r="N38" s="123" t="s">
        <v>203</v>
      </c>
      <c r="O38" s="124"/>
      <c r="Q38" s="122" t="s">
        <v>124</v>
      </c>
      <c r="R38" s="122"/>
      <c r="S38" s="123" t="s">
        <v>217</v>
      </c>
      <c r="T38" s="124"/>
    </row>
    <row r="39" spans="2:25" ht="11.25" x14ac:dyDescent="0.15">
      <c r="B39" s="122" t="s">
        <v>127</v>
      </c>
      <c r="C39" s="122"/>
      <c r="D39" s="123" t="s">
        <v>222</v>
      </c>
      <c r="E39" s="124"/>
      <c r="G39" s="122" t="s">
        <v>127</v>
      </c>
      <c r="H39" s="122"/>
      <c r="I39" s="123" t="s">
        <v>203</v>
      </c>
      <c r="J39" s="124"/>
      <c r="L39" s="122" t="s">
        <v>127</v>
      </c>
      <c r="M39" s="122"/>
      <c r="N39" s="123" t="s">
        <v>4</v>
      </c>
      <c r="O39" s="124"/>
      <c r="Q39" s="122" t="s">
        <v>127</v>
      </c>
      <c r="R39" s="122"/>
      <c r="S39" s="123" t="s">
        <v>203</v>
      </c>
      <c r="T39" s="124"/>
    </row>
    <row r="40" spans="2:25" ht="11.25" x14ac:dyDescent="0.15">
      <c r="B40" s="122" t="s">
        <v>179</v>
      </c>
      <c r="C40" s="122"/>
      <c r="D40" s="123">
        <f>D47*D45</f>
        <v>410500.00000000006</v>
      </c>
      <c r="E40" s="124"/>
      <c r="G40" s="122" t="s">
        <v>179</v>
      </c>
      <c r="H40" s="122"/>
      <c r="I40" s="123">
        <f>I45*I47</f>
        <v>410500.00000000006</v>
      </c>
      <c r="J40" s="124"/>
      <c r="L40" s="122" t="s">
        <v>129</v>
      </c>
      <c r="M40" s="122"/>
      <c r="N40" s="123">
        <f>N45*N47</f>
        <v>2117500</v>
      </c>
      <c r="O40" s="124"/>
      <c r="Q40" s="122" t="s">
        <v>179</v>
      </c>
      <c r="R40" s="122"/>
      <c r="S40" s="123">
        <f>S45*S47</f>
        <v>1045200</v>
      </c>
      <c r="T40" s="124"/>
    </row>
    <row r="41" spans="2:25" ht="11.25" x14ac:dyDescent="0.15">
      <c r="B41" s="122" t="s">
        <v>131</v>
      </c>
      <c r="C41" s="122"/>
      <c r="D41" s="123" t="s">
        <v>223</v>
      </c>
      <c r="E41" s="124"/>
      <c r="G41" s="122" t="s">
        <v>131</v>
      </c>
      <c r="H41" s="122"/>
      <c r="I41" s="123" t="s">
        <v>218</v>
      </c>
      <c r="J41" s="124"/>
      <c r="L41" s="122" t="s">
        <v>131</v>
      </c>
      <c r="M41" s="122"/>
      <c r="N41" s="123" t="s">
        <v>207</v>
      </c>
      <c r="O41" s="124"/>
      <c r="Q41" s="122" t="s">
        <v>131</v>
      </c>
      <c r="R41" s="122"/>
      <c r="S41" s="123" t="s">
        <v>218</v>
      </c>
      <c r="T41" s="124"/>
    </row>
    <row r="42" spans="2:25" ht="11.25" x14ac:dyDescent="0.15">
      <c r="B42" s="122" t="s">
        <v>134</v>
      </c>
      <c r="C42" s="122"/>
      <c r="D42" s="128">
        <f>D37+98</f>
        <v>43327</v>
      </c>
      <c r="E42" s="124"/>
      <c r="G42" s="122" t="s">
        <v>134</v>
      </c>
      <c r="H42" s="122"/>
      <c r="I42" s="128">
        <f>I37+98</f>
        <v>43327</v>
      </c>
      <c r="J42" s="124"/>
      <c r="L42" s="122" t="s">
        <v>134</v>
      </c>
      <c r="M42" s="122"/>
      <c r="N42" s="128">
        <v>43266</v>
      </c>
      <c r="O42" s="124"/>
      <c r="Q42" s="122" t="s">
        <v>134</v>
      </c>
      <c r="R42" s="122"/>
      <c r="S42" s="128">
        <v>43266</v>
      </c>
      <c r="T42" s="124"/>
    </row>
    <row r="43" spans="2:25" ht="11.25" x14ac:dyDescent="0.15">
      <c r="B43" s="122" t="s">
        <v>136</v>
      </c>
      <c r="C43" s="122"/>
      <c r="D43" s="123">
        <v>470.5</v>
      </c>
      <c r="E43" s="124"/>
      <c r="G43" s="122" t="s">
        <v>136</v>
      </c>
      <c r="H43" s="122"/>
      <c r="I43" s="123">
        <v>470.5</v>
      </c>
      <c r="J43" s="124"/>
      <c r="L43" s="122" t="s">
        <v>136</v>
      </c>
      <c r="M43" s="131"/>
      <c r="N43" s="123">
        <v>14535</v>
      </c>
      <c r="O43" s="124"/>
      <c r="Q43" s="122" t="s">
        <v>136</v>
      </c>
      <c r="R43" s="122"/>
      <c r="S43" s="123">
        <v>15250</v>
      </c>
      <c r="T43" s="124"/>
    </row>
    <row r="44" spans="2:25" ht="11.25" x14ac:dyDescent="0.15">
      <c r="B44" s="122" t="s">
        <v>138</v>
      </c>
      <c r="C44" s="122"/>
      <c r="D44" s="123">
        <v>470.5</v>
      </c>
      <c r="E44" s="124"/>
      <c r="F44" s="100">
        <f>D44*1.55/100</f>
        <v>7.2927499999999998</v>
      </c>
      <c r="G44" s="122" t="s">
        <v>138</v>
      </c>
      <c r="H44" s="122"/>
      <c r="I44" s="123">
        <v>470.5</v>
      </c>
      <c r="J44" s="124"/>
      <c r="L44" s="122" t="s">
        <v>138</v>
      </c>
      <c r="M44" s="122"/>
      <c r="N44" s="123">
        <v>14500</v>
      </c>
      <c r="O44" s="124"/>
      <c r="Q44" s="122" t="s">
        <v>138</v>
      </c>
      <c r="R44" s="122"/>
      <c r="S44" s="123">
        <v>14500</v>
      </c>
      <c r="T44" s="124"/>
    </row>
    <row r="45" spans="2:25" ht="11.25" x14ac:dyDescent="0.15">
      <c r="B45" s="122" t="s">
        <v>140</v>
      </c>
      <c r="C45" s="122"/>
      <c r="D45" s="123">
        <v>32.840000000000003</v>
      </c>
      <c r="E45" s="124"/>
      <c r="G45" s="122" t="s">
        <v>140</v>
      </c>
      <c r="H45" s="122"/>
      <c r="I45" s="123">
        <v>32.840000000000003</v>
      </c>
      <c r="J45" s="124"/>
      <c r="L45" s="122" t="s">
        <v>140</v>
      </c>
      <c r="M45" s="122"/>
      <c r="N45" s="123">
        <v>423.5</v>
      </c>
      <c r="O45" s="124"/>
      <c r="Q45" s="122" t="s">
        <v>197</v>
      </c>
      <c r="R45" s="122"/>
      <c r="S45" s="123">
        <v>209.04</v>
      </c>
      <c r="T45" s="124"/>
    </row>
    <row r="46" spans="2:25" ht="11.25" x14ac:dyDescent="0.15">
      <c r="B46" s="122" t="s">
        <v>198</v>
      </c>
      <c r="C46" s="122"/>
      <c r="D46" s="123" t="s">
        <v>201</v>
      </c>
      <c r="E46" s="124"/>
      <c r="G46" s="122" t="s">
        <v>142</v>
      </c>
      <c r="H46" s="122"/>
      <c r="I46" s="123" t="s">
        <v>201</v>
      </c>
      <c r="J46" s="124"/>
      <c r="L46" s="122" t="s">
        <v>142</v>
      </c>
      <c r="M46" s="122"/>
      <c r="N46" s="123" t="s">
        <v>209</v>
      </c>
      <c r="O46" s="124"/>
      <c r="Q46" s="122" t="s">
        <v>142</v>
      </c>
      <c r="R46" s="122"/>
      <c r="S46" s="123" t="s">
        <v>219</v>
      </c>
      <c r="T46" s="124"/>
    </row>
    <row r="47" spans="2:25" ht="11.25" x14ac:dyDescent="0.15">
      <c r="B47" s="122" t="s">
        <v>145</v>
      </c>
      <c r="C47" s="122"/>
      <c r="D47" s="123">
        <v>12500</v>
      </c>
      <c r="E47" s="124"/>
      <c r="G47" s="122" t="s">
        <v>145</v>
      </c>
      <c r="H47" s="122"/>
      <c r="I47" s="123">
        <v>12500</v>
      </c>
      <c r="J47" s="124"/>
      <c r="L47" s="122" t="s">
        <v>145</v>
      </c>
      <c r="M47" s="122"/>
      <c r="N47" s="123">
        <v>5000</v>
      </c>
      <c r="O47" s="124"/>
      <c r="Q47" s="122" t="s">
        <v>145</v>
      </c>
      <c r="R47" s="122"/>
      <c r="S47" s="123">
        <v>5000</v>
      </c>
      <c r="T47" s="124"/>
    </row>
    <row r="48" spans="2:25" ht="12" thickBot="1" x14ac:dyDescent="0.2">
      <c r="B48" s="125" t="s">
        <v>147</v>
      </c>
      <c r="C48" s="125"/>
      <c r="D48" s="126" t="s">
        <v>224</v>
      </c>
      <c r="E48" s="127"/>
      <c r="G48" s="125" t="s">
        <v>147</v>
      </c>
      <c r="H48" s="125"/>
      <c r="I48" s="126" t="s">
        <v>206</v>
      </c>
      <c r="J48" s="127"/>
      <c r="L48" s="125" t="s">
        <v>147</v>
      </c>
      <c r="M48" s="125"/>
      <c r="N48" s="126" t="s">
        <v>204</v>
      </c>
      <c r="O48" s="127"/>
      <c r="Q48" s="125" t="s">
        <v>147</v>
      </c>
      <c r="R48" s="125"/>
      <c r="S48" s="126" t="s">
        <v>206</v>
      </c>
      <c r="T48" s="127"/>
    </row>
    <row r="49" spans="2:20" ht="12.75" thickTop="1" thickBot="1" x14ac:dyDescent="0.2">
      <c r="B49" s="129" t="s">
        <v>121</v>
      </c>
      <c r="C49" s="129"/>
      <c r="D49" s="129"/>
      <c r="E49" s="129"/>
      <c r="G49" s="129" t="s">
        <v>205</v>
      </c>
      <c r="H49" s="129"/>
      <c r="I49" s="129"/>
      <c r="J49" s="129"/>
      <c r="L49" s="129" t="s">
        <v>188</v>
      </c>
      <c r="M49" s="129"/>
      <c r="N49" s="129"/>
      <c r="O49" s="129"/>
      <c r="Q49" s="129" t="s">
        <v>234</v>
      </c>
      <c r="R49" s="129"/>
      <c r="S49" s="129"/>
      <c r="T49" s="129"/>
    </row>
    <row r="50" spans="2:20" ht="12" thickTop="1" x14ac:dyDescent="0.15">
      <c r="B50" s="122" t="s">
        <v>122</v>
      </c>
      <c r="C50" s="122"/>
      <c r="D50" s="128">
        <v>43235</v>
      </c>
      <c r="E50" s="130"/>
      <c r="G50" s="122" t="s">
        <v>122</v>
      </c>
      <c r="H50" s="122"/>
      <c r="I50" s="128">
        <v>43236</v>
      </c>
      <c r="J50" s="130"/>
      <c r="L50" s="122" t="s">
        <v>122</v>
      </c>
      <c r="M50" s="122"/>
      <c r="N50" s="128">
        <v>43237</v>
      </c>
      <c r="O50" s="130"/>
      <c r="Q50" s="122" t="s">
        <v>122</v>
      </c>
      <c r="R50" s="122"/>
      <c r="S50" s="128">
        <v>43237</v>
      </c>
      <c r="T50" s="130"/>
    </row>
    <row r="51" spans="2:20" ht="11.25" x14ac:dyDescent="0.15">
      <c r="B51" s="122" t="s">
        <v>124</v>
      </c>
      <c r="C51" s="122"/>
      <c r="D51" s="123" t="s">
        <v>222</v>
      </c>
      <c r="E51" s="124"/>
      <c r="G51" s="122" t="s">
        <v>124</v>
      </c>
      <c r="H51" s="122"/>
      <c r="I51" s="123" t="s">
        <v>203</v>
      </c>
      <c r="J51" s="124"/>
      <c r="L51" s="122" t="s">
        <v>124</v>
      </c>
      <c r="M51" s="122"/>
      <c r="N51" s="123" t="s">
        <v>4</v>
      </c>
      <c r="O51" s="124"/>
      <c r="Q51" s="122" t="s">
        <v>124</v>
      </c>
      <c r="R51" s="122"/>
      <c r="S51" s="123" t="s">
        <v>4</v>
      </c>
      <c r="T51" s="124"/>
    </row>
    <row r="52" spans="2:20" ht="11.25" x14ac:dyDescent="0.15">
      <c r="B52" s="122" t="s">
        <v>127</v>
      </c>
      <c r="C52" s="122"/>
      <c r="D52" s="123" t="s">
        <v>232</v>
      </c>
      <c r="E52" s="124"/>
      <c r="G52" s="122" t="s">
        <v>127</v>
      </c>
      <c r="H52" s="122"/>
      <c r="I52" s="123" t="s">
        <v>4</v>
      </c>
      <c r="J52" s="124"/>
      <c r="L52" s="122" t="s">
        <v>127</v>
      </c>
      <c r="M52" s="122"/>
      <c r="N52" s="123" t="s">
        <v>36</v>
      </c>
      <c r="O52" s="124"/>
      <c r="Q52" s="122" t="s">
        <v>127</v>
      </c>
      <c r="R52" s="122"/>
      <c r="S52" s="123" t="s">
        <v>36</v>
      </c>
      <c r="T52" s="124"/>
    </row>
    <row r="53" spans="2:20" ht="11.25" x14ac:dyDescent="0.15">
      <c r="B53" s="122" t="s">
        <v>179</v>
      </c>
      <c r="C53" s="122"/>
      <c r="D53" s="123">
        <f>D58*D60</f>
        <v>280000</v>
      </c>
      <c r="E53" s="124"/>
      <c r="G53" s="122" t="s">
        <v>129</v>
      </c>
      <c r="H53" s="122"/>
      <c r="I53" s="123">
        <f>I58*I60</f>
        <v>936000</v>
      </c>
      <c r="J53" s="124"/>
      <c r="L53" s="122" t="s">
        <v>179</v>
      </c>
      <c r="M53" s="122"/>
      <c r="N53" s="123">
        <f>N58*N60</f>
        <v>1272000</v>
      </c>
      <c r="O53" s="124"/>
      <c r="Q53" s="122" t="s">
        <v>179</v>
      </c>
      <c r="R53" s="122"/>
      <c r="S53" s="123">
        <f>S58*S60</f>
        <v>1230000</v>
      </c>
      <c r="T53" s="124"/>
    </row>
    <row r="54" spans="2:20" ht="11.25" x14ac:dyDescent="0.15">
      <c r="B54" s="122" t="s">
        <v>131</v>
      </c>
      <c r="C54" s="122"/>
      <c r="D54" s="123" t="s">
        <v>189</v>
      </c>
      <c r="E54" s="124"/>
      <c r="G54" s="122" t="s">
        <v>131</v>
      </c>
      <c r="H54" s="122"/>
      <c r="I54" s="123" t="s">
        <v>207</v>
      </c>
      <c r="J54" s="124"/>
      <c r="L54" s="122" t="s">
        <v>131</v>
      </c>
      <c r="M54" s="122"/>
      <c r="N54" s="123" t="s">
        <v>132</v>
      </c>
      <c r="O54" s="124"/>
      <c r="Q54" s="122" t="s">
        <v>131</v>
      </c>
      <c r="R54" s="122"/>
      <c r="S54" s="123" t="s">
        <v>132</v>
      </c>
      <c r="T54" s="124"/>
    </row>
    <row r="55" spans="2:20" ht="11.25" x14ac:dyDescent="0.15">
      <c r="B55" s="122" t="s">
        <v>134</v>
      </c>
      <c r="C55" s="122"/>
      <c r="D55" s="128">
        <f>D50+87</f>
        <v>43322</v>
      </c>
      <c r="E55" s="124"/>
      <c r="G55" s="122" t="s">
        <v>134</v>
      </c>
      <c r="H55" s="122"/>
      <c r="I55" s="128">
        <v>43294</v>
      </c>
      <c r="J55" s="124"/>
      <c r="L55" s="122" t="s">
        <v>134</v>
      </c>
      <c r="M55" s="122"/>
      <c r="N55" s="128">
        <f>N50+85</f>
        <v>43322</v>
      </c>
      <c r="O55" s="124"/>
      <c r="Q55" s="122" t="s">
        <v>134</v>
      </c>
      <c r="R55" s="122"/>
      <c r="S55" s="128">
        <f>S50+85</f>
        <v>43322</v>
      </c>
      <c r="T55" s="124"/>
    </row>
    <row r="56" spans="2:20" ht="11.25" x14ac:dyDescent="0.15">
      <c r="B56" s="122" t="s">
        <v>136</v>
      </c>
      <c r="C56" s="122"/>
      <c r="D56" s="123">
        <v>14825</v>
      </c>
      <c r="E56" s="124"/>
      <c r="G56" s="122" t="s">
        <v>136</v>
      </c>
      <c r="H56" s="131"/>
      <c r="I56" s="123">
        <v>14730</v>
      </c>
      <c r="J56" s="124"/>
      <c r="L56" s="122" t="s">
        <v>136</v>
      </c>
      <c r="M56" s="122"/>
      <c r="N56" s="123">
        <v>482</v>
      </c>
      <c r="O56" s="124"/>
      <c r="Q56" s="122" t="s">
        <v>136</v>
      </c>
      <c r="R56" s="122"/>
      <c r="S56" s="123">
        <v>482.5</v>
      </c>
      <c r="T56" s="124"/>
    </row>
    <row r="57" spans="2:20" ht="11.25" x14ac:dyDescent="0.15">
      <c r="B57" s="122" t="s">
        <v>138</v>
      </c>
      <c r="C57" s="122"/>
      <c r="D57" s="123">
        <v>14100</v>
      </c>
      <c r="E57" s="124"/>
      <c r="G57" s="122" t="s">
        <v>138</v>
      </c>
      <c r="H57" s="122"/>
      <c r="I57" s="123">
        <v>14500</v>
      </c>
      <c r="J57" s="124"/>
      <c r="L57" s="122" t="s">
        <v>138</v>
      </c>
      <c r="M57" s="122"/>
      <c r="N57" s="123">
        <v>480</v>
      </c>
      <c r="O57" s="124"/>
      <c r="Q57" s="122" t="s">
        <v>138</v>
      </c>
      <c r="R57" s="122"/>
      <c r="S57" s="123">
        <v>430</v>
      </c>
      <c r="T57" s="124"/>
    </row>
    <row r="58" spans="2:20" ht="11.25" x14ac:dyDescent="0.15">
      <c r="B58" s="122" t="s">
        <v>140</v>
      </c>
      <c r="C58" s="122"/>
      <c r="D58" s="123">
        <v>140</v>
      </c>
      <c r="E58" s="124"/>
      <c r="G58" s="122" t="s">
        <v>140</v>
      </c>
      <c r="H58" s="122"/>
      <c r="I58" s="123">
        <v>312</v>
      </c>
      <c r="J58" s="124"/>
      <c r="L58" s="122" t="s">
        <v>140</v>
      </c>
      <c r="M58" s="122"/>
      <c r="N58" s="123">
        <v>31.8</v>
      </c>
      <c r="O58" s="124"/>
      <c r="Q58" s="122" t="s">
        <v>140</v>
      </c>
      <c r="R58" s="122"/>
      <c r="S58" s="123">
        <v>12.3</v>
      </c>
      <c r="T58" s="124"/>
    </row>
    <row r="59" spans="2:20" ht="11.25" x14ac:dyDescent="0.15">
      <c r="B59" s="122" t="s">
        <v>142</v>
      </c>
      <c r="C59" s="122"/>
      <c r="D59" s="123" t="s">
        <v>231</v>
      </c>
      <c r="E59" s="124"/>
      <c r="G59" s="122" t="s">
        <v>142</v>
      </c>
      <c r="H59" s="122"/>
      <c r="I59" s="123" t="s">
        <v>233</v>
      </c>
      <c r="J59" s="124"/>
      <c r="L59" s="122" t="s">
        <v>142</v>
      </c>
      <c r="M59" s="122"/>
      <c r="N59" s="123" t="s">
        <v>201</v>
      </c>
      <c r="O59" s="124"/>
      <c r="Q59" s="122" t="s">
        <v>142</v>
      </c>
      <c r="R59" s="122"/>
      <c r="S59" s="123" t="s">
        <v>201</v>
      </c>
      <c r="T59" s="124"/>
    </row>
    <row r="60" spans="2:20" ht="11.25" x14ac:dyDescent="0.15">
      <c r="B60" s="122" t="s">
        <v>145</v>
      </c>
      <c r="C60" s="122"/>
      <c r="D60" s="123">
        <v>2000</v>
      </c>
      <c r="E60" s="124"/>
      <c r="G60" s="122" t="s">
        <v>145</v>
      </c>
      <c r="H60" s="122"/>
      <c r="I60" s="123">
        <v>3000</v>
      </c>
      <c r="J60" s="124"/>
      <c r="L60" s="122" t="s">
        <v>145</v>
      </c>
      <c r="M60" s="122"/>
      <c r="N60" s="123">
        <v>40000</v>
      </c>
      <c r="O60" s="124"/>
      <c r="Q60" s="122" t="s">
        <v>145</v>
      </c>
      <c r="R60" s="122"/>
      <c r="S60" s="123">
        <v>100000</v>
      </c>
      <c r="T60" s="124"/>
    </row>
    <row r="61" spans="2:20" ht="12" thickBot="1" x14ac:dyDescent="0.2">
      <c r="B61" s="125" t="s">
        <v>147</v>
      </c>
      <c r="C61" s="125"/>
      <c r="D61" s="126" t="s">
        <v>206</v>
      </c>
      <c r="E61" s="127"/>
      <c r="G61" s="125" t="s">
        <v>147</v>
      </c>
      <c r="H61" s="125"/>
      <c r="I61" s="126" t="s">
        <v>204</v>
      </c>
      <c r="J61" s="127"/>
      <c r="L61" s="125" t="s">
        <v>147</v>
      </c>
      <c r="M61" s="125"/>
      <c r="N61" s="126" t="s">
        <v>206</v>
      </c>
      <c r="O61" s="127"/>
      <c r="Q61" s="125" t="s">
        <v>147</v>
      </c>
      <c r="R61" s="125"/>
      <c r="S61" s="126" t="s">
        <v>206</v>
      </c>
      <c r="T61" s="127"/>
    </row>
    <row r="62" spans="2:20" ht="11.25" thickTop="1" x14ac:dyDescent="0.15"/>
    <row r="63" spans="2:20" ht="12" thickBot="1" x14ac:dyDescent="0.2">
      <c r="G63" s="129" t="s">
        <v>239</v>
      </c>
      <c r="H63" s="129"/>
      <c r="I63" s="129"/>
      <c r="J63" s="129"/>
      <c r="L63" s="129" t="s">
        <v>240</v>
      </c>
      <c r="M63" s="129"/>
      <c r="N63" s="129"/>
      <c r="O63" s="129"/>
    </row>
    <row r="64" spans="2:20" ht="12" thickTop="1" x14ac:dyDescent="0.15">
      <c r="G64" s="122" t="s">
        <v>122</v>
      </c>
      <c r="H64" s="122"/>
      <c r="I64" s="128">
        <v>43248</v>
      </c>
      <c r="J64" s="130"/>
      <c r="L64" s="122" t="s">
        <v>122</v>
      </c>
      <c r="M64" s="122"/>
      <c r="N64" s="128">
        <v>43248</v>
      </c>
      <c r="O64" s="130"/>
    </row>
    <row r="65" spans="7:17" ht="11.25" x14ac:dyDescent="0.15">
      <c r="G65" s="122" t="s">
        <v>124</v>
      </c>
      <c r="H65" s="122"/>
      <c r="I65" s="123" t="s">
        <v>237</v>
      </c>
      <c r="J65" s="124"/>
      <c r="L65" s="122" t="s">
        <v>124</v>
      </c>
      <c r="M65" s="122"/>
      <c r="N65" s="123" t="s">
        <v>237</v>
      </c>
      <c r="O65" s="124"/>
    </row>
    <row r="66" spans="7:17" ht="11.25" x14ac:dyDescent="0.15">
      <c r="G66" s="122" t="s">
        <v>127</v>
      </c>
      <c r="H66" s="122"/>
      <c r="I66" s="123" t="s">
        <v>36</v>
      </c>
      <c r="J66" s="124"/>
      <c r="L66" s="122" t="s">
        <v>127</v>
      </c>
      <c r="M66" s="122"/>
      <c r="N66" s="123" t="s">
        <v>36</v>
      </c>
      <c r="O66" s="124"/>
    </row>
    <row r="67" spans="7:17" ht="11.25" x14ac:dyDescent="0.15">
      <c r="G67" s="122" t="s">
        <v>179</v>
      </c>
      <c r="H67" s="122"/>
      <c r="I67" s="123">
        <f>I72*I74</f>
        <v>244200.00000000003</v>
      </c>
      <c r="J67" s="124"/>
      <c r="L67" s="122" t="s">
        <v>179</v>
      </c>
      <c r="M67" s="122"/>
      <c r="N67" s="123">
        <f>N72*N74</f>
        <v>244200.00000000003</v>
      </c>
      <c r="O67" s="124"/>
    </row>
    <row r="68" spans="7:17" ht="11.25" x14ac:dyDescent="0.15">
      <c r="G68" s="122" t="s">
        <v>131</v>
      </c>
      <c r="H68" s="122"/>
      <c r="I68" s="123" t="s">
        <v>132</v>
      </c>
      <c r="J68" s="124"/>
      <c r="L68" s="122" t="s">
        <v>131</v>
      </c>
      <c r="M68" s="122"/>
      <c r="N68" s="123" t="s">
        <v>238</v>
      </c>
      <c r="O68" s="124"/>
    </row>
    <row r="69" spans="7:17" ht="11.25" x14ac:dyDescent="0.15">
      <c r="G69" s="122" t="s">
        <v>134</v>
      </c>
      <c r="H69" s="122"/>
      <c r="I69" s="128">
        <f>I64+79</f>
        <v>43327</v>
      </c>
      <c r="J69" s="124"/>
      <c r="L69" s="122" t="s">
        <v>134</v>
      </c>
      <c r="M69" s="122"/>
      <c r="N69" s="128">
        <f>N64+79</f>
        <v>43327</v>
      </c>
      <c r="O69" s="124"/>
    </row>
    <row r="70" spans="7:17" ht="11.25" x14ac:dyDescent="0.15">
      <c r="G70" s="122" t="s">
        <v>136</v>
      </c>
      <c r="H70" s="122"/>
      <c r="I70" s="123">
        <v>456.5</v>
      </c>
      <c r="J70" s="124"/>
      <c r="L70" s="122" t="s">
        <v>136</v>
      </c>
      <c r="M70" s="122"/>
      <c r="N70" s="123">
        <v>456.5</v>
      </c>
      <c r="O70" s="124"/>
    </row>
    <row r="71" spans="7:17" ht="11.25" x14ac:dyDescent="0.15">
      <c r="G71" s="122" t="s">
        <v>138</v>
      </c>
      <c r="H71" s="122"/>
      <c r="I71" s="123">
        <v>456.5</v>
      </c>
      <c r="J71" s="124"/>
      <c r="L71" s="122" t="s">
        <v>138</v>
      </c>
      <c r="M71" s="122"/>
      <c r="N71" s="123">
        <v>456.5</v>
      </c>
      <c r="O71" s="124"/>
    </row>
    <row r="72" spans="7:17" ht="11.25" x14ac:dyDescent="0.15">
      <c r="G72" s="122" t="s">
        <v>140</v>
      </c>
      <c r="H72" s="122"/>
      <c r="I72" s="123">
        <v>24.42</v>
      </c>
      <c r="J72" s="124"/>
      <c r="L72" s="122" t="s">
        <v>140</v>
      </c>
      <c r="M72" s="122"/>
      <c r="N72" s="123">
        <v>24.42</v>
      </c>
      <c r="O72" s="124"/>
      <c r="Q72" s="100">
        <f>N72/N71</f>
        <v>5.349397590361446E-2</v>
      </c>
    </row>
    <row r="73" spans="7:17" ht="11.25" x14ac:dyDescent="0.15">
      <c r="G73" s="122" t="s">
        <v>142</v>
      </c>
      <c r="H73" s="122"/>
      <c r="I73" s="123" t="s">
        <v>201</v>
      </c>
      <c r="J73" s="124"/>
      <c r="L73" s="122" t="s">
        <v>142</v>
      </c>
      <c r="M73" s="122"/>
      <c r="N73" s="123" t="s">
        <v>201</v>
      </c>
      <c r="O73" s="124"/>
    </row>
    <row r="74" spans="7:17" ht="11.25" x14ac:dyDescent="0.15">
      <c r="G74" s="122" t="s">
        <v>145</v>
      </c>
      <c r="H74" s="122"/>
      <c r="I74" s="123">
        <v>10000</v>
      </c>
      <c r="J74" s="124"/>
      <c r="L74" s="122" t="s">
        <v>145</v>
      </c>
      <c r="M74" s="122"/>
      <c r="N74" s="123">
        <v>10000</v>
      </c>
      <c r="O74" s="124"/>
    </row>
    <row r="75" spans="7:17" ht="12" thickBot="1" x14ac:dyDescent="0.2">
      <c r="G75" s="125" t="s">
        <v>147</v>
      </c>
      <c r="H75" s="125"/>
      <c r="I75" s="126" t="s">
        <v>206</v>
      </c>
      <c r="J75" s="127"/>
      <c r="L75" s="125" t="s">
        <v>147</v>
      </c>
      <c r="M75" s="125"/>
      <c r="N75" s="126" t="s">
        <v>206</v>
      </c>
      <c r="O75" s="127"/>
    </row>
    <row r="76" spans="7:17" ht="11.25" thickTop="1" x14ac:dyDescent="0.15"/>
    <row r="77" spans="7:17" ht="12" thickBot="1" x14ac:dyDescent="0.2">
      <c r="G77" s="129" t="s">
        <v>239</v>
      </c>
      <c r="H77" s="129"/>
      <c r="I77" s="129"/>
      <c r="J77" s="129"/>
      <c r="L77" s="129" t="s">
        <v>240</v>
      </c>
      <c r="M77" s="129"/>
      <c r="N77" s="129"/>
      <c r="O77" s="129"/>
    </row>
    <row r="78" spans="7:17" ht="12" thickTop="1" x14ac:dyDescent="0.15">
      <c r="G78" s="122" t="s">
        <v>122</v>
      </c>
      <c r="H78" s="122"/>
      <c r="I78" s="128">
        <v>43248</v>
      </c>
      <c r="J78" s="130"/>
      <c r="L78" s="122" t="s">
        <v>122</v>
      </c>
      <c r="M78" s="122"/>
      <c r="N78" s="128">
        <v>43248</v>
      </c>
      <c r="O78" s="130"/>
    </row>
    <row r="79" spans="7:17" ht="11.25" x14ac:dyDescent="0.15">
      <c r="G79" s="122" t="s">
        <v>124</v>
      </c>
      <c r="H79" s="122"/>
      <c r="I79" s="123" t="s">
        <v>237</v>
      </c>
      <c r="J79" s="124"/>
      <c r="L79" s="122" t="s">
        <v>124</v>
      </c>
      <c r="M79" s="122"/>
      <c r="N79" s="123" t="s">
        <v>237</v>
      </c>
      <c r="O79" s="124"/>
    </row>
    <row r="80" spans="7:17" ht="11.25" x14ac:dyDescent="0.15">
      <c r="G80" s="122" t="s">
        <v>127</v>
      </c>
      <c r="H80" s="122"/>
      <c r="I80" s="123" t="s">
        <v>36</v>
      </c>
      <c r="J80" s="124"/>
      <c r="L80" s="122" t="s">
        <v>127</v>
      </c>
      <c r="M80" s="122"/>
      <c r="N80" s="123" t="s">
        <v>36</v>
      </c>
      <c r="O80" s="124"/>
    </row>
    <row r="81" spans="7:16" ht="11.25" x14ac:dyDescent="0.15">
      <c r="G81" s="122" t="s">
        <v>179</v>
      </c>
      <c r="H81" s="122"/>
      <c r="I81" s="123">
        <f>I86*I88</f>
        <v>244200.00000000003</v>
      </c>
      <c r="J81" s="124"/>
      <c r="L81" s="122" t="s">
        <v>179</v>
      </c>
      <c r="M81" s="122"/>
      <c r="N81" s="123">
        <f>N86*N88</f>
        <v>244200.00000000003</v>
      </c>
      <c r="O81" s="124"/>
    </row>
    <row r="82" spans="7:16" ht="11.25" x14ac:dyDescent="0.15">
      <c r="G82" s="122" t="s">
        <v>131</v>
      </c>
      <c r="H82" s="122"/>
      <c r="I82" s="123" t="s">
        <v>132</v>
      </c>
      <c r="J82" s="124"/>
      <c r="L82" s="122" t="s">
        <v>131</v>
      </c>
      <c r="M82" s="122"/>
      <c r="N82" s="123" t="s">
        <v>238</v>
      </c>
      <c r="O82" s="124"/>
    </row>
    <row r="83" spans="7:16" ht="11.25" x14ac:dyDescent="0.15">
      <c r="G83" s="122" t="s">
        <v>134</v>
      </c>
      <c r="H83" s="122"/>
      <c r="I83" s="128">
        <f>I78+31</f>
        <v>43279</v>
      </c>
      <c r="J83" s="124"/>
      <c r="L83" s="122" t="s">
        <v>134</v>
      </c>
      <c r="M83" s="122"/>
      <c r="N83" s="128">
        <f>N78+31</f>
        <v>43279</v>
      </c>
      <c r="O83" s="124"/>
    </row>
    <row r="84" spans="7:16" ht="11.25" x14ac:dyDescent="0.15">
      <c r="G84" s="122" t="s">
        <v>136</v>
      </c>
      <c r="H84" s="122"/>
      <c r="I84" s="123">
        <v>456.5</v>
      </c>
      <c r="J84" s="124"/>
      <c r="L84" s="122" t="s">
        <v>136</v>
      </c>
      <c r="M84" s="122"/>
      <c r="N84" s="123">
        <v>456.5</v>
      </c>
      <c r="O84" s="124"/>
      <c r="P84" s="100">
        <f>N84*3.5/100</f>
        <v>15.977499999999999</v>
      </c>
    </row>
    <row r="85" spans="7:16" ht="11.25" x14ac:dyDescent="0.15">
      <c r="G85" s="122" t="s">
        <v>138</v>
      </c>
      <c r="H85" s="122"/>
      <c r="I85" s="123">
        <v>456.5</v>
      </c>
      <c r="J85" s="124"/>
      <c r="L85" s="122" t="s">
        <v>138</v>
      </c>
      <c r="M85" s="122"/>
      <c r="N85" s="123">
        <v>456.5</v>
      </c>
      <c r="O85" s="124"/>
    </row>
    <row r="86" spans="7:16" ht="11.25" x14ac:dyDescent="0.15">
      <c r="G86" s="122" t="s">
        <v>140</v>
      </c>
      <c r="H86" s="122"/>
      <c r="I86" s="123">
        <v>24.42</v>
      </c>
      <c r="J86" s="124"/>
      <c r="L86" s="122" t="s">
        <v>140</v>
      </c>
      <c r="M86" s="122"/>
      <c r="N86" s="123">
        <v>24.42</v>
      </c>
      <c r="O86" s="124"/>
    </row>
    <row r="87" spans="7:16" ht="11.25" x14ac:dyDescent="0.15">
      <c r="G87" s="122" t="s">
        <v>142</v>
      </c>
      <c r="H87" s="122"/>
      <c r="I87" s="123" t="s">
        <v>201</v>
      </c>
      <c r="J87" s="124"/>
      <c r="L87" s="122" t="s">
        <v>142</v>
      </c>
      <c r="M87" s="122"/>
      <c r="N87" s="123" t="s">
        <v>201</v>
      </c>
      <c r="O87" s="124"/>
    </row>
    <row r="88" spans="7:16" ht="11.25" x14ac:dyDescent="0.15">
      <c r="G88" s="122" t="s">
        <v>145</v>
      </c>
      <c r="H88" s="122"/>
      <c r="I88" s="123">
        <v>10000</v>
      </c>
      <c r="J88" s="124"/>
      <c r="L88" s="122" t="s">
        <v>145</v>
      </c>
      <c r="M88" s="122"/>
      <c r="N88" s="123">
        <v>10000</v>
      </c>
      <c r="O88" s="124"/>
    </row>
    <row r="89" spans="7:16" ht="12" thickBot="1" x14ac:dyDescent="0.2">
      <c r="G89" s="125" t="s">
        <v>147</v>
      </c>
      <c r="H89" s="125"/>
      <c r="I89" s="126" t="s">
        <v>206</v>
      </c>
      <c r="J89" s="127"/>
      <c r="L89" s="125" t="s">
        <v>147</v>
      </c>
      <c r="M89" s="125"/>
      <c r="N89" s="126" t="s">
        <v>206</v>
      </c>
      <c r="O89" s="127"/>
    </row>
    <row r="90" spans="7:16" ht="11.25" thickTop="1" x14ac:dyDescent="0.15"/>
  </sheetData>
  <mergeCells count="526">
    <mergeCell ref="G88:H88"/>
    <mergeCell ref="I88:J88"/>
    <mergeCell ref="L88:M88"/>
    <mergeCell ref="N88:O88"/>
    <mergeCell ref="G89:H89"/>
    <mergeCell ref="I89:J89"/>
    <mergeCell ref="L89:M89"/>
    <mergeCell ref="N89:O89"/>
    <mergeCell ref="G85:H85"/>
    <mergeCell ref="I85:J85"/>
    <mergeCell ref="L85:M85"/>
    <mergeCell ref="N85:O85"/>
    <mergeCell ref="G86:H86"/>
    <mergeCell ref="I86:J86"/>
    <mergeCell ref="L86:M86"/>
    <mergeCell ref="N86:O86"/>
    <mergeCell ref="G87:H87"/>
    <mergeCell ref="I87:J87"/>
    <mergeCell ref="L87:M87"/>
    <mergeCell ref="N87:O87"/>
    <mergeCell ref="G82:H82"/>
    <mergeCell ref="I82:J82"/>
    <mergeCell ref="L82:M82"/>
    <mergeCell ref="N82:O82"/>
    <mergeCell ref="G83:H83"/>
    <mergeCell ref="I83:J83"/>
    <mergeCell ref="L83:M83"/>
    <mergeCell ref="N83:O83"/>
    <mergeCell ref="G84:H84"/>
    <mergeCell ref="I84:J84"/>
    <mergeCell ref="L84:M84"/>
    <mergeCell ref="N84:O84"/>
    <mergeCell ref="G79:H79"/>
    <mergeCell ref="I79:J79"/>
    <mergeCell ref="L79:M79"/>
    <mergeCell ref="N79:O79"/>
    <mergeCell ref="G80:H80"/>
    <mergeCell ref="I80:J80"/>
    <mergeCell ref="L80:M80"/>
    <mergeCell ref="N80:O80"/>
    <mergeCell ref="G81:H81"/>
    <mergeCell ref="I81:J81"/>
    <mergeCell ref="L81:M81"/>
    <mergeCell ref="N81:O81"/>
    <mergeCell ref="L73:M73"/>
    <mergeCell ref="N73:O73"/>
    <mergeCell ref="L74:M74"/>
    <mergeCell ref="N74:O74"/>
    <mergeCell ref="L75:M75"/>
    <mergeCell ref="N75:O75"/>
    <mergeCell ref="G77:J77"/>
    <mergeCell ref="L77:O77"/>
    <mergeCell ref="G78:H78"/>
    <mergeCell ref="I78:J78"/>
    <mergeCell ref="L78:M78"/>
    <mergeCell ref="N78:O78"/>
    <mergeCell ref="G73:H73"/>
    <mergeCell ref="I73:J73"/>
    <mergeCell ref="G74:H74"/>
    <mergeCell ref="I74:J74"/>
    <mergeCell ref="G75:H75"/>
    <mergeCell ref="I75:J75"/>
    <mergeCell ref="L68:M68"/>
    <mergeCell ref="N68:O68"/>
    <mergeCell ref="L69:M69"/>
    <mergeCell ref="N69:O69"/>
    <mergeCell ref="L70:M70"/>
    <mergeCell ref="N70:O70"/>
    <mergeCell ref="L71:M71"/>
    <mergeCell ref="N71:O71"/>
    <mergeCell ref="L72:M72"/>
    <mergeCell ref="N72:O72"/>
    <mergeCell ref="L63:O63"/>
    <mergeCell ref="L64:M64"/>
    <mergeCell ref="N64:O64"/>
    <mergeCell ref="L65:M65"/>
    <mergeCell ref="N65:O65"/>
    <mergeCell ref="L66:M66"/>
    <mergeCell ref="N66:O66"/>
    <mergeCell ref="L67:M67"/>
    <mergeCell ref="N67:O67"/>
    <mergeCell ref="G68:H68"/>
    <mergeCell ref="I68:J68"/>
    <mergeCell ref="G69:H69"/>
    <mergeCell ref="I69:J69"/>
    <mergeCell ref="G70:H70"/>
    <mergeCell ref="I70:J70"/>
    <mergeCell ref="G71:H71"/>
    <mergeCell ref="I71:J71"/>
    <mergeCell ref="G72:H72"/>
    <mergeCell ref="I72:J72"/>
    <mergeCell ref="G63:J63"/>
    <mergeCell ref="G64:H64"/>
    <mergeCell ref="I64:J64"/>
    <mergeCell ref="G65:H65"/>
    <mergeCell ref="I65:J65"/>
    <mergeCell ref="G66:H66"/>
    <mergeCell ref="I66:J66"/>
    <mergeCell ref="G67:H67"/>
    <mergeCell ref="I67:J67"/>
    <mergeCell ref="Q59:R59"/>
    <mergeCell ref="S59:T59"/>
    <mergeCell ref="Q60:R60"/>
    <mergeCell ref="S60:T60"/>
    <mergeCell ref="Q61:R61"/>
    <mergeCell ref="S61:T61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49:T49"/>
    <mergeCell ref="Q50:R50"/>
    <mergeCell ref="S50:T50"/>
    <mergeCell ref="Q51:R51"/>
    <mergeCell ref="S51:T51"/>
    <mergeCell ref="Q52:R52"/>
    <mergeCell ref="S52:T52"/>
    <mergeCell ref="Q53:R53"/>
    <mergeCell ref="S53:T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L49:O49"/>
    <mergeCell ref="L50:M50"/>
    <mergeCell ref="N50:O50"/>
    <mergeCell ref="L51:M51"/>
    <mergeCell ref="N51:O51"/>
    <mergeCell ref="L52:M52"/>
    <mergeCell ref="N52:O52"/>
    <mergeCell ref="L53:M53"/>
    <mergeCell ref="N53:O53"/>
    <mergeCell ref="L59:M59"/>
    <mergeCell ref="N59:O59"/>
    <mergeCell ref="L60:M60"/>
    <mergeCell ref="N60:O60"/>
    <mergeCell ref="L61:M61"/>
    <mergeCell ref="N61:O61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51"/>
  <sheetViews>
    <sheetView tabSelected="1" topLeftCell="A16" zoomScaleNormal="100" workbookViewId="0">
      <selection activeCell="H53" sqref="H53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2.2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 x14ac:dyDescent="0.2">
      <c r="B1" s="144" t="s">
        <v>37</v>
      </c>
      <c r="C1" s="144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192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202</v>
      </c>
      <c r="E8" s="8">
        <f t="shared" ref="E8:E9" ca="1" si="0">TODAY()</f>
        <v>43259</v>
      </c>
      <c r="F8" s="8">
        <f t="shared" ref="F8" ca="1" si="1">E8+H8</f>
        <v>43350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-2.9400333487185009</v>
      </c>
      <c r="M8" s="15"/>
      <c r="N8" s="13">
        <f t="shared" ref="N8" si="2">M8/10000*I8*P8</f>
        <v>0</v>
      </c>
      <c r="O8" s="13">
        <f>IF(L8&lt;=0,ABS(L8)+N8,L8-N8)</f>
        <v>2.9400333487185009</v>
      </c>
      <c r="P8" s="11">
        <f>RTD("wdf.rtq",,D8,"LastPrice")</f>
        <v>14910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1.9718533525945681E-4</v>
      </c>
      <c r="U8" s="13">
        <f>_xll.dnetGBlackScholesNGreeks("delta",$Q8,$P8,$G8,$I8,$C$3,$J8,$K8,$C$4)*R8</f>
        <v>5.6907216674062511E-3</v>
      </c>
      <c r="V8" s="13">
        <f>_xll.dnetGBlackScholesNGreeks("vega",$Q8,$P8,$G8,$I8,$C$3,$J8,$K8,$C$4)*R8</f>
        <v>-1.2158314933456538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202</v>
      </c>
      <c r="E9" s="8">
        <f t="shared" ca="1" si="0"/>
        <v>43259</v>
      </c>
      <c r="F9" s="8">
        <f t="shared" ref="F9" ca="1" si="5">E9+H9</f>
        <v>43806.5</v>
      </c>
      <c r="G9" s="10">
        <v>100</v>
      </c>
      <c r="H9" s="10">
        <f>365*1.5</f>
        <v>547.5</v>
      </c>
      <c r="I9" s="12">
        <f>H9/365</f>
        <v>1.5</v>
      </c>
      <c r="J9" s="12">
        <v>-0.02</v>
      </c>
      <c r="K9" s="9">
        <v>0.24</v>
      </c>
      <c r="L9" s="13">
        <f>_xll.dnetGBlackScholesNGreeks("price",$Q9,$P9,$G9,$I9,$C$3,$J9,$K9,$C$4)*R9</f>
        <v>-9.7951575710743981</v>
      </c>
      <c r="M9" s="15"/>
      <c r="N9" s="13">
        <f t="shared" ref="N9:N10" si="6">M9/10000*I9*P9</f>
        <v>0</v>
      </c>
      <c r="O9" s="13">
        <f>IF(L9&lt;=0,ABS(L9)+N9,L9-N9)</f>
        <v>9.7951575710743981</v>
      </c>
      <c r="P9" s="11">
        <v>100</v>
      </c>
      <c r="Q9" s="10" t="s">
        <v>39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9.7951575710743977E-2</v>
      </c>
      <c r="U9" s="13">
        <f>_xll.dnetGBlackScholesNGreeks("delta",$Q9,$P9,$G9,$I9,$C$3,$J9,$K9,$C$4)*R9</f>
        <v>-0.48774870742995802</v>
      </c>
      <c r="V9" s="13">
        <f>_xll.dnetGBlackScholesNGreeks("vega",$Q9,$P9,$G9,$I9,$C$3,$J9,$K9,$C$4)*R9</f>
        <v>-0.45967774731490252</v>
      </c>
    </row>
    <row r="10" spans="1:25" x14ac:dyDescent="0.15">
      <c r="N10" s="6">
        <f t="shared" si="6"/>
        <v>0</v>
      </c>
    </row>
    <row r="11" spans="1:25" x14ac:dyDescent="0.15">
      <c r="E11" s="117"/>
      <c r="F11" s="117"/>
    </row>
    <row r="13" spans="1:25" ht="10.5" customHeight="1" x14ac:dyDescent="0.15">
      <c r="A13" s="34"/>
      <c r="B13" s="13" t="s">
        <v>172</v>
      </c>
      <c r="C13" s="10" t="s">
        <v>160</v>
      </c>
      <c r="D13" s="10" t="s">
        <v>202</v>
      </c>
      <c r="E13" s="8">
        <f t="shared" ref="E13:E51" ca="1" si="9">TODAY()</f>
        <v>43259</v>
      </c>
      <c r="F13" s="8">
        <f t="shared" ref="F13:F17" ca="1" si="10">E13+H13</f>
        <v>43316</v>
      </c>
      <c r="G13" s="11">
        <v>3300</v>
      </c>
      <c r="H13" s="10">
        <v>57</v>
      </c>
      <c r="I13" s="12">
        <f t="shared" ref="I13:I17" si="11">H13/365</f>
        <v>0.15616438356164383</v>
      </c>
      <c r="J13" s="12">
        <v>0</v>
      </c>
      <c r="K13" s="116">
        <v>0.18</v>
      </c>
      <c r="L13" s="13">
        <f>_xll.dnetGBlackScholesNGreeks("price",$Q13,$P13,$G13,$I13,$C$3,$J13,$K13,$C$4)*R13</f>
        <v>1.0764254579981695E-98</v>
      </c>
      <c r="M13" s="15"/>
      <c r="N13" s="13">
        <f t="shared" ref="N13:N17" si="12">M13/10000*I13*P13</f>
        <v>0</v>
      </c>
      <c r="O13" s="13">
        <f t="shared" ref="O13:O17" si="13">IF(L13&lt;=0,ABS(L13)+N13,L13-N13)</f>
        <v>1.0764254579981695E-98</v>
      </c>
      <c r="P13" s="11">
        <f>RTD("wdf.rtq",,D13,"LastPrice")</f>
        <v>14910</v>
      </c>
      <c r="Q13" s="10" t="s">
        <v>85</v>
      </c>
      <c r="R13" s="10">
        <f t="shared" ref="R13:R17" si="14">IF(S13="中金买入",1,-1)</f>
        <v>1</v>
      </c>
      <c r="S13" s="10" t="s">
        <v>151</v>
      </c>
      <c r="T13" s="14">
        <f t="shared" ref="T13:T17" si="15">O13/P13</f>
        <v>7.2194866398267574E-103</v>
      </c>
      <c r="U13" s="13">
        <f>_xll.dnetGBlackScholesNGreeks("delta",$Q13,$P13,$G13,$I13,$C$3,$J13,$K13,$C$4)*R13</f>
        <v>-2.157752803154775E-100</v>
      </c>
      <c r="V13" s="13">
        <f>_xll.dnetGBlackScholesNGreeks("vega",$Q13,$P13,$G13,$I13,$C$3,$J13,$K13,$C$4)*R13</f>
        <v>6.387970916195142E-89</v>
      </c>
      <c r="W13" s="114"/>
      <c r="X13" s="115">
        <v>400</v>
      </c>
      <c r="Y13" s="6">
        <f>X13*U13</f>
        <v>-8.6310112126190998E-98</v>
      </c>
    </row>
    <row r="14" spans="1:25" ht="10.5" customHeight="1" x14ac:dyDescent="0.15">
      <c r="A14" s="34"/>
      <c r="B14" s="13" t="s">
        <v>172</v>
      </c>
      <c r="C14" s="10" t="s">
        <v>160</v>
      </c>
      <c r="D14" s="10" t="s">
        <v>202</v>
      </c>
      <c r="E14" s="8">
        <f t="shared" ca="1" si="9"/>
        <v>43259</v>
      </c>
      <c r="F14" s="8">
        <f t="shared" ca="1" si="10"/>
        <v>43316</v>
      </c>
      <c r="G14" s="11">
        <v>3350</v>
      </c>
      <c r="H14" s="10">
        <v>57</v>
      </c>
      <c r="I14" s="12">
        <f t="shared" si="11"/>
        <v>0.15616438356164383</v>
      </c>
      <c r="J14" s="12">
        <v>0</v>
      </c>
      <c r="K14" s="116">
        <v>0.18</v>
      </c>
      <c r="L14" s="13">
        <f>_xll.dnetGBlackScholesNGreeks("price",$Q14,$P14,$G14,$I14,$C$3,$J14,$K14,$C$4)*R14</f>
        <v>9.5673405319164121E-97</v>
      </c>
      <c r="M14" s="15"/>
      <c r="N14" s="13">
        <f t="shared" si="12"/>
        <v>0</v>
      </c>
      <c r="O14" s="13">
        <f t="shared" si="13"/>
        <v>9.5673405319164121E-97</v>
      </c>
      <c r="P14" s="11">
        <f>RTD("wdf.rtq",,D14,"LastPrice")</f>
        <v>14910</v>
      </c>
      <c r="Q14" s="10" t="s">
        <v>85</v>
      </c>
      <c r="R14" s="10">
        <f t="shared" si="14"/>
        <v>1</v>
      </c>
      <c r="S14" s="10" t="s">
        <v>151</v>
      </c>
      <c r="T14" s="14">
        <f t="shared" si="15"/>
        <v>6.4167273855911554E-101</v>
      </c>
      <c r="U14" s="13">
        <f>_xll.dnetGBlackScholesNGreeks("delta",$Q14,$P14,$G14,$I14,$C$3,$J14,$K14,$C$4)*R14</f>
        <v>-1.8988379288754221E-98</v>
      </c>
      <c r="V14" s="13">
        <f>_xll.dnetGBlackScholesNGreeks("vega",$Q14,$P14,$G14,$I14,$C$3,$J14,$K14,$C$4)*R14</f>
        <v>3.5945570862629276E-87</v>
      </c>
      <c r="W14" s="114"/>
      <c r="X14" s="115">
        <v>400</v>
      </c>
      <c r="Y14" s="6">
        <f>X14*U14</f>
        <v>-7.5953517155016883E-96</v>
      </c>
    </row>
    <row r="15" spans="1:25" ht="10.5" customHeight="1" x14ac:dyDescent="0.15">
      <c r="A15" s="34"/>
      <c r="B15" s="13" t="s">
        <v>172</v>
      </c>
      <c r="C15" s="10" t="s">
        <v>160</v>
      </c>
      <c r="D15" s="10" t="s">
        <v>236</v>
      </c>
      <c r="E15" s="8">
        <f t="shared" ca="1" si="9"/>
        <v>43259</v>
      </c>
      <c r="F15" s="8">
        <f t="shared" ca="1" si="10"/>
        <v>43316</v>
      </c>
      <c r="G15" s="11">
        <v>3400</v>
      </c>
      <c r="H15" s="10">
        <v>57</v>
      </c>
      <c r="I15" s="12">
        <f t="shared" si="11"/>
        <v>0.15616438356164383</v>
      </c>
      <c r="J15" s="12">
        <v>0</v>
      </c>
      <c r="K15" s="116">
        <v>0.18</v>
      </c>
      <c r="L15" s="13">
        <f>_xll.dnetGBlackScholesNGreeks("price",$Q15,$P15,$G15,$I15,$C$3,$J15,$K15,$C$4)*R15</f>
        <v>1.7468898767804409E-95</v>
      </c>
      <c r="M15" s="15"/>
      <c r="N15" s="13">
        <f t="shared" si="12"/>
        <v>0</v>
      </c>
      <c r="O15" s="13">
        <f t="shared" si="13"/>
        <v>1.7468898767804409E-95</v>
      </c>
      <c r="P15" s="11">
        <f>RTD("wdf.rtq",,D15,"LastPrice")</f>
        <v>14985</v>
      </c>
      <c r="Q15" s="10" t="s">
        <v>85</v>
      </c>
      <c r="R15" s="10">
        <f t="shared" si="14"/>
        <v>1</v>
      </c>
      <c r="S15" s="10" t="s">
        <v>151</v>
      </c>
      <c r="T15" s="14">
        <f t="shared" si="15"/>
        <v>1.1657590101971577E-99</v>
      </c>
      <c r="U15" s="13">
        <f>_xll.dnetGBlackScholesNGreeks("delta",$Q15,$P15,$G15,$I15,$C$3,$J15,$K15,$C$4)*R15</f>
        <v>-3.4272416681043965E-97</v>
      </c>
      <c r="V15" s="13">
        <f>_xll.dnetGBlackScholesNGreeks("vega",$Q15,$P15,$G15,$I15,$C$3,$J15,$K15,$C$4)*R15</f>
        <v>4.8847970193944467E-86</v>
      </c>
      <c r="W15" s="114"/>
      <c r="X15" s="115">
        <v>400</v>
      </c>
      <c r="Y15" s="6">
        <f>X15*U15</f>
        <v>-1.3708966672417586E-94</v>
      </c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236</v>
      </c>
      <c r="E16" s="8">
        <f t="shared" ca="1" si="9"/>
        <v>43259</v>
      </c>
      <c r="F16" s="8">
        <f t="shared" ca="1" si="10"/>
        <v>43316</v>
      </c>
      <c r="G16" s="11">
        <v>3450</v>
      </c>
      <c r="H16" s="10">
        <v>57</v>
      </c>
      <c r="I16" s="12">
        <f t="shared" si="11"/>
        <v>0.15616438356164383</v>
      </c>
      <c r="J16" s="12">
        <v>0</v>
      </c>
      <c r="K16" s="116">
        <v>0.18</v>
      </c>
      <c r="L16" s="13">
        <f>_xll.dnetGBlackScholesNGreeks("price",$Q16,$P16,$G16,$I16,$C$3,$J16,$K16,$C$4)*R16</f>
        <v>1.269007095892869E-93</v>
      </c>
      <c r="M16" s="15"/>
      <c r="N16" s="13">
        <f t="shared" si="12"/>
        <v>0</v>
      </c>
      <c r="O16" s="13">
        <f t="shared" si="13"/>
        <v>1.269007095892869E-93</v>
      </c>
      <c r="P16" s="11">
        <f>RTD("wdf.rtq",,D16,"LastPrice")</f>
        <v>14985</v>
      </c>
      <c r="Q16" s="10" t="s">
        <v>85</v>
      </c>
      <c r="R16" s="10">
        <f t="shared" si="14"/>
        <v>1</v>
      </c>
      <c r="S16" s="10" t="s">
        <v>151</v>
      </c>
      <c r="T16" s="14">
        <f t="shared" si="15"/>
        <v>8.4685158217742344E-98</v>
      </c>
      <c r="U16" s="13">
        <f>_xll.dnetGBlackScholesNGreeks("delta",$Q16,$P16,$G16,$I16,$C$3,$J16,$K16,$C$4)*R16</f>
        <v>-2.4653553281889041E-95</v>
      </c>
      <c r="V16" s="13">
        <f>_xll.dnetGBlackScholesNGreeks("vega",$Q16,$P16,$G16,$I16,$C$3,$J16,$K16,$C$4)*R16</f>
        <v>2.2933899280138861E-84</v>
      </c>
      <c r="W16" s="114"/>
      <c r="X16" s="115">
        <v>400</v>
      </c>
      <c r="Y16" s="6">
        <f>X16*U16</f>
        <v>-9.8614213127556162E-93</v>
      </c>
    </row>
    <row r="17" spans="1:25" ht="10.5" customHeight="1" x14ac:dyDescent="0.15">
      <c r="A17" s="34"/>
      <c r="B17" s="13" t="s">
        <v>172</v>
      </c>
      <c r="C17" s="10" t="s">
        <v>160</v>
      </c>
      <c r="D17" s="10" t="s">
        <v>236</v>
      </c>
      <c r="E17" s="8">
        <f t="shared" ca="1" si="9"/>
        <v>43259</v>
      </c>
      <c r="F17" s="8">
        <f t="shared" ca="1" si="10"/>
        <v>43316</v>
      </c>
      <c r="G17" s="11">
        <v>3500</v>
      </c>
      <c r="H17" s="10">
        <v>57</v>
      </c>
      <c r="I17" s="12">
        <f t="shared" si="11"/>
        <v>0.15616438356164383</v>
      </c>
      <c r="J17" s="12">
        <v>0</v>
      </c>
      <c r="K17" s="116">
        <v>0.18</v>
      </c>
      <c r="L17" s="13">
        <f>_xll.dnetGBlackScholesNGreeks("price",$Q17,$P17,$G17,$I17,$C$3,$J17,$K17,$C$4)*R17</f>
        <v>2.5275324401046921E-88</v>
      </c>
      <c r="M17" s="15"/>
      <c r="N17" s="13">
        <f t="shared" si="12"/>
        <v>0</v>
      </c>
      <c r="O17" s="13">
        <f t="shared" si="13"/>
        <v>2.5275324401046921E-88</v>
      </c>
      <c r="P17" s="11">
        <v>14570</v>
      </c>
      <c r="Q17" s="10" t="s">
        <v>85</v>
      </c>
      <c r="R17" s="10">
        <f t="shared" si="14"/>
        <v>1</v>
      </c>
      <c r="S17" s="10" t="s">
        <v>151</v>
      </c>
      <c r="T17" s="14">
        <f t="shared" si="15"/>
        <v>1.7347511599894934E-92</v>
      </c>
      <c r="U17" s="13">
        <f>_xll.dnetGBlackScholesNGreeks("delta",$Q17,$P17,$G17,$I17,$C$3,$J17,$K17,$C$4)*R17</f>
        <v>-4.9052749761641461E-90</v>
      </c>
      <c r="V17" s="13">
        <f>_xll.dnetGBlackScholesNGreeks("vega",$Q17,$P17,$G17,$I17,$C$3,$J17,$K17,$C$4)*R17</f>
        <v>1.3147545182399271E-79</v>
      </c>
      <c r="W17" s="114"/>
      <c r="X17" s="115">
        <v>400</v>
      </c>
      <c r="Y17" s="6">
        <f>X17*U17</f>
        <v>-1.9621099904656584E-87</v>
      </c>
    </row>
    <row r="19" spans="1:25" ht="10.5" customHeight="1" x14ac:dyDescent="0.15">
      <c r="A19" s="34"/>
      <c r="B19" s="13" t="s">
        <v>172</v>
      </c>
      <c r="C19" s="10" t="s">
        <v>160</v>
      </c>
      <c r="D19" s="10" t="s">
        <v>243</v>
      </c>
      <c r="E19" s="8">
        <f t="shared" ca="1" si="9"/>
        <v>43259</v>
      </c>
      <c r="F19" s="8">
        <f t="shared" ref="F19" ca="1" si="16">E19+H19</f>
        <v>43289</v>
      </c>
      <c r="G19" s="11">
        <v>500</v>
      </c>
      <c r="H19" s="10">
        <v>30</v>
      </c>
      <c r="I19" s="12">
        <f t="shared" ref="I19" si="17">H19/365</f>
        <v>8.2191780821917804E-2</v>
      </c>
      <c r="J19" s="12">
        <v>0</v>
      </c>
      <c r="K19" s="116">
        <v>0.35</v>
      </c>
      <c r="L19" s="13">
        <f>_xll.dnetGBlackScholesNGreeks("price",$Q19,$P19,$G19,$I19,$C$3,$J19,$K19,$C$4)*R19</f>
        <v>-40.088923756833083</v>
      </c>
      <c r="M19" s="15"/>
      <c r="N19" s="13">
        <f t="shared" ref="N19" si="18">M19/10000*I19*P19</f>
        <v>0</v>
      </c>
      <c r="O19" s="13">
        <f t="shared" ref="O19" si="19">IF(L19&lt;=0,ABS(L19)+N19,L19-N19)</f>
        <v>40.088923756833083</v>
      </c>
      <c r="P19" s="11">
        <f>RTD("wdf.rtq",,D19,"LastPrice")</f>
        <v>467</v>
      </c>
      <c r="Q19" s="10" t="s">
        <v>85</v>
      </c>
      <c r="R19" s="10">
        <f t="shared" ref="R19" si="20">IF(S19="中金买入",1,-1)</f>
        <v>-1</v>
      </c>
      <c r="S19" s="10" t="s">
        <v>20</v>
      </c>
      <c r="T19" s="14">
        <f t="shared" ref="T19" si="21">O19/P19</f>
        <v>8.5843519821912379E-2</v>
      </c>
      <c r="U19" s="13">
        <f>_xll.dnetGBlackScholesNGreeks("delta",$Q19,$P19,$G19,$I19,$C$3,$J19,$K19,$C$4)*R19</f>
        <v>0.73453946920665203</v>
      </c>
      <c r="V19" s="13">
        <f>_xll.dnetGBlackScholesNGreeks("vega",$Q19,$P19,$G19,$I19,$C$3,$J19,$K19,$C$4)*R19</f>
        <v>-0.43711136217453372</v>
      </c>
      <c r="W19" s="114"/>
      <c r="X19" s="115">
        <v>400</v>
      </c>
      <c r="Y19" s="6">
        <f>X19*U19</f>
        <v>293.81578768266081</v>
      </c>
    </row>
    <row r="20" spans="1:25" x14ac:dyDescent="0.15">
      <c r="B20" s="13" t="s">
        <v>172</v>
      </c>
      <c r="C20" s="10" t="s">
        <v>160</v>
      </c>
      <c r="D20" s="10" t="s">
        <v>243</v>
      </c>
      <c r="E20" s="8">
        <f t="shared" ca="1" si="9"/>
        <v>43259</v>
      </c>
      <c r="F20" s="8">
        <f t="shared" ref="F20" ca="1" si="22">E20+H20</f>
        <v>43289</v>
      </c>
      <c r="G20" s="11">
        <v>500</v>
      </c>
      <c r="H20" s="10">
        <v>30</v>
      </c>
      <c r="I20" s="12">
        <f t="shared" ref="I20" si="23">H20/365</f>
        <v>8.2191780821917804E-2</v>
      </c>
      <c r="J20" s="12">
        <v>0</v>
      </c>
      <c r="K20" s="116">
        <v>0.35</v>
      </c>
      <c r="L20" s="13">
        <f>_xll.dnetGBlackScholesNGreeks("price",$Q20,$P20,$G20,$I20,$C$3,$J20,$K20,$C$4)*R20</f>
        <v>-7.1431257703700197</v>
      </c>
      <c r="M20" s="15"/>
      <c r="N20" s="13">
        <f t="shared" ref="N20" si="24">M20/10000*I20*P20</f>
        <v>0</v>
      </c>
      <c r="O20" s="13">
        <f t="shared" ref="O20" si="25">IF(L20&lt;=0,ABS(L20)+N20,L20-N20)</f>
        <v>7.1431257703700197</v>
      </c>
      <c r="P20" s="11">
        <f>RTD("wdf.rtq",,D20,"LastPrice")</f>
        <v>467</v>
      </c>
      <c r="Q20" s="10" t="s">
        <v>39</v>
      </c>
      <c r="R20" s="10">
        <f t="shared" ref="R20" si="26">IF(S20="中金买入",1,-1)</f>
        <v>-1</v>
      </c>
      <c r="S20" s="10" t="s">
        <v>20</v>
      </c>
      <c r="T20" s="14">
        <f t="shared" ref="T20" si="27">O20/P20</f>
        <v>1.5295772527558928E-2</v>
      </c>
      <c r="U20" s="13">
        <f>_xll.dnetGBlackScholesNGreeks("delta",$Q20,$P20,$G20,$I20,$C$3,$J20,$K20,$C$4)*R20</f>
        <v>-0.26381804553139432</v>
      </c>
      <c r="V20" s="13">
        <f>_xll.dnetGBlackScholesNGreeks("vega",$Q20,$P20,$G20,$I20,$C$3,$J20,$K20,$C$4)*R20</f>
        <v>-0.43711136217454083</v>
      </c>
    </row>
    <row r="22" spans="1:25" x14ac:dyDescent="0.15">
      <c r="B22" s="13" t="s">
        <v>172</v>
      </c>
      <c r="C22" s="10" t="s">
        <v>160</v>
      </c>
      <c r="D22" s="10" t="s">
        <v>245</v>
      </c>
      <c r="E22" s="8">
        <f t="shared" ca="1" si="9"/>
        <v>43259</v>
      </c>
      <c r="F22" s="8">
        <f t="shared" ref="F22" ca="1" si="28">E22+H22</f>
        <v>43289</v>
      </c>
      <c r="G22" s="11">
        <v>9000</v>
      </c>
      <c r="H22" s="10">
        <v>30</v>
      </c>
      <c r="I22" s="12">
        <f t="shared" ref="I22" si="29">H22/365</f>
        <v>8.2191780821917804E-2</v>
      </c>
      <c r="J22" s="12">
        <v>0</v>
      </c>
      <c r="K22" s="116">
        <v>0.31</v>
      </c>
      <c r="L22" s="13">
        <f>_xll.dnetGBlackScholesNGreeks("price",$Q22,$P22,$G22,$I22,$C$3,$J22,$K22,$C$4)*R22</f>
        <v>-512.98912293454487</v>
      </c>
      <c r="M22" s="15"/>
      <c r="N22" s="13">
        <f t="shared" ref="N22" si="30">M22/10000*I22*P22</f>
        <v>0</v>
      </c>
      <c r="O22" s="13">
        <f t="shared" ref="O22" si="31">IF(L22&lt;=0,ABS(L22)+N22,L22-N22)</f>
        <v>512.98912293454487</v>
      </c>
      <c r="P22" s="11">
        <f>RTD("wdf.rtq",,D22,"LastPrice")</f>
        <v>8657</v>
      </c>
      <c r="Q22" s="10" t="s">
        <v>85</v>
      </c>
      <c r="R22" s="10">
        <f t="shared" ref="R22" si="32">IF(S22="中金买入",1,-1)</f>
        <v>-1</v>
      </c>
      <c r="S22" s="10" t="s">
        <v>20</v>
      </c>
      <c r="T22" s="14">
        <f t="shared" ref="T22" si="33">O22/P22</f>
        <v>5.9257147156583673E-2</v>
      </c>
      <c r="U22" s="13">
        <f>_xll.dnetGBlackScholesNGreeks("delta",$Q22,$P22,$G22,$I22,$C$3,$J22,$K22,$C$4)*R22</f>
        <v>0.65168270266440231</v>
      </c>
      <c r="V22" s="13">
        <f>_xll.dnetGBlackScholesNGreeks("vega",$Q22,$P22,$G22,$I22,$C$3,$J22,$K22,$C$4)*R22</f>
        <v>-9.1503641451522526</v>
      </c>
    </row>
    <row r="23" spans="1:25" x14ac:dyDescent="0.15">
      <c r="B23" s="13" t="s">
        <v>172</v>
      </c>
      <c r="C23" s="10" t="s">
        <v>160</v>
      </c>
      <c r="D23" s="10" t="s">
        <v>245</v>
      </c>
      <c r="E23" s="8">
        <f t="shared" ca="1" si="9"/>
        <v>43259</v>
      </c>
      <c r="F23" s="8">
        <f t="shared" ref="F23" ca="1" si="34">E23+H23</f>
        <v>43320</v>
      </c>
      <c r="G23" s="11">
        <v>9000</v>
      </c>
      <c r="H23" s="10">
        <v>61</v>
      </c>
      <c r="I23" s="12">
        <f t="shared" ref="I23" si="35">H23/365</f>
        <v>0.16712328767123288</v>
      </c>
      <c r="J23" s="12">
        <v>0</v>
      </c>
      <c r="K23" s="116">
        <v>0.31</v>
      </c>
      <c r="L23" s="13">
        <f>_xll.dnetGBlackScholesNGreeks("price",$Q23,$P23,$G23,$I23,$C$3,$J23,$K23,$C$4)*R23</f>
        <v>-636.19553951647686</v>
      </c>
      <c r="M23" s="15"/>
      <c r="N23" s="13">
        <f t="shared" ref="N23" si="36">M23/10000*I23*P23</f>
        <v>0</v>
      </c>
      <c r="O23" s="13">
        <f t="shared" ref="O23" si="37">IF(L23&lt;=0,ABS(L23)+N23,L23-N23)</f>
        <v>636.19553951647686</v>
      </c>
      <c r="P23" s="11">
        <f>RTD("wdf.rtq",,D23,"LastPrice")</f>
        <v>8657</v>
      </c>
      <c r="Q23" s="10" t="s">
        <v>85</v>
      </c>
      <c r="R23" s="10">
        <f t="shared" ref="R23" si="38">IF(S23="中金买入",1,-1)</f>
        <v>-1</v>
      </c>
      <c r="S23" s="10" t="s">
        <v>20</v>
      </c>
      <c r="T23" s="14">
        <f t="shared" ref="T23" si="39">O23/P23</f>
        <v>7.3489146299696995E-2</v>
      </c>
      <c r="U23" s="13">
        <f>_xll.dnetGBlackScholesNGreeks("delta",$Q23,$P23,$G23,$I23,$C$3,$J23,$K23,$C$4)*R23</f>
        <v>0.59410179260339646</v>
      </c>
      <c r="V23" s="13">
        <f>_xll.dnetGBlackScholesNGreeks("vega",$Q23,$P23,$G23,$I23,$C$3,$J23,$K23,$C$4)*R23</f>
        <v>-13.660782047412795</v>
      </c>
    </row>
    <row r="25" spans="1:25" ht="10.5" customHeight="1" x14ac:dyDescent="0.15">
      <c r="A25" s="34"/>
      <c r="B25" s="13" t="s">
        <v>172</v>
      </c>
      <c r="C25" s="10" t="s">
        <v>160</v>
      </c>
      <c r="D25" s="10" t="s">
        <v>246</v>
      </c>
      <c r="E25" s="8">
        <f t="shared" ca="1" si="9"/>
        <v>43259</v>
      </c>
      <c r="F25" s="8">
        <f t="shared" ref="F25" ca="1" si="40">E25+H25</f>
        <v>43283</v>
      </c>
      <c r="G25" s="11">
        <v>52230</v>
      </c>
      <c r="H25" s="10">
        <v>24</v>
      </c>
      <c r="I25" s="12">
        <f t="shared" ref="I25" si="41">H25/365</f>
        <v>6.575342465753424E-2</v>
      </c>
      <c r="J25" s="12">
        <v>0</v>
      </c>
      <c r="K25" s="116">
        <v>0.1275</v>
      </c>
      <c r="L25" s="13">
        <f>_xll.dnetGBlackScholesNGreeks("price",$Q25,$P25,$G25,$I25,$C$3,$J25,$K25,$C$4)*R25</f>
        <v>190.50384453499828</v>
      </c>
      <c r="M25" s="15">
        <v>30</v>
      </c>
      <c r="N25" s="13">
        <f t="shared" ref="N25" si="42">M25/10000*I25*P25</f>
        <v>10.592876712328767</v>
      </c>
      <c r="O25" s="13">
        <f t="shared" ref="O25" si="43">IF(L25&lt;=0,ABS(L25)+N25,L25-N25)</f>
        <v>179.91096782266951</v>
      </c>
      <c r="P25" s="11">
        <v>53700</v>
      </c>
      <c r="Q25" s="10" t="s">
        <v>85</v>
      </c>
      <c r="R25" s="10">
        <f t="shared" ref="R25" si="44">IF(S25="中金买入",1,-1)</f>
        <v>1</v>
      </c>
      <c r="S25" s="10" t="s">
        <v>151</v>
      </c>
      <c r="T25" s="14">
        <f t="shared" ref="T25" si="45">O25/P25</f>
        <v>3.3502973523774583E-3</v>
      </c>
      <c r="U25" s="13">
        <f>_xll.dnetGBlackScholesNGreeks("delta",$Q25,$P25,$G25,$I25,$C$3,$J25,$K25,$C$4)*R25</f>
        <v>-0.19318112281325739</v>
      </c>
      <c r="V25" s="13">
        <f>_xll.dnetGBlackScholesNGreeks("vega",$Q25,$P25,$G25,$I25,$C$3,$J25,$K25,$C$4)*R25</f>
        <v>37.665912727388786</v>
      </c>
      <c r="W25" s="114"/>
      <c r="X25" s="115">
        <v>400</v>
      </c>
      <c r="Y25" s="6">
        <f>X25*U25</f>
        <v>-77.272449125302956</v>
      </c>
    </row>
    <row r="28" spans="1:25" ht="10.5" customHeight="1" x14ac:dyDescent="0.15">
      <c r="A28" s="34"/>
      <c r="B28" s="13" t="s">
        <v>172</v>
      </c>
      <c r="C28" s="10" t="s">
        <v>160</v>
      </c>
      <c r="D28" s="10" t="s">
        <v>249</v>
      </c>
      <c r="E28" s="8">
        <f t="shared" ca="1" si="9"/>
        <v>43259</v>
      </c>
      <c r="F28" s="8">
        <f t="shared" ref="F28" ca="1" si="46">E28+H28</f>
        <v>43289</v>
      </c>
      <c r="G28" s="11">
        <v>19910</v>
      </c>
      <c r="H28" s="10">
        <v>30</v>
      </c>
      <c r="I28" s="12">
        <f t="shared" ref="I28" si="47">H28/365</f>
        <v>8.2191780821917804E-2</v>
      </c>
      <c r="J28" s="12">
        <v>0</v>
      </c>
      <c r="K28" s="116">
        <v>0.33</v>
      </c>
      <c r="L28" s="13">
        <f>_xll.dnetGBlackScholesNGreeks("price",$Q28,$P28,$G28,$I28,$C$3,$J28,$K28,$C$4)*R28</f>
        <v>-79.835967339276294</v>
      </c>
      <c r="M28" s="15"/>
      <c r="N28" s="13">
        <f t="shared" ref="N28" si="48">M28/10000*I28*P28</f>
        <v>0</v>
      </c>
      <c r="O28" s="13">
        <f t="shared" ref="O28" si="49">IF(L28&lt;=0,ABS(L28)+N28,L28-N28)</f>
        <v>79.835967339276294</v>
      </c>
      <c r="P28" s="11">
        <v>17600</v>
      </c>
      <c r="Q28" s="10" t="s">
        <v>248</v>
      </c>
      <c r="R28" s="10">
        <f t="shared" ref="R28" si="50">IF(S28="中金买入",1,-1)</f>
        <v>-1</v>
      </c>
      <c r="S28" s="10" t="s">
        <v>20</v>
      </c>
      <c r="T28" s="14">
        <f t="shared" ref="T28" si="51">O28/P28</f>
        <v>4.5361345079134256E-3</v>
      </c>
      <c r="U28" s="13">
        <f>_xll.dnetGBlackScholesNGreeks("delta",$Q28,$P28,$G28,$I28,$C$3,$J28,$K28,$C$4)*R28</f>
        <v>-0.10434770722440589</v>
      </c>
      <c r="V28" s="13">
        <f>_xll.dnetGBlackScholesNGreeks("vega",$Q28,$P28,$G28,$I28,$C$3,$J28,$K28,$C$4)*R28</f>
        <v>-9.1264473239430117</v>
      </c>
      <c r="W28" s="114"/>
      <c r="X28" s="115">
        <v>400</v>
      </c>
      <c r="Y28" s="6">
        <f>X28*U28</f>
        <v>-41.739082889762358</v>
      </c>
    </row>
    <row r="29" spans="1:25" x14ac:dyDescent="0.15">
      <c r="L29" s="120"/>
    </row>
    <row r="30" spans="1:25" ht="10.5" customHeight="1" x14ac:dyDescent="0.15">
      <c r="A30" s="34"/>
      <c r="B30" s="13" t="s">
        <v>172</v>
      </c>
      <c r="C30" s="10" t="s">
        <v>160</v>
      </c>
      <c r="D30" s="10" t="s">
        <v>250</v>
      </c>
      <c r="E30" s="8">
        <f t="shared" ca="1" si="9"/>
        <v>43259</v>
      </c>
      <c r="F30" s="8">
        <f t="shared" ref="F30:F35" ca="1" si="52">E30+H30</f>
        <v>43289</v>
      </c>
      <c r="G30" s="11">
        <v>100</v>
      </c>
      <c r="H30" s="10">
        <v>30</v>
      </c>
      <c r="I30" s="12">
        <f t="shared" ref="I30:I35" si="53">H30/365</f>
        <v>8.2191780821917804E-2</v>
      </c>
      <c r="J30" s="12">
        <v>0</v>
      </c>
      <c r="K30" s="116">
        <v>0.15</v>
      </c>
      <c r="L30" s="13">
        <f>_xll.dnetGBlackScholesNGreeks("price",$Q30,$P30,$G30,$I30,$C$3,$J30,$K30,$C$4)*R30</f>
        <v>-1.7126481423616866</v>
      </c>
      <c r="M30" s="15"/>
      <c r="N30" s="13">
        <f t="shared" ref="N30:N35" si="54">M30/10000*I30*P30</f>
        <v>0</v>
      </c>
      <c r="O30" s="13">
        <f t="shared" ref="O30:O35" si="55">IF(L30&lt;=0,ABS(L30)+N30,L30-N30)</f>
        <v>1.7126481423616866</v>
      </c>
      <c r="P30" s="11">
        <v>100</v>
      </c>
      <c r="Q30" s="10" t="s">
        <v>85</v>
      </c>
      <c r="R30" s="10">
        <f t="shared" ref="R30:R35" si="56">IF(S30="中金买入",1,-1)</f>
        <v>-1</v>
      </c>
      <c r="S30" s="10" t="s">
        <v>20</v>
      </c>
      <c r="T30" s="14">
        <f t="shared" ref="T30:T35" si="57">O30/P30</f>
        <v>1.7126481423616866E-2</v>
      </c>
      <c r="U30" s="13">
        <f>_xll.dnetGBlackScholesNGreeks("delta",$Q30,$P30,$G30,$I30,$C$3,$J30,$K30,$C$4)*R30</f>
        <v>0.49061553980820349</v>
      </c>
      <c r="V30" s="13">
        <f>_xll.dnetGBlackScholesNGreeks("vega",$Q30,$P30,$G30,$I30,$C$3,$J30,$K30,$C$4)*R30</f>
        <v>-0.1141589091312234</v>
      </c>
      <c r="W30" s="114"/>
      <c r="X30" s="115">
        <v>400</v>
      </c>
      <c r="Y30" s="6">
        <f t="shared" ref="Y30:Y35" si="58">X30*U30</f>
        <v>196.2462159232814</v>
      </c>
    </row>
    <row r="31" spans="1:25" ht="10.5" customHeight="1" x14ac:dyDescent="0.15">
      <c r="A31" s="34"/>
      <c r="B31" s="13" t="s">
        <v>172</v>
      </c>
      <c r="C31" s="10" t="s">
        <v>160</v>
      </c>
      <c r="D31" s="10" t="s">
        <v>251</v>
      </c>
      <c r="E31" s="8">
        <f t="shared" ca="1" si="9"/>
        <v>43259</v>
      </c>
      <c r="F31" s="8">
        <f t="shared" ca="1" si="52"/>
        <v>43289</v>
      </c>
      <c r="G31" s="11">
        <v>100</v>
      </c>
      <c r="H31" s="10">
        <v>30</v>
      </c>
      <c r="I31" s="12">
        <f t="shared" si="53"/>
        <v>8.2191780821917804E-2</v>
      </c>
      <c r="J31" s="12">
        <v>0</v>
      </c>
      <c r="K31" s="116">
        <v>3</v>
      </c>
      <c r="L31" s="13">
        <f>_xll.dnetGBlackScholesNGreeks("price",$Q31,$P31,$G31,$I31,$C$3,$J31,$K31,$C$4)*R31</f>
        <v>-33.228433737002177</v>
      </c>
      <c r="M31" s="15"/>
      <c r="N31" s="13">
        <f t="shared" si="54"/>
        <v>0</v>
      </c>
      <c r="O31" s="13">
        <f t="shared" si="55"/>
        <v>33.228433737002177</v>
      </c>
      <c r="P31" s="11">
        <v>100</v>
      </c>
      <c r="Q31" s="10" t="s">
        <v>85</v>
      </c>
      <c r="R31" s="10">
        <f t="shared" si="56"/>
        <v>-1</v>
      </c>
      <c r="S31" s="10" t="s">
        <v>20</v>
      </c>
      <c r="T31" s="14">
        <f t="shared" si="57"/>
        <v>0.33228433737002178</v>
      </c>
      <c r="U31" s="13">
        <f>_xll.dnetGBlackScholesNGreeks("delta",$Q31,$P31,$G31,$I31,$C$3,$J31,$K31,$C$4)*R31</f>
        <v>0.33303658974119799</v>
      </c>
      <c r="V31" s="13">
        <f>_xll.dnetGBlackScholesNGreeks("vega",$Q31,$P31,$G31,$I31,$C$3,$J31,$K31,$C$4)*R31</f>
        <v>-0.1041005117591709</v>
      </c>
      <c r="W31" s="114"/>
      <c r="X31" s="115">
        <v>400</v>
      </c>
      <c r="Y31" s="6">
        <f t="shared" si="58"/>
        <v>133.21463589647919</v>
      </c>
    </row>
    <row r="32" spans="1:25" ht="10.5" customHeight="1" x14ac:dyDescent="0.15">
      <c r="A32" s="34"/>
      <c r="B32" s="13" t="s">
        <v>172</v>
      </c>
      <c r="C32" s="10" t="s">
        <v>160</v>
      </c>
      <c r="D32" s="10" t="s">
        <v>252</v>
      </c>
      <c r="E32" s="8">
        <f t="shared" ca="1" si="9"/>
        <v>43259</v>
      </c>
      <c r="F32" s="8">
        <f t="shared" ca="1" si="52"/>
        <v>43289</v>
      </c>
      <c r="G32" s="11">
        <v>100</v>
      </c>
      <c r="H32" s="10">
        <v>30</v>
      </c>
      <c r="I32" s="12">
        <f t="shared" si="53"/>
        <v>8.2191780821917804E-2</v>
      </c>
      <c r="J32" s="12">
        <v>0</v>
      </c>
      <c r="K32" s="116">
        <v>0.22</v>
      </c>
      <c r="L32" s="13">
        <f>_xll.dnetGBlackScholesNGreeks("price",$Q32,$P32,$G32,$I32,$C$3,$J32,$K32,$C$4)*R32</f>
        <v>-2.5116611729829543</v>
      </c>
      <c r="M32" s="15"/>
      <c r="N32" s="13">
        <f t="shared" si="54"/>
        <v>0</v>
      </c>
      <c r="O32" s="13">
        <f t="shared" si="55"/>
        <v>2.5116611729829543</v>
      </c>
      <c r="P32" s="11">
        <v>100</v>
      </c>
      <c r="Q32" s="10" t="s">
        <v>248</v>
      </c>
      <c r="R32" s="10">
        <f t="shared" si="56"/>
        <v>-1</v>
      </c>
      <c r="S32" s="10" t="s">
        <v>20</v>
      </c>
      <c r="T32" s="14">
        <f t="shared" si="57"/>
        <v>2.5116611729829545E-2</v>
      </c>
      <c r="U32" s="13">
        <f>_xll.dnetGBlackScholesNGreeks("delta",$Q32,$P32,$G32,$I32,$C$3,$J32,$K32,$C$4)*R32</f>
        <v>-0.51173704745615112</v>
      </c>
      <c r="V32" s="13">
        <f>_xll.dnetGBlackScholesNGreeks("vega",$Q32,$P32,$G32,$I32,$C$3,$J32,$K32,$C$4)*R32</f>
        <v>-0.11412853597671813</v>
      </c>
      <c r="W32" s="114"/>
      <c r="X32" s="115">
        <v>400</v>
      </c>
      <c r="Y32" s="6">
        <f t="shared" si="58"/>
        <v>-204.69481898246045</v>
      </c>
    </row>
    <row r="33" spans="1:25" ht="10.5" customHeight="1" x14ac:dyDescent="0.15">
      <c r="A33" s="34"/>
      <c r="B33" s="13" t="s">
        <v>172</v>
      </c>
      <c r="C33" s="10" t="s">
        <v>160</v>
      </c>
      <c r="D33" s="10" t="s">
        <v>254</v>
      </c>
      <c r="E33" s="8">
        <f t="shared" ca="1" si="9"/>
        <v>43259</v>
      </c>
      <c r="F33" s="8">
        <f t="shared" ca="1" si="52"/>
        <v>43289</v>
      </c>
      <c r="G33" s="11">
        <v>100</v>
      </c>
      <c r="H33" s="10">
        <v>30</v>
      </c>
      <c r="I33" s="12">
        <f t="shared" si="53"/>
        <v>8.2191780821917804E-2</v>
      </c>
      <c r="J33" s="12">
        <v>0</v>
      </c>
      <c r="K33" s="116">
        <v>0.18</v>
      </c>
      <c r="L33" s="13">
        <f>_xll.dnetGBlackScholesNGreeks("price",$Q33,$P33,$G33,$I33,$C$3,$J33,$K33,$C$4)*R33</f>
        <v>-2.0551080982827798</v>
      </c>
      <c r="M33" s="15"/>
      <c r="N33" s="13">
        <f t="shared" si="54"/>
        <v>0</v>
      </c>
      <c r="O33" s="13">
        <f t="shared" si="55"/>
        <v>2.0551080982827798</v>
      </c>
      <c r="P33" s="11">
        <v>100</v>
      </c>
      <c r="Q33" s="10" t="s">
        <v>85</v>
      </c>
      <c r="R33" s="10">
        <f t="shared" si="56"/>
        <v>-1</v>
      </c>
      <c r="S33" s="10" t="s">
        <v>20</v>
      </c>
      <c r="T33" s="14">
        <f t="shared" si="57"/>
        <v>2.0551080982827798E-2</v>
      </c>
      <c r="U33" s="13">
        <f>_xll.dnetGBlackScholesNGreeks("delta",$Q33,$P33,$G33,$I33,$C$3,$J33,$K33,$C$4)*R33</f>
        <v>0.48890323616781473</v>
      </c>
      <c r="V33" s="13">
        <f>_xll.dnetGBlackScholesNGreeks("vega",$Q33,$P33,$G33,$I33,$C$3,$J33,$K33,$C$4)*R33</f>
        <v>-0.11414729836116777</v>
      </c>
      <c r="W33" s="114"/>
      <c r="X33" s="115">
        <v>400</v>
      </c>
      <c r="Y33" s="6">
        <f t="shared" si="58"/>
        <v>195.56129446712589</v>
      </c>
    </row>
    <row r="34" spans="1:25" ht="10.5" customHeight="1" x14ac:dyDescent="0.15">
      <c r="A34" s="34"/>
      <c r="B34" s="13" t="s">
        <v>172</v>
      </c>
      <c r="C34" s="10" t="s">
        <v>160</v>
      </c>
      <c r="D34" s="10" t="s">
        <v>25</v>
      </c>
      <c r="E34" s="8">
        <f t="shared" ca="1" si="9"/>
        <v>43259</v>
      </c>
      <c r="F34" s="8">
        <f t="shared" ca="1" si="52"/>
        <v>43289</v>
      </c>
      <c r="G34" s="11">
        <v>100</v>
      </c>
      <c r="H34" s="10">
        <v>30</v>
      </c>
      <c r="I34" s="12">
        <f t="shared" si="53"/>
        <v>8.2191780821917804E-2</v>
      </c>
      <c r="J34" s="12">
        <v>0</v>
      </c>
      <c r="K34" s="116">
        <v>0.17</v>
      </c>
      <c r="L34" s="13">
        <f>_xll.dnetGBlackScholesNGreeks("price",$Q34,$P34,$G34,$I34,$C$3,$J34,$K34,$C$4)*R34</f>
        <v>-1.9409586889787747</v>
      </c>
      <c r="M34" s="15"/>
      <c r="N34" s="13">
        <f t="shared" si="54"/>
        <v>0</v>
      </c>
      <c r="O34" s="13">
        <f t="shared" si="55"/>
        <v>1.9409586889787747</v>
      </c>
      <c r="P34" s="11">
        <v>100</v>
      </c>
      <c r="Q34" s="10" t="s">
        <v>85</v>
      </c>
      <c r="R34" s="10">
        <f t="shared" si="56"/>
        <v>-1</v>
      </c>
      <c r="S34" s="10" t="s">
        <v>20</v>
      </c>
      <c r="T34" s="14">
        <f t="shared" si="57"/>
        <v>1.9409586889787746E-2</v>
      </c>
      <c r="U34" s="13">
        <f>_xll.dnetGBlackScholesNGreeks("delta",$Q34,$P34,$G34,$I34,$C$3,$J34,$K34,$C$4)*R34</f>
        <v>0.48947398434968648</v>
      </c>
      <c r="V34" s="13">
        <f>_xll.dnetGBlackScholesNGreeks("vega",$Q34,$P34,$G34,$I34,$C$3,$J34,$K34,$C$4)*R34</f>
        <v>-0.11415140304391258</v>
      </c>
      <c r="W34" s="114"/>
      <c r="X34" s="115">
        <v>400</v>
      </c>
      <c r="Y34" s="6">
        <f t="shared" si="58"/>
        <v>195.78959373987459</v>
      </c>
    </row>
    <row r="35" spans="1:25" ht="10.5" customHeight="1" x14ac:dyDescent="0.15">
      <c r="A35" s="34"/>
      <c r="B35" s="13" t="s">
        <v>172</v>
      </c>
      <c r="C35" s="10" t="s">
        <v>160</v>
      </c>
      <c r="D35" s="10" t="s">
        <v>247</v>
      </c>
      <c r="E35" s="8">
        <f t="shared" ca="1" si="9"/>
        <v>43259</v>
      </c>
      <c r="F35" s="8">
        <f t="shared" ca="1" si="52"/>
        <v>43289</v>
      </c>
      <c r="G35" s="11">
        <v>100</v>
      </c>
      <c r="H35" s="10">
        <v>30</v>
      </c>
      <c r="I35" s="12">
        <f t="shared" si="53"/>
        <v>8.2191780821917804E-2</v>
      </c>
      <c r="J35" s="12">
        <v>0</v>
      </c>
      <c r="K35" s="116">
        <v>0.28999999999999998</v>
      </c>
      <c r="L35" s="13">
        <f>_xll.dnetGBlackScholesNGreeks("price",$Q35,$P35,$G35,$I35,$C$3,$J35,$K35,$C$4)*R35</f>
        <v>3.3104214073546387</v>
      </c>
      <c r="M35" s="15"/>
      <c r="N35" s="13">
        <f t="shared" si="54"/>
        <v>0</v>
      </c>
      <c r="O35" s="13">
        <f t="shared" si="55"/>
        <v>3.3104214073546387</v>
      </c>
      <c r="P35" s="11">
        <v>100</v>
      </c>
      <c r="Q35" s="10" t="s">
        <v>248</v>
      </c>
      <c r="R35" s="10">
        <f t="shared" si="56"/>
        <v>1</v>
      </c>
      <c r="S35" s="10" t="s">
        <v>151</v>
      </c>
      <c r="T35" s="14">
        <f t="shared" si="57"/>
        <v>3.3104214073546384E-2</v>
      </c>
      <c r="U35" s="13">
        <f>_xll.dnetGBlackScholesNGreeks("delta",$Q35,$P35,$G35,$I35,$C$3,$J35,$K35,$C$4)*R35</f>
        <v>0.51573085244136507</v>
      </c>
      <c r="V35" s="13">
        <f>_xll.dnetGBlackScholesNGreeks("vega",$Q35,$P35,$G35,$I35,$C$3,$J35,$K35,$C$4)*R35</f>
        <v>0.11408668352295948</v>
      </c>
      <c r="W35" s="114"/>
      <c r="X35" s="115">
        <v>400</v>
      </c>
      <c r="Y35" s="6">
        <f t="shared" si="58"/>
        <v>206.29234097654603</v>
      </c>
    </row>
    <row r="37" spans="1:25" ht="10.5" customHeight="1" x14ac:dyDescent="0.15">
      <c r="A37" s="34"/>
      <c r="B37" s="13" t="s">
        <v>172</v>
      </c>
      <c r="C37" s="10" t="s">
        <v>160</v>
      </c>
      <c r="D37" s="10" t="s">
        <v>255</v>
      </c>
      <c r="E37" s="8">
        <f t="shared" ca="1" si="9"/>
        <v>43259</v>
      </c>
      <c r="F37" s="8">
        <f t="shared" ref="F37:F38" ca="1" si="59">E37+H37</f>
        <v>43351</v>
      </c>
      <c r="G37" s="11">
        <v>100</v>
      </c>
      <c r="H37" s="10">
        <v>92</v>
      </c>
      <c r="I37" s="12">
        <f t="shared" ref="I37:I38" si="60">H37/365</f>
        <v>0.25205479452054796</v>
      </c>
      <c r="J37" s="12">
        <v>0</v>
      </c>
      <c r="K37" s="116">
        <v>7.0000000000000007E-2</v>
      </c>
      <c r="L37" s="13">
        <f>_xll.dnetGBlackScholesNGreeks("price",$Q37,$P37,$G37,$I37,$C$3,$J37,$K37,$C$4)*R37</f>
        <v>1.3949027109203911</v>
      </c>
      <c r="M37" s="15"/>
      <c r="N37" s="13">
        <f t="shared" ref="N37:N38" si="61">M37/10000*I37*P37</f>
        <v>0</v>
      </c>
      <c r="O37" s="13">
        <f t="shared" ref="O37:O38" si="62">IF(L37&lt;=0,ABS(L37)+N37,L37-N37)</f>
        <v>1.3949027109203911</v>
      </c>
      <c r="P37" s="11">
        <v>100</v>
      </c>
      <c r="Q37" s="10" t="s">
        <v>256</v>
      </c>
      <c r="R37" s="10">
        <f t="shared" ref="R37:R38" si="63">IF(S37="中金买入",1,-1)</f>
        <v>1</v>
      </c>
      <c r="S37" s="10" t="s">
        <v>151</v>
      </c>
      <c r="T37" s="14">
        <f t="shared" ref="T37:T38" si="64">O37/P37</f>
        <v>1.3949027109203911E-2</v>
      </c>
      <c r="U37" s="13">
        <f>_xll.dnetGBlackScholesNGreeks("delta",$Q37,$P37,$G37,$I37,$C$3,$J37,$K37,$C$4)*R37</f>
        <v>0.5044602798768949</v>
      </c>
      <c r="V37" s="13">
        <f>_xll.dnetGBlackScholesNGreeks("vega",$Q37,$P37,$G37,$I37,$C$3,$J37,$K37,$C$4)*R37</f>
        <v>0.19925109796711737</v>
      </c>
      <c r="W37" s="114"/>
      <c r="X37" s="115">
        <v>400</v>
      </c>
      <c r="Y37" s="6">
        <f t="shared" ref="Y37:Y38" si="65">X37*U37</f>
        <v>201.78411195075796</v>
      </c>
    </row>
    <row r="38" spans="1:25" ht="10.5" customHeight="1" x14ac:dyDescent="0.15">
      <c r="A38" s="34"/>
      <c r="B38" s="13" t="s">
        <v>172</v>
      </c>
      <c r="C38" s="10" t="s">
        <v>160</v>
      </c>
      <c r="D38" s="10" t="s">
        <v>255</v>
      </c>
      <c r="E38" s="8">
        <f t="shared" ca="1" si="9"/>
        <v>43259</v>
      </c>
      <c r="F38" s="8">
        <f t="shared" ca="1" si="59"/>
        <v>43351</v>
      </c>
      <c r="G38" s="11">
        <v>100</v>
      </c>
      <c r="H38" s="10">
        <v>92</v>
      </c>
      <c r="I38" s="12">
        <f t="shared" si="60"/>
        <v>0.25205479452054796</v>
      </c>
      <c r="J38" s="12">
        <v>0</v>
      </c>
      <c r="K38" s="116">
        <v>0.11749999999999999</v>
      </c>
      <c r="L38" s="13">
        <f>_xll.dnetGBlackScholesNGreeks("price",$Q38,$P38,$G38,$I38,$C$3,$J38,$K38,$C$4)*R38</f>
        <v>-2.3412248544439791</v>
      </c>
      <c r="M38" s="15"/>
      <c r="N38" s="13">
        <f t="shared" si="61"/>
        <v>0</v>
      </c>
      <c r="O38" s="13">
        <f t="shared" si="62"/>
        <v>2.3412248544439791</v>
      </c>
      <c r="P38" s="11">
        <v>100</v>
      </c>
      <c r="Q38" s="10" t="s">
        <v>24</v>
      </c>
      <c r="R38" s="10">
        <f t="shared" si="63"/>
        <v>-1</v>
      </c>
      <c r="S38" s="10" t="s">
        <v>20</v>
      </c>
      <c r="T38" s="14">
        <f t="shared" si="64"/>
        <v>2.3412248544439792E-2</v>
      </c>
      <c r="U38" s="13">
        <f>_xll.dnetGBlackScholesNGreeks("delta",$Q38,$P38,$G38,$I38,$C$3,$J38,$K38,$C$4)*R38</f>
        <v>-0.50919190201277331</v>
      </c>
      <c r="V38" s="13">
        <f>_xll.dnetGBlackScholesNGreeks("vega",$Q38,$P38,$G38,$I38,$C$3,$J38,$K38,$C$4)*R38</f>
        <v>-0.19919519450084877</v>
      </c>
      <c r="W38" s="114"/>
      <c r="X38" s="115">
        <v>400</v>
      </c>
      <c r="Y38" s="6">
        <f t="shared" si="65"/>
        <v>-203.67676080510932</v>
      </c>
    </row>
    <row r="39" spans="1:25" ht="10.5" customHeight="1" x14ac:dyDescent="0.15">
      <c r="A39" s="34"/>
      <c r="B39" s="13" t="s">
        <v>172</v>
      </c>
      <c r="C39" s="10" t="s">
        <v>160</v>
      </c>
      <c r="D39" s="10" t="s">
        <v>255</v>
      </c>
      <c r="E39" s="8">
        <f t="shared" ca="1" si="9"/>
        <v>43259</v>
      </c>
      <c r="F39" s="8">
        <f t="shared" ref="F39:F40" ca="1" si="66">E39+H39</f>
        <v>43362</v>
      </c>
      <c r="G39" s="11">
        <v>100</v>
      </c>
      <c r="H39" s="10">
        <v>103</v>
      </c>
      <c r="I39" s="12">
        <f t="shared" ref="I39:I40" si="67">H39/365</f>
        <v>0.28219178082191781</v>
      </c>
      <c r="J39" s="12">
        <v>0</v>
      </c>
      <c r="K39" s="116">
        <v>7.2499999999999995E-2</v>
      </c>
      <c r="L39" s="13">
        <f>_xll.dnetGBlackScholesNGreeks("price",$Q39,$P39,$G39,$I39,$C$3,$J39,$K39,$C$4)*R39</f>
        <v>1.5277149403188304</v>
      </c>
      <c r="M39" s="15"/>
      <c r="N39" s="13">
        <f t="shared" ref="N39:N40" si="68">M39/10000*I39*P39</f>
        <v>0</v>
      </c>
      <c r="O39" s="13">
        <f t="shared" ref="O39:O40" si="69">IF(L39&lt;=0,ABS(L39)+N39,L39-N39)</f>
        <v>1.5277149403188304</v>
      </c>
      <c r="P39" s="11">
        <v>100</v>
      </c>
      <c r="Q39" s="10" t="s">
        <v>256</v>
      </c>
      <c r="R39" s="10">
        <f t="shared" ref="R39:R40" si="70">IF(S39="中金买入",1,-1)</f>
        <v>1</v>
      </c>
      <c r="S39" s="10" t="s">
        <v>151</v>
      </c>
      <c r="T39" s="14">
        <f t="shared" ref="T39:T40" si="71">O39/P39</f>
        <v>1.5277149403188304E-2</v>
      </c>
      <c r="U39" s="13">
        <f>_xll.dnetGBlackScholesNGreeks("delta",$Q39,$P39,$G39,$I39,$C$3,$J39,$K39,$C$4)*R39</f>
        <v>0.50482457940823622</v>
      </c>
      <c r="V39" s="13">
        <f>_xll.dnetGBlackScholesNGreeks("vega",$Q39,$P39,$G39,$I39,$C$3,$J39,$K39,$C$4)*R39</f>
        <v>0.21069300961532988</v>
      </c>
      <c r="W39" s="114"/>
      <c r="X39" s="115">
        <v>400</v>
      </c>
      <c r="Y39" s="6">
        <f t="shared" ref="Y39:Y40" si="72">X39*U39</f>
        <v>201.92983176329449</v>
      </c>
    </row>
    <row r="40" spans="1:25" ht="10.5" customHeight="1" x14ac:dyDescent="0.15">
      <c r="A40" s="34"/>
      <c r="B40" s="13" t="s">
        <v>172</v>
      </c>
      <c r="C40" s="10" t="s">
        <v>160</v>
      </c>
      <c r="D40" s="10" t="s">
        <v>255</v>
      </c>
      <c r="E40" s="8">
        <f t="shared" ca="1" si="9"/>
        <v>43259</v>
      </c>
      <c r="F40" s="8">
        <f t="shared" ca="1" si="66"/>
        <v>43362</v>
      </c>
      <c r="G40" s="11">
        <v>100</v>
      </c>
      <c r="H40" s="10">
        <v>103</v>
      </c>
      <c r="I40" s="12">
        <f t="shared" si="67"/>
        <v>0.28219178082191781</v>
      </c>
      <c r="J40" s="12">
        <v>0</v>
      </c>
      <c r="K40" s="116">
        <v>0.12</v>
      </c>
      <c r="L40" s="13">
        <f>_xll.dnetGBlackScholesNGreeks("price",$Q40,$P40,$G40,$I40,$C$3,$J40,$K40,$C$4)*R40</f>
        <v>-2.5283598065283002</v>
      </c>
      <c r="M40" s="15"/>
      <c r="N40" s="13">
        <f t="shared" si="68"/>
        <v>0</v>
      </c>
      <c r="O40" s="13">
        <f t="shared" si="69"/>
        <v>2.5283598065283002</v>
      </c>
      <c r="P40" s="11">
        <v>100</v>
      </c>
      <c r="Q40" s="10" t="s">
        <v>24</v>
      </c>
      <c r="R40" s="10">
        <f t="shared" si="70"/>
        <v>-1</v>
      </c>
      <c r="S40" s="10" t="s">
        <v>20</v>
      </c>
      <c r="T40" s="14">
        <f t="shared" si="71"/>
        <v>2.5283598065283002E-2</v>
      </c>
      <c r="U40" s="13">
        <f>_xll.dnetGBlackScholesNGreeks("delta",$Q40,$P40,$G40,$I40,$C$3,$J40,$K40,$C$4)*R40</f>
        <v>-0.50982781393429377</v>
      </c>
      <c r="V40" s="13">
        <f>_xll.dnetGBlackScholesNGreeks("vega",$Q40,$P40,$G40,$I40,$C$3,$J40,$K40,$C$4)*R40</f>
        <v>-0.21062506457098351</v>
      </c>
      <c r="W40" s="114"/>
      <c r="X40" s="115">
        <v>400</v>
      </c>
      <c r="Y40" s="6">
        <f t="shared" si="72"/>
        <v>-203.93112557371751</v>
      </c>
    </row>
    <row r="42" spans="1:25" ht="10.5" customHeight="1" x14ac:dyDescent="0.15">
      <c r="A42" s="34"/>
      <c r="B42" s="13" t="s">
        <v>172</v>
      </c>
      <c r="C42" s="10" t="s">
        <v>160</v>
      </c>
      <c r="D42" s="10" t="s">
        <v>214</v>
      </c>
      <c r="E42" s="8">
        <f t="shared" ca="1" si="9"/>
        <v>43259</v>
      </c>
      <c r="F42" s="8">
        <f t="shared" ref="F42:F47" ca="1" si="73">E42+H42</f>
        <v>43320</v>
      </c>
      <c r="G42" s="11">
        <v>100</v>
      </c>
      <c r="H42" s="10">
        <v>61</v>
      </c>
      <c r="I42" s="12">
        <f t="shared" ref="I42:I47" si="74">H42/365</f>
        <v>0.16712328767123288</v>
      </c>
      <c r="J42" s="12">
        <v>0</v>
      </c>
      <c r="K42" s="116">
        <v>0.35</v>
      </c>
      <c r="L42" s="13">
        <f>_xll.dnetGBlackScholesNGreeks("price",$Q42,$P42,$G42,$I42,$C$3,$J42,$K42,$C$4)*R42</f>
        <v>-5.6842692773019508</v>
      </c>
      <c r="M42" s="15"/>
      <c r="N42" s="13">
        <f t="shared" ref="N42:N47" si="75">M42/10000*I42*P42</f>
        <v>0</v>
      </c>
      <c r="O42" s="13">
        <f t="shared" ref="O42:O47" si="76">IF(L42&lt;=0,ABS(L42)+N42,L42-N42)</f>
        <v>5.6842692773019508</v>
      </c>
      <c r="P42" s="11">
        <v>100</v>
      </c>
      <c r="Q42" s="10" t="s">
        <v>24</v>
      </c>
      <c r="R42" s="10">
        <f t="shared" ref="R42:R47" si="77">IF(S42="中金买入",1,-1)</f>
        <v>-1</v>
      </c>
      <c r="S42" s="10" t="s">
        <v>20</v>
      </c>
      <c r="T42" s="14">
        <f t="shared" ref="T42:T47" si="78">O42/P42</f>
        <v>5.684269277301951E-2</v>
      </c>
      <c r="U42" s="13">
        <f>_xll.dnetGBlackScholesNGreeks("delta",$Q42,$P42,$G42,$I42,$C$3,$J42,$K42,$C$4)*R42</f>
        <v>-0.5267528964907342</v>
      </c>
      <c r="V42" s="13">
        <f>_xll.dnetGBlackScholesNGreeks("vega",$Q42,$P42,$G42,$I42,$C$3,$J42,$K42,$C$4)*R42</f>
        <v>-0.16213069466890673</v>
      </c>
      <c r="W42" s="114"/>
      <c r="X42" s="115">
        <v>400</v>
      </c>
      <c r="Y42" s="6">
        <f t="shared" ref="Y42:Y47" si="79">X42*U42</f>
        <v>-210.70115859629368</v>
      </c>
    </row>
    <row r="43" spans="1:25" ht="10.5" customHeight="1" x14ac:dyDescent="0.15">
      <c r="A43" s="34"/>
      <c r="B43" s="13" t="s">
        <v>172</v>
      </c>
      <c r="C43" s="10" t="s">
        <v>160</v>
      </c>
      <c r="D43" s="10" t="s">
        <v>257</v>
      </c>
      <c r="E43" s="8">
        <f t="shared" ca="1" si="9"/>
        <v>43259</v>
      </c>
      <c r="F43" s="8">
        <f t="shared" ca="1" si="73"/>
        <v>43320</v>
      </c>
      <c r="G43" s="11">
        <v>100</v>
      </c>
      <c r="H43" s="10">
        <v>61</v>
      </c>
      <c r="I43" s="12">
        <f t="shared" si="74"/>
        <v>0.16712328767123288</v>
      </c>
      <c r="J43" s="12">
        <v>0</v>
      </c>
      <c r="K43" s="116">
        <v>0.28499999999999998</v>
      </c>
      <c r="L43" s="13">
        <f>_xll.dnetGBlackScholesNGreeks("price",$Q43,$P43,$G43,$I43,$C$3,$J43,$K43,$C$4)*R43</f>
        <v>-4.6299490498536215</v>
      </c>
      <c r="M43" s="15"/>
      <c r="N43" s="13">
        <f t="shared" si="75"/>
        <v>0</v>
      </c>
      <c r="O43" s="13">
        <f t="shared" si="76"/>
        <v>4.6299490498536215</v>
      </c>
      <c r="P43" s="11">
        <v>100</v>
      </c>
      <c r="Q43" s="10" t="s">
        <v>256</v>
      </c>
      <c r="R43" s="10">
        <f t="shared" si="77"/>
        <v>-1</v>
      </c>
      <c r="S43" s="10" t="s">
        <v>20</v>
      </c>
      <c r="T43" s="14">
        <f t="shared" si="78"/>
        <v>4.6299490498536218E-2</v>
      </c>
      <c r="U43" s="13">
        <f>_xll.dnetGBlackScholesNGreeks("delta",$Q43,$P43,$G43,$I43,$C$3,$J43,$K43,$C$4)*R43</f>
        <v>-0.52148129376590191</v>
      </c>
      <c r="V43" s="13">
        <f>_xll.dnetGBlackScholesNGreeks("vega",$Q43,$P43,$G43,$I43,$C$3,$J43,$K43,$C$4)*R43</f>
        <v>-0.16227055223076903</v>
      </c>
      <c r="W43" s="114"/>
      <c r="X43" s="115">
        <v>400</v>
      </c>
      <c r="Y43" s="6">
        <f t="shared" si="79"/>
        <v>-208.59251750636076</v>
      </c>
    </row>
    <row r="44" spans="1:25" ht="10.5" customHeight="1" x14ac:dyDescent="0.15">
      <c r="A44" s="34"/>
      <c r="B44" s="13" t="s">
        <v>172</v>
      </c>
      <c r="C44" s="10" t="s">
        <v>160</v>
      </c>
      <c r="D44" s="10" t="s">
        <v>258</v>
      </c>
      <c r="E44" s="8">
        <f t="shared" ca="1" si="9"/>
        <v>43259</v>
      </c>
      <c r="F44" s="8">
        <f t="shared" ca="1" si="73"/>
        <v>43320</v>
      </c>
      <c r="G44" s="11">
        <v>100</v>
      </c>
      <c r="H44" s="10">
        <v>61</v>
      </c>
      <c r="I44" s="12">
        <f t="shared" si="74"/>
        <v>0.16712328767123288</v>
      </c>
      <c r="J44" s="12">
        <v>0</v>
      </c>
      <c r="K44" s="116">
        <v>0.28000000000000003</v>
      </c>
      <c r="L44" s="13">
        <f>_xll.dnetGBlackScholesNGreeks("price",$Q44,$P44,$G44,$I44,$C$3,$J44,$K44,$C$4)*R44</f>
        <v>-4.5488113162045707</v>
      </c>
      <c r="M44" s="15"/>
      <c r="N44" s="13">
        <f t="shared" si="75"/>
        <v>0</v>
      </c>
      <c r="O44" s="13">
        <f t="shared" si="76"/>
        <v>4.5488113162045707</v>
      </c>
      <c r="P44" s="11">
        <v>100</v>
      </c>
      <c r="Q44" s="10" t="s">
        <v>24</v>
      </c>
      <c r="R44" s="10">
        <f t="shared" si="77"/>
        <v>-1</v>
      </c>
      <c r="S44" s="10" t="s">
        <v>20</v>
      </c>
      <c r="T44" s="14">
        <f t="shared" si="78"/>
        <v>4.5488113162045707E-2</v>
      </c>
      <c r="U44" s="13">
        <f>_xll.dnetGBlackScholesNGreeks("delta",$Q44,$P44,$G44,$I44,$C$3,$J44,$K44,$C$4)*R44</f>
        <v>-0.52107560494469851</v>
      </c>
      <c r="V44" s="13">
        <f>_xll.dnetGBlackScholesNGreeks("vega",$Q44,$P44,$G44,$I44,$C$3,$J44,$K44,$C$4)*R44</f>
        <v>-0.1622801289633351</v>
      </c>
      <c r="W44" s="114"/>
      <c r="X44" s="115">
        <v>400</v>
      </c>
      <c r="Y44" s="6">
        <f t="shared" si="79"/>
        <v>-208.4302419778794</v>
      </c>
    </row>
    <row r="45" spans="1:25" ht="10.5" customHeight="1" x14ac:dyDescent="0.15">
      <c r="A45" s="34"/>
      <c r="B45" s="13" t="s">
        <v>172</v>
      </c>
      <c r="C45" s="10" t="s">
        <v>160</v>
      </c>
      <c r="D45" s="10" t="s">
        <v>214</v>
      </c>
      <c r="E45" s="8">
        <f t="shared" ca="1" si="9"/>
        <v>43259</v>
      </c>
      <c r="F45" s="8">
        <f t="shared" ca="1" si="73"/>
        <v>43351</v>
      </c>
      <c r="G45" s="11">
        <v>100</v>
      </c>
      <c r="H45" s="10">
        <v>92</v>
      </c>
      <c r="I45" s="12">
        <f t="shared" si="74"/>
        <v>0.25205479452054796</v>
      </c>
      <c r="J45" s="12">
        <v>0</v>
      </c>
      <c r="K45" s="116">
        <v>0.35</v>
      </c>
      <c r="L45" s="13">
        <f>_xll.dnetGBlackScholesNGreeks("price",$Q45,$P45,$G45,$I45,$C$3,$J45,$K45,$C$4)*R45</f>
        <v>-6.9659094732704858</v>
      </c>
      <c r="M45" s="15"/>
      <c r="N45" s="13">
        <f t="shared" si="75"/>
        <v>0</v>
      </c>
      <c r="O45" s="13">
        <f t="shared" si="76"/>
        <v>6.9659094732704858</v>
      </c>
      <c r="P45" s="11">
        <v>100</v>
      </c>
      <c r="Q45" s="10" t="s">
        <v>24</v>
      </c>
      <c r="R45" s="10">
        <f t="shared" si="77"/>
        <v>-1</v>
      </c>
      <c r="S45" s="10" t="s">
        <v>20</v>
      </c>
      <c r="T45" s="14">
        <f t="shared" si="78"/>
        <v>6.965909473270486E-2</v>
      </c>
      <c r="U45" s="13">
        <f>_xll.dnetGBlackScholesNGreeks("delta",$Q45,$P45,$G45,$I45,$C$3,$J45,$K45,$C$4)*R45</f>
        <v>-0.53231533629514161</v>
      </c>
      <c r="V45" s="13">
        <f>_xll.dnetGBlackScholesNGreeks("vega",$Q45,$P45,$G45,$I45,$C$3,$J45,$K45,$C$4)*R45</f>
        <v>-0.19851419927853797</v>
      </c>
      <c r="W45" s="114"/>
      <c r="X45" s="115">
        <v>400</v>
      </c>
      <c r="Y45" s="6">
        <f t="shared" si="79"/>
        <v>-212.92613451805664</v>
      </c>
    </row>
    <row r="46" spans="1:25" ht="10.5" customHeight="1" x14ac:dyDescent="0.15">
      <c r="A46" s="34"/>
      <c r="B46" s="13" t="s">
        <v>172</v>
      </c>
      <c r="C46" s="10" t="s">
        <v>160</v>
      </c>
      <c r="D46" s="10" t="s">
        <v>257</v>
      </c>
      <c r="E46" s="8">
        <f t="shared" ca="1" si="9"/>
        <v>43259</v>
      </c>
      <c r="F46" s="8">
        <f t="shared" ca="1" si="73"/>
        <v>43351</v>
      </c>
      <c r="G46" s="11">
        <v>100</v>
      </c>
      <c r="H46" s="10">
        <v>92</v>
      </c>
      <c r="I46" s="12">
        <f t="shared" si="74"/>
        <v>0.25205479452054796</v>
      </c>
      <c r="J46" s="12">
        <v>0</v>
      </c>
      <c r="K46" s="116">
        <v>0.28499999999999998</v>
      </c>
      <c r="L46" s="13">
        <f>_xll.dnetGBlackScholesNGreeks("price",$Q46,$P46,$G46,$I46,$C$3,$J46,$K46,$C$4)*R46</f>
        <v>-5.6746978121912122</v>
      </c>
      <c r="M46" s="15"/>
      <c r="N46" s="13">
        <f t="shared" si="75"/>
        <v>0</v>
      </c>
      <c r="O46" s="13">
        <f t="shared" si="76"/>
        <v>5.6746978121912122</v>
      </c>
      <c r="P46" s="11">
        <v>100</v>
      </c>
      <c r="Q46" s="10" t="s">
        <v>256</v>
      </c>
      <c r="R46" s="10">
        <f t="shared" si="77"/>
        <v>-1</v>
      </c>
      <c r="S46" s="10" t="s">
        <v>20</v>
      </c>
      <c r="T46" s="14">
        <f t="shared" si="78"/>
        <v>5.6746978121912123E-2</v>
      </c>
      <c r="U46" s="13">
        <f>_xll.dnetGBlackScholesNGreeks("delta",$Q46,$P46,$G46,$I46,$C$3,$J46,$K46,$C$4)*R46</f>
        <v>-0.5258592766978154</v>
      </c>
      <c r="V46" s="13">
        <f>_xll.dnetGBlackScholesNGreeks("vega",$Q46,$P46,$G46,$I46,$C$3,$J46,$K46,$C$4)*R46</f>
        <v>-0.19877252350646302</v>
      </c>
      <c r="W46" s="114"/>
      <c r="X46" s="115">
        <v>400</v>
      </c>
      <c r="Y46" s="6">
        <f t="shared" si="79"/>
        <v>-210.34371067912616</v>
      </c>
    </row>
    <row r="47" spans="1:25" ht="10.5" customHeight="1" x14ac:dyDescent="0.15">
      <c r="A47" s="34"/>
      <c r="B47" s="13" t="s">
        <v>172</v>
      </c>
      <c r="C47" s="10" t="s">
        <v>160</v>
      </c>
      <c r="D47" s="10" t="s">
        <v>258</v>
      </c>
      <c r="E47" s="8">
        <f t="shared" ca="1" si="9"/>
        <v>43259</v>
      </c>
      <c r="F47" s="8">
        <f t="shared" ca="1" si="73"/>
        <v>43351</v>
      </c>
      <c r="G47" s="11">
        <v>100</v>
      </c>
      <c r="H47" s="10">
        <v>92</v>
      </c>
      <c r="I47" s="12">
        <f t="shared" si="74"/>
        <v>0.25205479452054796</v>
      </c>
      <c r="J47" s="12">
        <v>0</v>
      </c>
      <c r="K47" s="116">
        <v>0.28000000000000003</v>
      </c>
      <c r="L47" s="13">
        <f>_xll.dnetGBlackScholesNGreeks("price",$Q47,$P47,$G47,$I47,$C$3,$J47,$K47,$C$4)*R47</f>
        <v>-5.5753070103812092</v>
      </c>
      <c r="M47" s="15"/>
      <c r="N47" s="13">
        <f t="shared" si="75"/>
        <v>0</v>
      </c>
      <c r="O47" s="13">
        <f t="shared" si="76"/>
        <v>5.5753070103812092</v>
      </c>
      <c r="P47" s="11">
        <v>100</v>
      </c>
      <c r="Q47" s="10" t="s">
        <v>24</v>
      </c>
      <c r="R47" s="10">
        <f t="shared" si="77"/>
        <v>-1</v>
      </c>
      <c r="S47" s="10" t="s">
        <v>20</v>
      </c>
      <c r="T47" s="14">
        <f t="shared" si="78"/>
        <v>5.5753070103812093E-2</v>
      </c>
      <c r="U47" s="13">
        <f>_xll.dnetGBlackScholesNGreeks("delta",$Q47,$P47,$G47,$I47,$C$3,$J47,$K47,$C$4)*R47</f>
        <v>-0.5253623225648596</v>
      </c>
      <c r="V47" s="13">
        <f>_xll.dnetGBlackScholesNGreeks("vega",$Q47,$P47,$G47,$I47,$C$3,$J47,$K47,$C$4)*R47</f>
        <v>-0.19879021637272842</v>
      </c>
      <c r="W47" s="114"/>
      <c r="X47" s="115">
        <v>400</v>
      </c>
      <c r="Y47" s="6">
        <f t="shared" si="79"/>
        <v>-210.14492902594384</v>
      </c>
    </row>
    <row r="49" spans="1:25" ht="10.5" customHeight="1" x14ac:dyDescent="0.15">
      <c r="A49" s="34"/>
      <c r="B49" s="13" t="s">
        <v>172</v>
      </c>
      <c r="C49" s="10" t="s">
        <v>160</v>
      </c>
      <c r="D49" s="10" t="s">
        <v>260</v>
      </c>
      <c r="E49" s="8">
        <f t="shared" ca="1" si="9"/>
        <v>43259</v>
      </c>
      <c r="F49" s="8">
        <f t="shared" ref="F49" ca="1" si="80">E49+H49</f>
        <v>43351</v>
      </c>
      <c r="G49" s="11">
        <v>3320</v>
      </c>
      <c r="H49" s="10">
        <v>92</v>
      </c>
      <c r="I49" s="12">
        <f t="shared" ref="I49" si="81">H49/365</f>
        <v>0.25205479452054796</v>
      </c>
      <c r="J49" s="12">
        <v>0</v>
      </c>
      <c r="K49" s="116">
        <v>0.27</v>
      </c>
      <c r="L49" s="13">
        <f>_xll.dnetGBlackScholesNGreeks("price",$Q49,$P49,$G49,$I49,$C$3,$J49,$K49,$C$4)*R49</f>
        <v>-118.68074969752888</v>
      </c>
      <c r="M49" s="15"/>
      <c r="N49" s="13">
        <f t="shared" ref="N49" si="82">M49/10000*I49*P49</f>
        <v>0</v>
      </c>
      <c r="O49" s="13">
        <f t="shared" ref="O49" si="83">IF(L49&lt;=0,ABS(L49)+N49,L49-N49)</f>
        <v>118.68074969752888</v>
      </c>
      <c r="P49" s="11">
        <f>RTD("wdf.rtq",,D49,"LastPrice")</f>
        <v>3192</v>
      </c>
      <c r="Q49" s="10" t="s">
        <v>24</v>
      </c>
      <c r="R49" s="10">
        <f t="shared" ref="R49" si="84">IF(S49="中金买入",1,-1)</f>
        <v>-1</v>
      </c>
      <c r="S49" s="10" t="s">
        <v>20</v>
      </c>
      <c r="T49" s="14">
        <f t="shared" ref="T49" si="85">O49/P49</f>
        <v>3.7180685995466443E-2</v>
      </c>
      <c r="U49" s="13">
        <f>_xll.dnetGBlackScholesNGreeks("delta",$Q49,$P49,$G49,$I49,$C$3,$J49,$K49,$C$4)*R49</f>
        <v>-0.40997933130029196</v>
      </c>
      <c r="V49" s="13">
        <f>_xll.dnetGBlackScholesNGreeks("vega",$Q49,$P49,$G49,$I49,$C$3,$J49,$K49,$C$4)*R49</f>
        <v>-6.2055191551063444</v>
      </c>
      <c r="W49" s="114"/>
      <c r="X49" s="115">
        <v>400</v>
      </c>
      <c r="Y49" s="6">
        <f t="shared" ref="Y49" si="86">X49*U49</f>
        <v>-163.99173252011678</v>
      </c>
    </row>
    <row r="51" spans="1:25" ht="10.5" customHeight="1" x14ac:dyDescent="0.15">
      <c r="A51" s="34"/>
      <c r="B51" s="13" t="s">
        <v>172</v>
      </c>
      <c r="C51" s="10" t="s">
        <v>160</v>
      </c>
      <c r="D51" s="10" t="s">
        <v>268</v>
      </c>
      <c r="E51" s="8">
        <f t="shared" ca="1" si="9"/>
        <v>43259</v>
      </c>
      <c r="F51" s="8">
        <f t="shared" ref="F51" ca="1" si="87">E51+H51</f>
        <v>43404</v>
      </c>
      <c r="G51" s="11">
        <v>100</v>
      </c>
      <c r="H51" s="10">
        <v>145</v>
      </c>
      <c r="I51" s="12">
        <f t="shared" ref="I51" si="88">H51/365</f>
        <v>0.39726027397260272</v>
      </c>
      <c r="J51" s="12">
        <v>0</v>
      </c>
      <c r="K51" s="116">
        <v>0.125</v>
      </c>
      <c r="L51" s="13">
        <f>_xll.dnetGBlackScholesNGreeks("price",$Q51,$P51,$G51,$I51,$C$3,$J51,$K51,$C$4)*R51</f>
        <v>-3.1174161255244925</v>
      </c>
      <c r="M51" s="15"/>
      <c r="N51" s="13">
        <f t="shared" ref="N51" si="89">M51/10000*I51*P51</f>
        <v>0</v>
      </c>
      <c r="O51" s="13">
        <f t="shared" ref="O51" si="90">IF(L51&lt;=0,ABS(L51)+N51,L51-N51)</f>
        <v>3.1174161255244925</v>
      </c>
      <c r="P51" s="11">
        <v>100</v>
      </c>
      <c r="Q51" s="10" t="s">
        <v>24</v>
      </c>
      <c r="R51" s="10">
        <f t="shared" ref="R51" si="91">IF(S51="中金买入",1,-1)</f>
        <v>-1</v>
      </c>
      <c r="S51" s="10" t="s">
        <v>20</v>
      </c>
      <c r="T51" s="14">
        <f t="shared" ref="T51" si="92">O51/P51</f>
        <v>3.1174161255244925E-2</v>
      </c>
      <c r="U51" s="13">
        <f>_xll.dnetGBlackScholesNGreeks("delta",$Q51,$P51,$G51,$I51,$C$3,$J51,$K51,$C$4)*R51</f>
        <v>-0.51163020519844338</v>
      </c>
      <c r="V51" s="13">
        <f>_xll.dnetGBlackScholesNGreeks("vega",$Q51,$P51,$G51,$I51,$C$3,$J51,$K51,$C$4)*R51</f>
        <v>-0.24926390211228977</v>
      </c>
      <c r="W51" s="114"/>
      <c r="X51" s="115">
        <v>400</v>
      </c>
      <c r="Y51" s="6">
        <f t="shared" ref="Y51" si="93">X51*U51</f>
        <v>-204.65208207937735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S13:S17 S19:S20 S22:S23 S25 S28 S30:S35 S37:S40 S42:S47 S49 S51</xm:sqref>
        </x14:dataValidation>
        <x14:dataValidation type="list" allowBlank="1" showInputMessage="1" showErrorMessage="1">
          <x14:formula1>
            <xm:f>configs!$C$1:$C$2</xm:f>
          </x14:formula1>
          <xm:sqref>Q8:Q9 Q13:Q17 Q19:Q20 Q22:Q23 Q25 Q28 Q30:Q35 Q37:Q40 Q42:Q47 Q49 Q51</xm:sqref>
        </x14:dataValidation>
        <x14:dataValidation type="list" allowBlank="1" showInputMessage="1">
          <x14:formula1>
            <xm:f>configs!$A$1:$A$36</xm:f>
          </x14:formula1>
          <xm:sqref>C8:C9 C13:C17 C19:C20 C22:C23 C25 C28 C30:C35 C37:C40 C42:C47 C49 C51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U24" sqref="U2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1"/>
  <sheetViews>
    <sheetView topLeftCell="A10" zoomScale="85" zoomScaleNormal="85" workbookViewId="0">
      <selection activeCell="I35" sqref="I35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5" t="s">
        <v>37</v>
      </c>
      <c r="C1" s="144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43259</v>
      </c>
      <c r="F8" s="46">
        <f ca="1">E8+H8</f>
        <v>43289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43259</v>
      </c>
      <c r="F9" s="54">
        <f ca="1">F8</f>
        <v>43289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43259</v>
      </c>
      <c r="F10" s="62">
        <f ca="1">F9</f>
        <v>43289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201</v>
      </c>
      <c r="E11" s="46">
        <f ca="1">TODAY()</f>
        <v>43259</v>
      </c>
      <c r="F11" s="46">
        <f ca="1">E11+H11</f>
        <v>43274</v>
      </c>
      <c r="G11" s="113">
        <f>P11-20</f>
        <v>447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-3.8350470455785199</v>
      </c>
      <c r="M11" s="49"/>
      <c r="N11" s="43"/>
      <c r="O11" s="43">
        <f t="shared" ref="O11:O13" si="1">IF(L11&lt;=0,ABS(L11)+N11,L11-N11)</f>
        <v>3.8350470455785199</v>
      </c>
      <c r="P11" s="110">
        <f>RTD("wdf.rtq",,D11,"LastPrice")</f>
        <v>467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0.22640304567289604</v>
      </c>
      <c r="V11" s="43">
        <f>_xll.dnetGBlackScholesNGreeks("vega",$Q11,$P11,$G11,$I11,$C$3,$J11,$K11,$C$4)*R11</f>
        <v>-0.2847599924578077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201</v>
      </c>
      <c r="E12" s="54">
        <f t="shared" ref="E12:F12" ca="1" si="2">E11</f>
        <v>43259</v>
      </c>
      <c r="F12" s="54">
        <f t="shared" ca="1" si="2"/>
        <v>43274</v>
      </c>
      <c r="G12" s="52">
        <f>G11+50</f>
        <v>497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2.1037580410297352</v>
      </c>
      <c r="M12" s="57"/>
      <c r="N12" s="51"/>
      <c r="O12" s="51">
        <f t="shared" si="1"/>
        <v>2.1037580410297352</v>
      </c>
      <c r="P12" s="94">
        <f>P11</f>
        <v>467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0.1514608916956206</v>
      </c>
      <c r="V12" s="51">
        <f>_xll.dnetGBlackScholesNGreeks("vega",$Q12,$P12,$G12,$I12,$C$3,$J12,$K12,$C$4)*R12</f>
        <v>0.22200835190498225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43259</v>
      </c>
      <c r="F13" s="62">
        <f t="shared" ca="1" si="3"/>
        <v>43274</v>
      </c>
      <c r="G13" s="60" t="str">
        <f>G11 &amp; "|" &amp; G12</f>
        <v>447|497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-1.7312890045487848</v>
      </c>
      <c r="M13" s="60">
        <v>0</v>
      </c>
      <c r="N13" s="59">
        <f>M13/10000*I13*P13</f>
        <v>0</v>
      </c>
      <c r="O13" s="59">
        <f t="shared" si="1"/>
        <v>1.7312890045487848</v>
      </c>
      <c r="P13" s="111">
        <f>P12</f>
        <v>467</v>
      </c>
      <c r="Q13" s="60"/>
      <c r="R13" s="60"/>
      <c r="S13" s="56" t="s">
        <v>151</v>
      </c>
      <c r="T13" s="64">
        <f>O13/P13</f>
        <v>3.7072569690552136E-3</v>
      </c>
      <c r="U13" s="64">
        <f>U12+U11</f>
        <v>0.37786393736851664</v>
      </c>
      <c r="V13" s="64">
        <f>V12+V11</f>
        <v>-6.275164055282545E-2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210</v>
      </c>
      <c r="E14" s="46">
        <f ca="1">TODAY()</f>
        <v>43259</v>
      </c>
      <c r="F14" s="46">
        <f ca="1">E14+H14</f>
        <v>43350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-416.06375065431575</v>
      </c>
      <c r="M14" s="49"/>
      <c r="N14" s="43"/>
      <c r="O14" s="43">
        <f t="shared" ref="O14:O16" si="4">IF(L14&lt;=0,ABS(L14)+N14,L14-N14)</f>
        <v>416.06375065431575</v>
      </c>
      <c r="P14" s="110">
        <f>RTD("wdf.rtq",,D14,"LastPrice")</f>
        <v>3806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-0.74570116062204761</v>
      </c>
      <c r="V14" s="43">
        <f>_xll.dnetGBlackScholesNGreeks("vega",$Q14,$P14,$G14,$I14,$C$3,$J14,$K14,$C$4)*R14</f>
        <v>-6.0151739018770058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43259</v>
      </c>
      <c r="F15" s="54">
        <f t="shared" ca="1" si="5"/>
        <v>43350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36.151555135061642</v>
      </c>
      <c r="M15" s="57"/>
      <c r="N15" s="51"/>
      <c r="O15" s="51">
        <f t="shared" si="4"/>
        <v>36.151555135061642</v>
      </c>
      <c r="P15" s="94">
        <f>P14</f>
        <v>3806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-0.1278092108123019</v>
      </c>
      <c r="V15" s="51">
        <f>_xll.dnetGBlackScholesNGreeks("vega",$Q15,$P15,$G15,$I15,$C$3,$J15,$K15,$C$4)*R15</f>
        <v>3.9652301615118972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43259</v>
      </c>
      <c r="F16" s="62">
        <f t="shared" ca="1" si="6"/>
        <v>43350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-379.91219551925411</v>
      </c>
      <c r="M16" s="60">
        <v>0</v>
      </c>
      <c r="N16" s="59">
        <f>M16/10000*I16*P16</f>
        <v>0</v>
      </c>
      <c r="O16" s="59">
        <f t="shared" si="4"/>
        <v>379.91219551925411</v>
      </c>
      <c r="P16" s="111">
        <f>P15</f>
        <v>3806</v>
      </c>
      <c r="Q16" s="60"/>
      <c r="R16" s="60"/>
      <c r="S16" s="56" t="s">
        <v>151</v>
      </c>
      <c r="T16" s="64">
        <f>O16/P16</f>
        <v>9.981928416165374E-2</v>
      </c>
      <c r="U16" s="64">
        <f>U15+U14</f>
        <v>-0.87351037143434951</v>
      </c>
      <c r="V16" s="64">
        <f>V15+V14</f>
        <v>-2.0499437403651086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228</v>
      </c>
      <c r="E18" s="46">
        <f ca="1">TODAY()</f>
        <v>43259</v>
      </c>
      <c r="F18" s="46">
        <f ca="1">E18+H18</f>
        <v>43290</v>
      </c>
      <c r="G18" s="118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123.92292648883813</v>
      </c>
      <c r="M18" s="49"/>
      <c r="N18" s="43"/>
      <c r="O18" s="43">
        <f t="shared" ref="O18:O20" si="7">IF(L18&lt;=0,ABS(L18)+N18,L18-N18)</f>
        <v>123.92292648883813</v>
      </c>
      <c r="P18" s="110">
        <f>RTD("wdf.rtq",,D18,"LastPrice")</f>
        <v>2893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-0.77372981825192255</v>
      </c>
      <c r="V18" s="43">
        <f>_xll.dnetGBlackScholesNGreeks("vega",$Q18,$P18,$G18,$I18,$C$3,$J18,$K18,$C$4)*R18</f>
        <v>2.5216133861188155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43259</v>
      </c>
      <c r="F19" s="54">
        <f t="shared" ca="1" si="8"/>
        <v>43290</v>
      </c>
      <c r="G19" s="119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-0.44759048864126427</v>
      </c>
      <c r="M19" s="57"/>
      <c r="N19" s="51"/>
      <c r="O19" s="51">
        <f t="shared" si="7"/>
        <v>0.44759048864126427</v>
      </c>
      <c r="P19" s="94">
        <f>P18</f>
        <v>2893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-8.9481162870441722E-3</v>
      </c>
      <c r="V19" s="51">
        <f>_xll.dnetGBlackScholesNGreeks("vega",$Q19,$P19,$G19,$I19,$C$3,$J19,$K19,$C$4)*R19</f>
        <v>-0.20548609428601594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43259</v>
      </c>
      <c r="F20" s="62">
        <f t="shared" ca="1" si="9"/>
        <v>43290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123.47533600019686</v>
      </c>
      <c r="M20" s="60">
        <v>0</v>
      </c>
      <c r="N20" s="59">
        <f>M20/10000*I20*P20</f>
        <v>0</v>
      </c>
      <c r="O20" s="59">
        <f t="shared" si="7"/>
        <v>123.47533600019686</v>
      </c>
      <c r="P20" s="111">
        <f>P19</f>
        <v>2893</v>
      </c>
      <c r="Q20" s="60"/>
      <c r="R20" s="60"/>
      <c r="S20" s="56"/>
      <c r="T20" s="64">
        <f>O20/P20</f>
        <v>4.2680724507499782E-2</v>
      </c>
      <c r="U20" s="64">
        <f>U19+U18</f>
        <v>-0.78267793453896672</v>
      </c>
      <c r="V20" s="64">
        <f>V19+V18</f>
        <v>2.3161272918327995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228</v>
      </c>
      <c r="E21" s="46">
        <f ca="1">TODAY()</f>
        <v>43259</v>
      </c>
      <c r="F21" s="46">
        <f ca="1">E21+H21</f>
        <v>43351</v>
      </c>
      <c r="G21" s="118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156.58847155107287</v>
      </c>
      <c r="M21" s="49"/>
      <c r="N21" s="43"/>
      <c r="O21" s="43">
        <f t="shared" ref="O21:O23" si="10">IF(L21&lt;=0,ABS(L21)+N21,L21-N21)</f>
        <v>156.58847155107287</v>
      </c>
      <c r="P21" s="110">
        <f>RTD("wdf.rtq",,D21,"LastPrice")</f>
        <v>2893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-0.65649780290186754</v>
      </c>
      <c r="V21" s="43">
        <f>_xll.dnetGBlackScholesNGreeks("vega",$Q21,$P21,$G21,$I21,$C$3,$J21,$K21,$C$4)*R21</f>
        <v>5.2942154729834101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43259</v>
      </c>
      <c r="F22" s="54">
        <f t="shared" ca="1" si="11"/>
        <v>43351</v>
      </c>
      <c r="G22" s="119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-10.390517351350383</v>
      </c>
      <c r="M22" s="57"/>
      <c r="N22" s="51"/>
      <c r="O22" s="51">
        <f t="shared" si="10"/>
        <v>10.390517351350383</v>
      </c>
      <c r="P22" s="94">
        <f>P21</f>
        <v>2893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-8.9006426617288525E-2</v>
      </c>
      <c r="V22" s="51">
        <f>_xll.dnetGBlackScholesNGreeks("vega",$Q22,$P22,$G22,$I22,$C$3,$J22,$K22,$C$4)*R22</f>
        <v>-2.3337206789256015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43259</v>
      </c>
      <c r="F23" s="62">
        <f t="shared" ca="1" si="12"/>
        <v>43351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146.19795419972249</v>
      </c>
      <c r="M23" s="60">
        <v>0</v>
      </c>
      <c r="N23" s="59">
        <f>M23/10000*I23*P23</f>
        <v>0</v>
      </c>
      <c r="O23" s="59">
        <f t="shared" si="10"/>
        <v>146.19795419972249</v>
      </c>
      <c r="P23" s="111">
        <f>P22</f>
        <v>2893</v>
      </c>
      <c r="Q23" s="60"/>
      <c r="R23" s="60"/>
      <c r="S23" s="56"/>
      <c r="T23" s="64">
        <f>O23/P23</f>
        <v>5.0535068855763046E-2</v>
      </c>
      <c r="U23" s="64">
        <f>U22+U21</f>
        <v>-0.74550422951915607</v>
      </c>
      <c r="V23" s="64">
        <f>V22+V21</f>
        <v>2.9604947940578086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262</v>
      </c>
      <c r="E26" s="46">
        <f ca="1">TODAY()</f>
        <v>43259</v>
      </c>
      <c r="F26" s="46">
        <f ca="1">E26+H26</f>
        <v>43290</v>
      </c>
      <c r="G26" s="118">
        <v>4800</v>
      </c>
      <c r="H26" s="44">
        <v>31</v>
      </c>
      <c r="I26" s="47">
        <f>H26/365</f>
        <v>8.4931506849315067E-2</v>
      </c>
      <c r="J26" s="47">
        <v>0</v>
      </c>
      <c r="K26" s="48">
        <f>K27-0.04</f>
        <v>0.13</v>
      </c>
      <c r="L26" s="43">
        <f>_xll.dnetGBlackScholesNGreeks("price",$Q26,$P26,$G26,$I26,$C$3,$J26,$K26,$C$4)*R26</f>
        <v>16.905759682806774</v>
      </c>
      <c r="M26" s="49"/>
      <c r="N26" s="43"/>
      <c r="O26" s="43">
        <f t="shared" ref="O26:O31" si="13">IF(L26&lt;=0,ABS(L26)+N26,L26-N26)</f>
        <v>16.905759682806774</v>
      </c>
      <c r="P26" s="110">
        <f>RTD("wdf.rtq",,D26,"LastPrice")</f>
        <v>4976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-0.16588091772860025</v>
      </c>
      <c r="V26" s="43">
        <f>_xll.dnetGBlackScholesNGreeks("vega",$Q26,$P26,$G26,$I26,$C$3,$J26,$K26,$C$4)*R26</f>
        <v>3.6032644646058429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">
        <v>263</v>
      </c>
      <c r="E27" s="54">
        <f t="shared" ref="E27:F27" ca="1" si="14">E26</f>
        <v>43259</v>
      </c>
      <c r="F27" s="54">
        <f t="shared" ca="1" si="14"/>
        <v>43290</v>
      </c>
      <c r="G27" s="119">
        <v>4990</v>
      </c>
      <c r="H27" s="52">
        <v>31</v>
      </c>
      <c r="I27" s="55">
        <f>H27/365</f>
        <v>8.4931506849315067E-2</v>
      </c>
      <c r="J27" s="55">
        <f>J26</f>
        <v>0</v>
      </c>
      <c r="K27" s="56">
        <v>0.17</v>
      </c>
      <c r="L27" s="51">
        <f>_xll.dnetGBlackScholesNGreeks("price",$Q27,$P27,$G27,$I27,$C$3,$J27,$K27,$C$4)*R27</f>
        <v>-91.480899322930782</v>
      </c>
      <c r="M27" s="57"/>
      <c r="N27" s="51"/>
      <c r="O27" s="51">
        <f t="shared" si="13"/>
        <v>91.480899322930782</v>
      </c>
      <c r="P27" s="94">
        <f>P26</f>
        <v>4976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-0.48643388690834399</v>
      </c>
      <c r="V27" s="51">
        <f>_xll.dnetGBlackScholesNGreeks("vega",$Q27,$P27,$G27,$I27,$C$3,$J27,$K27,$C$4)*R27</f>
        <v>-5.7724884912454399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p1809</v>
      </c>
      <c r="E28" s="62">
        <f t="shared" ref="E28:F28" ca="1" si="15">E27</f>
        <v>43259</v>
      </c>
      <c r="F28" s="62">
        <f t="shared" ca="1" si="15"/>
        <v>43290</v>
      </c>
      <c r="G28" s="60" t="str">
        <f>G26 &amp; "|" &amp; G27</f>
        <v>4800|4990</v>
      </c>
      <c r="H28" s="60">
        <v>31</v>
      </c>
      <c r="I28" s="63">
        <f>I27</f>
        <v>8.4931506849315067E-2</v>
      </c>
      <c r="J28" s="63"/>
      <c r="K28" s="60"/>
      <c r="L28" s="59">
        <f>L27+L26</f>
        <v>-74.575139640124007</v>
      </c>
      <c r="M28" s="60">
        <v>0</v>
      </c>
      <c r="N28" s="59">
        <f>M28/10000*I28*P28</f>
        <v>0</v>
      </c>
      <c r="O28" s="59">
        <f t="shared" si="13"/>
        <v>74.575139640124007</v>
      </c>
      <c r="P28" s="111">
        <f>P27</f>
        <v>4976</v>
      </c>
      <c r="Q28" s="60"/>
      <c r="R28" s="60"/>
      <c r="S28" s="56"/>
      <c r="T28" s="64">
        <f>O28/P28</f>
        <v>1.4986965361761256E-2</v>
      </c>
      <c r="U28" s="64">
        <f>U27+U26</f>
        <v>-0.65231480463694425</v>
      </c>
      <c r="V28" s="64">
        <f>V27+V26</f>
        <v>-2.169224026639597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262</v>
      </c>
      <c r="E29" s="46">
        <f ca="1">TODAY()</f>
        <v>43259</v>
      </c>
      <c r="F29" s="46">
        <f ca="1">E29+H29</f>
        <v>43290</v>
      </c>
      <c r="G29" s="118">
        <v>4700</v>
      </c>
      <c r="H29" s="44">
        <v>31</v>
      </c>
      <c r="I29" s="47">
        <f>H29/365</f>
        <v>8.4931506849315067E-2</v>
      </c>
      <c r="J29" s="47">
        <v>0</v>
      </c>
      <c r="K29" s="48">
        <f>K30-0.04</f>
        <v>0.13</v>
      </c>
      <c r="L29" s="43">
        <f>_xll.dnetGBlackScholesNGreeks("price",$Q29,$P29,$G29,$I29,$C$3,$J29,$K29,$C$4)*R29</f>
        <v>5.2843836322297761</v>
      </c>
      <c r="M29" s="49"/>
      <c r="N29" s="43"/>
      <c r="O29" s="43">
        <f t="shared" si="13"/>
        <v>5.2843836322297761</v>
      </c>
      <c r="P29" s="110">
        <f>RTD("wdf.rtq",,D29,"LastPrice")</f>
        <v>4976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>
        <f>_xll.dnetGBlackScholesNGreeks("delta",$Q29,$P29,$G29,$I29,$C$3,$J29,$K29,$C$4)*R29</f>
        <v>-6.350348762680369E-2</v>
      </c>
      <c r="V29" s="43">
        <f>_xll.dnetGBlackScholesNGreeks("vega",$Q29,$P29,$G29,$I29,$C$3,$J29,$K29,$C$4)*R29</f>
        <v>1.802122506411564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">
        <v>263</v>
      </c>
      <c r="E30" s="54">
        <f t="shared" ref="E30:F30" ca="1" si="16">E29</f>
        <v>43259</v>
      </c>
      <c r="F30" s="54">
        <f t="shared" ca="1" si="16"/>
        <v>43290</v>
      </c>
      <c r="G30" s="119">
        <v>4990</v>
      </c>
      <c r="H30" s="52">
        <v>31</v>
      </c>
      <c r="I30" s="55">
        <f>H30/365</f>
        <v>8.4931506849315067E-2</v>
      </c>
      <c r="J30" s="55">
        <f>J29</f>
        <v>0</v>
      </c>
      <c r="K30" s="56">
        <v>0.17</v>
      </c>
      <c r="L30" s="51">
        <f>_xll.dnetGBlackScholesNGreeks("price",$Q30,$P30,$G30,$I30,$C$3,$J30,$K30,$C$4)*R30</f>
        <v>-91.480899322930782</v>
      </c>
      <c r="M30" s="57"/>
      <c r="N30" s="51"/>
      <c r="O30" s="51">
        <f t="shared" si="13"/>
        <v>91.480899322930782</v>
      </c>
      <c r="P30" s="94">
        <f>P29</f>
        <v>4976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>
        <f>_xll.dnetGBlackScholesNGreeks("delta",$Q30,$P30,$G30,$I30,$C$3,$J30,$K30,$C$4)*R30</f>
        <v>-0.48643388690834399</v>
      </c>
      <c r="V30" s="51">
        <f>_xll.dnetGBlackScholesNGreeks("vega",$Q30,$P30,$G30,$I30,$C$3,$J30,$K30,$C$4)*R30</f>
        <v>-5.7724884912454399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">
        <v>263</v>
      </c>
      <c r="E31" s="62">
        <f t="shared" ref="E31:F31" ca="1" si="17">E30</f>
        <v>43259</v>
      </c>
      <c r="F31" s="62">
        <f t="shared" ca="1" si="17"/>
        <v>43290</v>
      </c>
      <c r="G31" s="60" t="str">
        <f>G29 &amp; "|" &amp; G30</f>
        <v>4700|4990</v>
      </c>
      <c r="H31" s="60">
        <v>31</v>
      </c>
      <c r="I31" s="63">
        <f>I30</f>
        <v>8.4931506849315067E-2</v>
      </c>
      <c r="J31" s="63"/>
      <c r="K31" s="60"/>
      <c r="L31" s="59">
        <f>L30+L29</f>
        <v>-86.196515690701005</v>
      </c>
      <c r="M31" s="60">
        <v>0</v>
      </c>
      <c r="N31" s="59">
        <f>M31/10000*I31*P31</f>
        <v>0</v>
      </c>
      <c r="O31" s="59">
        <f t="shared" si="13"/>
        <v>86.196515690701005</v>
      </c>
      <c r="P31" s="111">
        <f>P30</f>
        <v>4976</v>
      </c>
      <c r="Q31" s="60"/>
      <c r="R31" s="60"/>
      <c r="S31" s="56"/>
      <c r="T31" s="64">
        <f>O31/P31</f>
        <v>1.7322450902472065E-2</v>
      </c>
      <c r="U31" s="64">
        <f>U30+U29</f>
        <v>-0.54993737453514768</v>
      </c>
      <c r="V31" s="64">
        <f>V30+V29</f>
        <v>-3.9703659848338759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C26:C31</xm:sqref>
        </x14:dataValidation>
        <x14:dataValidation type="list" allowBlank="1" showInputMessage="1" showErrorMessage="1">
          <x14:formula1>
            <xm:f>configs!$C$1:$C$2</xm:f>
          </x14:formula1>
          <xm:sqref>Q8:Q16 Q18:Q23 Q26:Q31</xm:sqref>
        </x14:dataValidation>
        <x14:dataValidation type="list" allowBlank="1" showInputMessage="1" showErrorMessage="1">
          <x14:formula1>
            <xm:f>configs!$B$1:$B$2</xm:f>
          </x14:formula1>
          <xm:sqref>S8:S16 S18:S23 S26:S31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F43" sqref="F43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1" t="s">
        <v>158</v>
      </c>
      <c r="C1" s="121"/>
      <c r="D1" s="121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214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43259</v>
      </c>
      <c r="L10" s="38">
        <f ca="1">pricer_sf!N11</f>
        <v>43350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215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43259</v>
      </c>
      <c r="L11" s="38">
        <f ca="1">pricer_sf!N12</f>
        <v>43350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216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43259</v>
      </c>
      <c r="L12" s="38">
        <f ca="1">pricer_sf!N13</f>
        <v>43350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214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43259</v>
      </c>
      <c r="L13" s="38">
        <f ca="1">pricer_sf!N14</f>
        <v>43442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215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43259</v>
      </c>
      <c r="L14" s="38">
        <f ca="1">pricer_sf!N15</f>
        <v>43442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216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43259</v>
      </c>
      <c r="L15" s="38">
        <f ca="1">pricer_sf!N16</f>
        <v>43442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H28" sqref="H28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4" t="s">
        <v>38</v>
      </c>
      <c r="C1" s="144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36">
        <v>0.02</v>
      </c>
      <c r="M8" s="21">
        <f ca="1">TODAY()</f>
        <v>43259</v>
      </c>
      <c r="N8" s="21">
        <f ca="1">M8+O8</f>
        <v>43289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43259</v>
      </c>
      <c r="N9" s="8">
        <f ca="1">M9+O9</f>
        <v>43439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211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43259</v>
      </c>
      <c r="N11" s="8">
        <f t="shared" ref="N11:N16" ca="1" si="2">M11+O11</f>
        <v>43350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212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43259</v>
      </c>
      <c r="N12" s="8">
        <f t="shared" ca="1" si="2"/>
        <v>43350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213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43259</v>
      </c>
      <c r="N13" s="8">
        <f t="shared" ca="1" si="2"/>
        <v>43350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211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43259</v>
      </c>
      <c r="N14" s="8">
        <f t="shared" ca="1" si="2"/>
        <v>43442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212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43259</v>
      </c>
      <c r="N15" s="8">
        <f t="shared" ca="1" si="2"/>
        <v>43442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213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43259</v>
      </c>
      <c r="N16" s="8">
        <f t="shared" ca="1" si="2"/>
        <v>43442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2018-06-08T08:49:26Z</dcterms:modified>
</cp:coreProperties>
</file>